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_xlnm.Print_Area" localSheetId="5">'Иль'!$A$1:$F$105</definedName>
    <definedName name="_xlnm.Print_Area" localSheetId="0">'Консол'!$A$1:$K$50</definedName>
    <definedName name="_xlnm.Print_Area" localSheetId="7">'Мор'!$A$1:$F$102</definedName>
    <definedName name="_xlnm.Print_Area" localSheetId="1">'Справка'!$A$1:$EY$31</definedName>
    <definedName name="_xlnm.Print_Area" localSheetId="11">'Тор'!$A$1:$F$101</definedName>
    <definedName name="_xlnm.Print_Area" localSheetId="15">'Юнг'!$A$1:$F$100</definedName>
    <definedName name="_xlnm.Print_Area" localSheetId="17">'Яра'!$A$1:$F$102</definedName>
    <definedName name="Z_1718F1EE_9F48_4DBE_9531_3B70F9C4A5DD_.wvu.Cols" localSheetId="1">('Справка'!$AV:$AX,'Справка'!$BB:$BD,'Справка'!$BH:$BP,'Справка'!$BT:$BY,'Справка'!$CX:$DF)</definedName>
    <definedName name="Z_1718F1EE_9F48_4DBE_9531_3B70F9C4A5DD_.wvu.PrintArea" localSheetId="5">'Иль'!$A$1:$F$105</definedName>
    <definedName name="Z_1718F1EE_9F48_4DBE_9531_3B70F9C4A5DD_.wvu.PrintArea" localSheetId="0">'Консол'!$A$1:$K$50</definedName>
    <definedName name="Z_1718F1EE_9F48_4DBE_9531_3B70F9C4A5DD_.wvu.PrintArea" localSheetId="7">'Мор'!$A$1:$F$102</definedName>
    <definedName name="Z_1718F1EE_9F48_4DBE_9531_3B70F9C4A5DD_.wvu.PrintArea" localSheetId="1">'Справка'!$A$1:$EY$31</definedName>
    <definedName name="Z_1718F1EE_9F48_4DBE_9531_3B70F9C4A5DD_.wvu.PrintArea" localSheetId="11">'Тор'!$A$1:$F$101</definedName>
    <definedName name="Z_1718F1EE_9F48_4DBE_9531_3B70F9C4A5DD_.wvu.PrintArea" localSheetId="15">'Юнг'!$A$1:$F$100</definedName>
    <definedName name="Z_1718F1EE_9F48_4DBE_9531_3B70F9C4A5DD_.wvu.PrintArea" localSheetId="17">'Яра'!$A$1:$F$102</definedName>
    <definedName name="Z_1718F1EE_9F48_4DBE_9531_3B70F9C4A5DD_.wvu.Rows" localSheetId="3">('Але'!$19:$24,'Але'!$28:$36,'Але'!$46:$46,'Але'!$53:$53,'Але'!$55:$57,'Але'!$63:$64,'Але'!$70:$70,'Але'!$72:$72,'Але'!$74:$75,'Але'!$79:$83,'Але'!$86:$93,'Але'!$142:$142)</definedName>
    <definedName name="Z_1718F1EE_9F48_4DBE_9531_3B70F9C4A5DD_.wvu.Rows" localSheetId="5">('Иль'!$19:$24,'Иль'!$30:$40,'Иль'!$46:$46,'Иль'!$48:$51,'Иль'!$59:$59,'Иль'!$61:$63,'Иль'!$69:$70,'Иль'!$79:$80,'Иль'!$82:$82,'Иль'!$87:$91,'Иль'!$94:$101,'Иль'!$144:$144)</definedName>
    <definedName name="Z_1718F1EE_9F48_4DBE_9531_3B70F9C4A5DD_.wvu.Rows" localSheetId="6">('Кад'!$19:$24,'Кад'!$29:$36,'Кад'!$39:$39,'Кад'!$43:$43,'Кад'!$45:$45,'Кад'!$47:$50,'Кад'!$57:$57,'Кад'!$59:$61,'Кад'!$67:$68,'Кад'!$78:$79,'Кад'!$83:$87,'Кад'!$90:$97,'Кад'!$143:$143)</definedName>
    <definedName name="Z_1718F1EE_9F48_4DBE_9531_3B70F9C4A5DD_.wvu.Rows" localSheetId="0">('Консол'!$22:$22,'Консол'!$43:$45)</definedName>
    <definedName name="Z_1718F1EE_9F48_4DBE_9531_3B70F9C4A5DD_.wvu.Rows" localSheetId="19">'Лист1'!$82:$84</definedName>
    <definedName name="Z_1718F1EE_9F48_4DBE_9531_3B70F9C4A5DD_.wvu.Rows" localSheetId="7">('Мор'!$17:$24,'Мор'!$27:$27,'Мор'!$31:$36,'Мор'!$38:$38,'Мор'!$45:$45,'Мор'!$47:$48,'Мор'!$50:$51,'Мор'!$58:$58,'Мор'!$60:$62,'Мор'!$65:$66,'Мор'!$68:$69,'Мор'!$79:$80,'Мор'!$84:$89,'Мор'!$92:$98,'Мор'!$143:$143)</definedName>
    <definedName name="Z_1718F1EE_9F48_4DBE_9531_3B70F9C4A5DD_.wvu.Rows" localSheetId="8">('Мос'!$19:$24,'Мос'!$29:$35,'Мос'!$44:$44,'Мос'!$46:$50,'Мос'!$58:$58,'Мос'!$60:$62,'Мос'!$68:$69,'Мос'!$79:$80,'Мос'!$82:$82,'Мос'!$85:$92,'Мос'!$95:$102,'Мос'!$143:$143)</definedName>
    <definedName name="Z_1718F1EE_9F48_4DBE_9531_3B70F9C4A5DD_.wvu.Rows" localSheetId="9">('Ори'!$19:$24,'Ори'!$31:$35,'Ори'!$44:$44,'Ори'!$46:$46,'Ори'!$48:$50,'Ори'!$57:$57,'Ори'!$59:$61,'Ори'!$67:$68,'Ори'!$78:$79,'Ори'!$81:$81,'Ори'!$84:$88,'Ори'!$91:$98,'Ори'!$142:$142)</definedName>
    <definedName name="Z_1718F1EE_9F48_4DBE_9531_3B70F9C4A5DD_.wvu.Rows" localSheetId="2">('район'!$18:$19,'район'!$21:$21,'район'!$26:$26,'район'!$28:$32,'район'!$36:$36,'район'!$39:$39,'район'!$51:$52,'район'!$64:$64,'район'!$71:$71,'район'!$88:$88,'район'!$95:$95,'район'!$123:$125,'район'!$128:$129)</definedName>
    <definedName name="Z_1718F1EE_9F48_4DBE_9531_3B70F9C4A5DD_.wvu.Rows" localSheetId="4">('Сун'!$19:$24,'Сун'!$34:$39,'Сун'!$43:$43,'Сун'!$45:$45,'Сун'!$47:$47,'Сун'!$49:$51,'Сун'!$58:$58,'Сун'!$60:$62,'Сун'!$68:$69,'Сун'!$79:$80,'Сун'!$82:$82,'Сун'!$85:$90,'Сун'!$93:$100,'Сун'!$142:$142)</definedName>
    <definedName name="Z_1718F1EE_9F48_4DBE_9531_3B70F9C4A5DD_.wvu.Rows" localSheetId="10">('Сят'!$19:$24,'Сят'!$31:$35,'Сят'!$38:$38,'Сят'!$45:$48,'Сят'!$57:$57,'Сят'!$59:$61,'Сят'!$67:$68,'Сят'!$78:$79,'Сят'!$83:$87,'Сят'!$90:$97,'Сят'!$143:$143)</definedName>
    <definedName name="Z_1718F1EE_9F48_4DBE_9531_3B70F9C4A5DD_.wvu.Rows" localSheetId="11">('Тор'!$19:$24,'Тор'!$32:$36,'Тор'!$39:$39,'Тор'!$46:$47,'Тор'!$50:$50,'Тор'!$57:$57,'Тор'!$59:$61,'Тор'!$67:$68,'Тор'!$75:$75,'Тор'!$79:$80,'Тор'!$84:$95,'Тор'!$142:$142)</definedName>
    <definedName name="Z_1718F1EE_9F48_4DBE_9531_3B70F9C4A5DD_.wvu.Rows" localSheetId="12">('Хор'!$19:$24,'Хор'!$28:$38,'Хор'!$42:$42,'Хор'!$46:$46,'Хор'!$48:$50,'Хор'!$57:$57,'Хор'!$59:$61,'Хор'!$67:$68,'Хор'!$74:$74,'Хор'!$78:$79,'Хор'!$83:$87,'Хор'!$90:$97,'Хор'!$144:$144)</definedName>
    <definedName name="Z_1718F1EE_9F48_4DBE_9531_3B70F9C4A5DD_.wvu.Rows" localSheetId="13">('Чум'!$19:$24,'Чум'!$31:$39,'Чум'!$46:$49,'Чум'!$57:$57,'Чум'!$59:$61,'Чум'!$67:$68,'Чум'!$78:$79,'Чум'!$83:$87,'Чум'!$90:$97,'Чум'!$142:$142)</definedName>
    <definedName name="Z_1718F1EE_9F48_4DBE_9531_3B70F9C4A5DD_.wvu.Rows" localSheetId="14">('Шать'!$19:$19,'Шать'!$22:$25,'Шать'!$46:$49,'Шать'!$57:$57,'Шать'!$59:$61,'Шать'!$67:$68,'Шать'!$78:$79,'Шать'!$83:$87,'Шать'!$90:$97,'Шать'!$142:$142)</definedName>
    <definedName name="Z_1718F1EE_9F48_4DBE_9531_3B70F9C4A5DD_.wvu.Rows" localSheetId="15">('Юнг'!$19:$24,'Юнг'!$31:$35,'Юнг'!$38:$38,'Юнг'!$45:$47,'Юнг'!$49:$49,'Юнг'!$56:$56,'Юнг'!$58:$60,'Юнг'!$66:$68,'Юнг'!$77:$78,'Юнг'!$82:$86,'Юнг'!$89:$96,'Юнг'!$142:$142)</definedName>
    <definedName name="Z_1718F1EE_9F48_4DBE_9531_3B70F9C4A5DD_.wvu.Rows" localSheetId="16">('Юсь'!$19:$24,'Юсь'!$31:$33,'Юсь'!$38:$38,'Юсь'!$45:$51,'Юсь'!$59:$59,'Юсь'!$61:$63,'Юсь'!$69:$70,'Юсь'!$80:$81,'Юсь'!$85:$89,'Юсь'!$92:$99,'Юсь'!$143:$143)</definedName>
    <definedName name="Z_1718F1EE_9F48_4DBE_9531_3B70F9C4A5DD_.wvu.Rows" localSheetId="17">('Яра'!$19:$24,'Яра'!$30:$39,'Яра'!$46:$50,'Яра'!$58:$58,'Яра'!$60:$62,'Яра'!$68:$69,'Яра'!$79:$80,'Яра'!$84:$88,'Яра'!$91:$98,'Яра'!$143:$143)</definedName>
    <definedName name="Z_1718F1EE_9F48_4DBE_9531_3B70F9C4A5DD_.wvu.Rows" localSheetId="18">('Яро'!$19:$24,'Яро'!$28:$33,'Яро'!$44:$45,'Яро'!$47:$48,'Яро'!$55:$55,'Яро'!$57:$58,'Яро'!$65:$66,'Яро'!$76:$77,'Яро'!$81:$85,'Яро'!$88:$95)</definedName>
    <definedName name="Z_1A52382B_3765_4E8C_903F_6B8919B7242E_.wvu.Cols" localSheetId="1">('Справка'!$AV:$AX,'Справка'!$BB:$BD,'Справка'!$BH:$BM,'Справка'!$BT:$BY,'Справка'!$CX:$DF)</definedName>
    <definedName name="Z_1A52382B_3765_4E8C_903F_6B8919B7242E_.wvu.PrintArea" localSheetId="5">'Иль'!$A$1:$F$105</definedName>
    <definedName name="Z_1A52382B_3765_4E8C_903F_6B8919B7242E_.wvu.PrintArea" localSheetId="0">'Консол'!$A$1:$K$50</definedName>
    <definedName name="Z_1A52382B_3765_4E8C_903F_6B8919B7242E_.wvu.PrintArea" localSheetId="7">'Мор'!$A$1:$F$102</definedName>
    <definedName name="Z_1A52382B_3765_4E8C_903F_6B8919B7242E_.wvu.PrintArea" localSheetId="1">'Справка'!$A$1:$EY$31</definedName>
    <definedName name="Z_1A52382B_3765_4E8C_903F_6B8919B7242E_.wvu.PrintArea" localSheetId="11">'Тор'!$A$1:$F$101</definedName>
    <definedName name="Z_1A52382B_3765_4E8C_903F_6B8919B7242E_.wvu.PrintArea" localSheetId="12">'Хор'!$A$1:$F$101</definedName>
    <definedName name="Z_1A52382B_3765_4E8C_903F_6B8919B7242E_.wvu.PrintArea" localSheetId="13">'Чум'!$A$1:$F$101</definedName>
    <definedName name="Z_1A52382B_3765_4E8C_903F_6B8919B7242E_.wvu.PrintArea" localSheetId="14">'Шать'!$A$1:$F$101</definedName>
    <definedName name="Z_1A52382B_3765_4E8C_903F_6B8919B7242E_.wvu.PrintArea" localSheetId="15">'Юнг'!$A$1:$F$100</definedName>
    <definedName name="Z_1A52382B_3765_4E8C_903F_6B8919B7242E_.wvu.PrintArea" localSheetId="17">'Яра'!$A$1:$F$102</definedName>
    <definedName name="Z_1A52382B_3765_4E8C_903F_6B8919B7242E_.wvu.Rows" localSheetId="3">('Але'!$19:$24,'Але'!$44:$44,'Але'!$46:$46,'Але'!$53:$53,'Але'!$55:$56,'Але'!$63:$64,'Але'!$74:$75,'Але'!$79:$83,'Але'!$87:$89)</definedName>
    <definedName name="Z_1A52382B_3765_4E8C_903F_6B8919B7242E_.wvu.Rows" localSheetId="5">('Иль'!$19:$24,'Иль'!$30:$31,'Иль'!$33:$33,'Иль'!$46:$46,'Иль'!$51:$51,'Иль'!$61:$62,'Иль'!$69:$70,'Иль'!$79:$80,'Иль'!$82:$82,'Иль'!$94:$98)</definedName>
    <definedName name="Z_1A52382B_3765_4E8C_903F_6B8919B7242E_.wvu.Rows" localSheetId="6">('Кад'!$19:$24,'Кад'!$45:$45,'Кад'!$57:$57,'Кад'!$59:$60,'Кад'!$67:$68,'Кад'!$84:$86,'Кад'!$90:$97)</definedName>
    <definedName name="Z_1A52382B_3765_4E8C_903F_6B8919B7242E_.wvu.Rows" localSheetId="0">('Консол'!$22:$22,'Консол'!$43:$45,'Консол'!$82:$84)</definedName>
    <definedName name="Z_1A52382B_3765_4E8C_903F_6B8919B7242E_.wvu.Rows" localSheetId="19">'Лист1'!$82:$84</definedName>
    <definedName name="Z_1A52382B_3765_4E8C_903F_6B8919B7242E_.wvu.Rows" localSheetId="7">('Мор'!$17:$17,'Мор'!$21:$21,'Мор'!$23:$23,'Мор'!$38:$38,'Мор'!$45:$45,'Мор'!$47:$48,'Мор'!$50:$51,'Мор'!$58:$58,'Мор'!$60:$61,'Мор'!$68:$69,'Мор'!$84:$89,'Мор'!$92:$98)</definedName>
    <definedName name="Z_1A52382B_3765_4E8C_903F_6B8919B7242E_.wvu.Rows" localSheetId="8">('Мос'!$19:$24,'Мос'!$44:$44,'Мос'!$58:$58,'Мос'!$60:$61,'Мос'!$68:$69,'Мос'!$82:$82,'Мос'!$86:$90,'Мос'!$95:$100)</definedName>
    <definedName name="Z_1A52382B_3765_4E8C_903F_6B8919B7242E_.wvu.Rows" localSheetId="9">('Ори'!$19:$24,'Ори'!$32:$32,'Ори'!$44:$44,'Ори'!$48:$50,'Ори'!$57:$57,'Ори'!$59:$60,'Ори'!$67:$68,'Ори'!$78:$79,'Ори'!$81:$81,'Ори'!$84:$88,'Ори'!$91:$98)</definedName>
    <definedName name="Z_1A52382B_3765_4E8C_903F_6B8919B7242E_.wvu.Rows" localSheetId="2">NA()</definedName>
    <definedName name="Z_1A52382B_3765_4E8C_903F_6B8919B7242E_.wvu.Rows" localSheetId="1">NA()</definedName>
    <definedName name="Z_1A52382B_3765_4E8C_903F_6B8919B7242E_.wvu.Rows" localSheetId="4">('Сун'!$19:$24,'Сун'!$49:$51,'Сун'!$58:$58,'Сун'!$60:$61,'Сун'!$68:$69,'Сун'!$79:$80,'Сун'!$82:$82,'Сун'!$88:$89,'Сун'!$93:$97)</definedName>
    <definedName name="Z_1A52382B_3765_4E8C_903F_6B8919B7242E_.wvu.Rows" localSheetId="10">('Сят'!$19:$19,'Сят'!$45:$47,'Сят'!$57:$57,'Сят'!$59:$60,'Сят'!$67:$68,'Сят'!$83:$86,'Сят'!$90:$97)</definedName>
    <definedName name="Z_1A52382B_3765_4E8C_903F_6B8919B7242E_.wvu.Rows" localSheetId="11">('Тор'!$19:$24,'Тор'!$32:$39,'Тор'!$46:$47,'Тор'!$49:$50,'Тор'!$57:$57,'Тор'!$59:$60,'Тор'!$67:$68,'Тор'!$75:$75,'Тор'!$79:$80,'Тор'!$84:$95)</definedName>
    <definedName name="Z_1A52382B_3765_4E8C_903F_6B8919B7242E_.wvu.Rows" localSheetId="12">('Хор'!$19:$24,'Хор'!$28:$38,'Хор'!$42:$42,'Хор'!$48:$50,'Хор'!$57:$57,'Хор'!$59:$61,'Хор'!$67:$68,'Хор'!$74:$74,'Хор'!$78:$79,'Хор'!$83:$87,'Хор'!$90:$97)</definedName>
    <definedName name="Z_1A52382B_3765_4E8C_903F_6B8919B7242E_.wvu.Rows" localSheetId="13">('Чум'!$19:$21,'Чум'!$23:$24,'Чум'!$28:$28,'Чум'!$31:$39,'Чум'!$47:$49,'Чум'!$57:$57,'Чум'!$59:$60,'Чум'!$67:$68,'Чум'!$78:$79,'Чум'!$83:$87,'Чум'!$90:$97)</definedName>
    <definedName name="Z_1A52382B_3765_4E8C_903F_6B8919B7242E_.wvu.Rows" localSheetId="14">('Шать'!$19:$24,'Шать'!$31:$39,'Шать'!$46:$49,'Шать'!$57:$57,'Шать'!$59:$60,'Шать'!$67:$68,'Шать'!$78:$79,'Шать'!$83:$87,'Шать'!$90:$97)</definedName>
    <definedName name="Z_1A52382B_3765_4E8C_903F_6B8919B7242E_.wvu.Rows" localSheetId="15">('Юнг'!$19:$24,'Юнг'!$31:$38,'Юнг'!$45:$49,'Юнг'!$56:$56,'Юнг'!$58:$59,'Юнг'!$66:$67,'Юнг'!$77:$77,'Юнг'!$82:$86,'Юнг'!$89:$96)</definedName>
    <definedName name="Z_1A52382B_3765_4E8C_903F_6B8919B7242E_.wvu.Rows" localSheetId="16">NA()</definedName>
    <definedName name="Z_1A52382B_3765_4E8C_903F_6B8919B7242E_.wvu.Rows" localSheetId="17">('Яра'!$19:$24,'Яра'!$46:$46,'Яра'!$48:$51,'Яра'!$58:$58,'Яра'!$60:$61,'Яра'!$68:$69,'Яра'!$79:$80,'Яра'!$84:$88,'Яра'!$91:$98)</definedName>
    <definedName name="Z_1A52382B_3765_4E8C_903F_6B8919B7242E_.wvu.Rows" localSheetId="18">('Яро'!$19:$24,'Яро'!$44:$44,'Яро'!$55:$55,'Яро'!$57:$59,'Яро'!$65:$66,'Яро'!$76:$77,'Яро'!$81:$85,'Яро'!$88:$95)</definedName>
    <definedName name="Z_3DCB9AAA_F09C_4EA6_B992_F93E466D374A_.wvu.Cols" localSheetId="1">('Справка'!$AV:$AX,'Справка'!$BB:$BD,'Справка'!$BH:$BM,'Справка'!$BT:$BY,'Справка'!$CX:$DF)</definedName>
    <definedName name="Z_3DCB9AAA_F09C_4EA6_B992_F93E466D374A_.wvu.PrintArea" localSheetId="5">'Иль'!$A$1:$F$105</definedName>
    <definedName name="Z_3DCB9AAA_F09C_4EA6_B992_F93E466D374A_.wvu.PrintArea" localSheetId="0">'Консол'!$A$1:$K$50</definedName>
    <definedName name="Z_3DCB9AAA_F09C_4EA6_B992_F93E466D374A_.wvu.PrintArea" localSheetId="7">'Мор'!$A$1:$F$102</definedName>
    <definedName name="Z_3DCB9AAA_F09C_4EA6_B992_F93E466D374A_.wvu.PrintArea" localSheetId="1">'Справка'!$A$1:$EY$31</definedName>
    <definedName name="Z_3DCB9AAA_F09C_4EA6_B992_F93E466D374A_.wvu.PrintArea" localSheetId="11">'Тор'!$A$1:$F$101</definedName>
    <definedName name="Z_3DCB9AAA_F09C_4EA6_B992_F93E466D374A_.wvu.PrintArea" localSheetId="15">'Юнг'!$A$1:$F$100</definedName>
    <definedName name="Z_3DCB9AAA_F09C_4EA6_B992_F93E466D374A_.wvu.PrintArea" localSheetId="17">'Яра'!$A$1:$F$102</definedName>
    <definedName name="Z_3DCB9AAA_F09C_4EA6_B992_F93E466D374A_.wvu.Rows" localSheetId="3">('Але'!$19:$24,'Але'!$44:$44,'Але'!$46:$46,'Але'!$53:$53,'Але'!$55:$56,'Але'!$63:$64,'Але'!$74:$75,'Але'!$79:$93)</definedName>
    <definedName name="Z_3DCB9AAA_F09C_4EA6_B992_F93E466D374A_.wvu.Rows" localSheetId="5">('Иль'!$19:$24,'Иль'!$30:$31,'Иль'!$33:$33,'Иль'!$46:$46,'Иль'!$51:$51,'Иль'!$61:$62,'Иль'!$69:$70,'Иль'!$79:$80,'Иль'!$82:$82,'Иль'!$84:$91,'Иль'!$94:$98)</definedName>
    <definedName name="Z_3DCB9AAA_F09C_4EA6_B992_F93E466D374A_.wvu.Rows" localSheetId="6">('Кад'!$19:$24,'Кад'!$45:$45,'Кад'!$57:$57,'Кад'!$59:$60,'Кад'!$67:$68,'Кад'!$84:$86,'Кад'!$90:$97)</definedName>
    <definedName name="Z_3DCB9AAA_F09C_4EA6_B992_F93E466D374A_.wvu.Rows" localSheetId="0">('Консол'!$22:$22,'Консол'!$43:$45,'Консол'!$82:$84)</definedName>
    <definedName name="Z_3DCB9AAA_F09C_4EA6_B992_F93E466D374A_.wvu.Rows" localSheetId="19">'Лист1'!$82:$84</definedName>
    <definedName name="Z_3DCB9AAA_F09C_4EA6_B992_F93E466D374A_.wvu.Rows" localSheetId="7">('Мор'!$21:$21,'Мор'!$23:$23,'Мор'!$38:$38,'Мор'!$45:$45,'Мор'!$48:$48,'Мор'!$50:$51,'Мор'!$58:$58,'Мор'!$60:$61,'Мор'!$68:$69,'Мор'!$84:$89,'Мор'!$92:$98)</definedName>
    <definedName name="Z_3DCB9AAA_F09C_4EA6_B992_F93E466D374A_.wvu.Rows" localSheetId="8">('Мос'!$19:$24,'Мос'!$44:$44,'Мос'!$58:$58,'Мос'!$60:$61,'Мос'!$68:$69,'Мос'!$82:$82,'Мос'!$84:$90,'Мос'!$95:$100)</definedName>
    <definedName name="Z_3DCB9AAA_F09C_4EA6_B992_F93E466D374A_.wvu.Rows" localSheetId="9">('Ори'!$19:$24,'Ори'!$32:$32,'Ори'!$44:$44,'Ори'!$48:$50,'Ори'!$57:$57,'Ори'!$59:$60,'Ори'!$67:$68,'Ори'!$78:$79,'Ори'!$81:$81,'Ори'!$83:$87,'Ори'!$91:$98)</definedName>
    <definedName name="Z_3DCB9AAA_F09C_4EA6_B992_F93E466D374A_.wvu.Rows" localSheetId="2">('район'!$18:$19,'район'!$21:$21,'район'!$29:$31,'район'!$51:$52,'район'!$64:$64,'район'!$71:$71,'район'!$88:$88,'район'!$95:$95,'район'!$123:$125)</definedName>
    <definedName name="Z_3DCB9AAA_F09C_4EA6_B992_F93E466D374A_.wvu.Rows" localSheetId="1">NA()</definedName>
    <definedName name="Z_3DCB9AAA_F09C_4EA6_B992_F93E466D374A_.wvu.Rows" localSheetId="4">('Сун'!$19:$24,'Сун'!$49:$51,'Сун'!$58:$58,'Сун'!$60:$61,'Сун'!$68:$69,'Сун'!$79:$80,'Сун'!$82:$85,'Сун'!$88:$89,'Сун'!$93:$97)</definedName>
    <definedName name="Z_3DCB9AAA_F09C_4EA6_B992_F93E466D374A_.wvu.Rows" localSheetId="10">('Сят'!$19:$19,'Сят'!$45:$47,'Сят'!$57:$57,'Сят'!$59:$60,'Сят'!$67:$68,'Сят'!$83:$86,'Сят'!$90:$97)</definedName>
    <definedName name="Z_3DCB9AAA_F09C_4EA6_B992_F93E466D374A_.wvu.Rows" localSheetId="11">('Тор'!$19:$19,'Тор'!$50:$50,'Тор'!$57:$57,'Тор'!$59:$60,'Тор'!$67:$68,'Тор'!$75:$75,'Тор'!$79:$80,'Тор'!$83:$93)</definedName>
    <definedName name="Z_3DCB9AAA_F09C_4EA6_B992_F93E466D374A_.wvu.Rows" localSheetId="12">('Хор'!$19:$24,'Хор'!$32:$32,'Хор'!$42:$42,'Хор'!$46:$46,'Хор'!$57:$57,'Хор'!$59:$60,'Хор'!$67:$68,'Хор'!$83:$87,'Хор'!$90:$97)</definedName>
    <definedName name="Z_3DCB9AAA_F09C_4EA6_B992_F93E466D374A_.wvu.Rows" localSheetId="13">('Чум'!$19:$19,'Чум'!$21:$21,'Чум'!$23:$24,'Чум'!$47:$49,'Чум'!$57:$57,'Чум'!$59:$60,'Чум'!$67:$68,'Чум'!$83:$87,'Чум'!$90:$97)</definedName>
    <definedName name="Z_3DCB9AAA_F09C_4EA6_B992_F93E466D374A_.wvu.Rows" localSheetId="14">('Шать'!$19:$24,'Шать'!$47:$49,'Шать'!$57:$57,'Шать'!$59:$60,'Шать'!$67:$68,'Шать'!$78:$79,'Шать'!$83:$87,'Шать'!$90:$97)</definedName>
    <definedName name="Z_3DCB9AAA_F09C_4EA6_B992_F93E466D374A_.wvu.Rows" localSheetId="15">('Юнг'!$19:$24,'Юнг'!$32:$32,'Юнг'!$46:$46,'Юнг'!$49:$49,'Юнг'!$56:$56,'Юнг'!$58:$59,'Юнг'!$66:$67,'Юнг'!$82:$86,'Юнг'!$89:$96)</definedName>
    <definedName name="Z_3DCB9AAA_F09C_4EA6_B992_F93E466D374A_.wvu.Rows" localSheetId="16">NA()</definedName>
    <definedName name="Z_3DCB9AAA_F09C_4EA6_B992_F93E466D374A_.wvu.Rows" localSheetId="17">('Яра'!$19:$24,'Яра'!$46:$50,'Яра'!$58:$58,'Яра'!$60:$61,'Яра'!$68:$69,'Яра'!$79:$79,'Яра'!$82:$88,'Яра'!$91:$98)</definedName>
    <definedName name="Z_3DCB9AAA_F09C_4EA6_B992_F93E466D374A_.wvu.Rows" localSheetId="18">('Яро'!$19:$24,'Яро'!$29:$30,'Яро'!$32:$32,'Яро'!$44:$44,'Яро'!$55:$55,'Яро'!$57:$58,'Яро'!$65:$66,'Яро'!$76:$77,'Яро'!$81:$86,'Яро'!$88:$95)</definedName>
    <definedName name="Z_42584DC0_1D41_4C93_9B38_C388E7B8DAC4_.wvu.Cols" localSheetId="1">('Справка'!$AV:$AX,'Справка'!$BB:$BD,'Справка'!$BH:$BP,'Справка'!$BT:$BY,'Справка'!$CX:$DF)</definedName>
    <definedName name="Z_42584DC0_1D41_4C93_9B38_C388E7B8DAC4_.wvu.PrintArea" localSheetId="5">'Иль'!$A$1:$F$105</definedName>
    <definedName name="Z_42584DC0_1D41_4C93_9B38_C388E7B8DAC4_.wvu.PrintArea" localSheetId="0">'Консол'!$A$1:$K$50</definedName>
    <definedName name="Z_42584DC0_1D41_4C93_9B38_C388E7B8DAC4_.wvu.PrintArea" localSheetId="7">'Мор'!$A$1:$F$102</definedName>
    <definedName name="Z_42584DC0_1D41_4C93_9B38_C388E7B8DAC4_.wvu.PrintArea" localSheetId="1">'Справка'!$A$1:$EY$31</definedName>
    <definedName name="Z_42584DC0_1D41_4C93_9B38_C388E7B8DAC4_.wvu.PrintArea" localSheetId="11">'Тор'!$A$1:$F$101</definedName>
    <definedName name="Z_42584DC0_1D41_4C93_9B38_C388E7B8DAC4_.wvu.PrintArea" localSheetId="15">'Юнг'!$A$1:$F$100</definedName>
    <definedName name="Z_42584DC0_1D41_4C93_9B38_C388E7B8DAC4_.wvu.PrintArea" localSheetId="17">'Яра'!$A$1:$F$102</definedName>
    <definedName name="Z_42584DC0_1D41_4C93_9B38_C388E7B8DAC4_.wvu.Rows" localSheetId="3">('Але'!$19:$24,'Але'!$31:$33,'Але'!$36:$36,'Але'!$44:$44,'Але'!$46:$46,'Але'!$53:$53,'Але'!$55:$57,'Але'!$63:$64,'Але'!$74:$75,'Але'!$79:$83,'Але'!$86:$93)</definedName>
    <definedName name="Z_42584DC0_1D41_4C93_9B38_C388E7B8DAC4_.wvu.Rows" localSheetId="5">('Иль'!$19:$24,'Иль'!$30:$40,'Иль'!$46:$46,'Иль'!$48:$51,'Иль'!$59:$59,'Иль'!$61:$63,'Иль'!$69:$70,'Иль'!$79:$80,'Иль'!$82:$82,'Иль'!$87:$91,'Иль'!$94:$101)</definedName>
    <definedName name="Z_42584DC0_1D41_4C93_9B38_C388E7B8DAC4_.wvu.Rows" localSheetId="6">('Кад'!$19:$24,'Кад'!$31:$36,'Кад'!$39:$39,'Кад'!$45:$45,'Кад'!$47:$47,'Кад'!$49:$50,'Кад'!$57:$57,'Кад'!$59:$61,'Кад'!$67:$68,'Кад'!$78:$79,'Кад'!$83:$87,'Кад'!$90:$97)</definedName>
    <definedName name="Z_42584DC0_1D41_4C93_9B38_C388E7B8DAC4_.wvu.Rows" localSheetId="0">('Консол'!$22:$22,'Консол'!$43:$45)</definedName>
    <definedName name="Z_42584DC0_1D41_4C93_9B38_C388E7B8DAC4_.wvu.Rows" localSheetId="7">('Мор'!$17:$24,'Мор'!$38:$38,'Мор'!$45:$45,'Мор'!$47:$48,'Мор'!$50:$51,'Мор'!$58:$58,'Мор'!$60:$61,'Мор'!$65:$66,'Мор'!$68:$69,'Мор'!$79:$80,'Мор'!$84:$89,'Мор'!$92:$98)</definedName>
    <definedName name="Z_42584DC0_1D41_4C93_9B38_C388E7B8DAC4_.wvu.Rows" localSheetId="8">('Мос'!$19:$24,'Мос'!$29:$35,'Мос'!$44:$44,'Мос'!$46:$50,'Мос'!$58:$58,'Мос'!$60:$61,'Мос'!$68:$69,'Мос'!$79:$80,'Мос'!$82:$82,'Мос'!$85:$92,'Мос'!$95:$102)</definedName>
    <definedName name="Z_42584DC0_1D41_4C93_9B38_C388E7B8DAC4_.wvu.Rows" localSheetId="9">('Ори'!$19:$24,'Ори'!$31:$35,'Ори'!$38:$38,'Ори'!$44:$44,'Ори'!$46:$46,'Ори'!$48:$50,'Ори'!$57:$57,'Ори'!$59:$61,'Ори'!$67:$68,'Ори'!$78:$79,'Ори'!$81:$81,'Ори'!$84:$88,'Ори'!$91:$98)</definedName>
    <definedName name="Z_42584DC0_1D41_4C93_9B38_C388E7B8DAC4_.wvu.Rows" localSheetId="2">NA()</definedName>
    <definedName name="Z_42584DC0_1D41_4C93_9B38_C388E7B8DAC4_.wvu.Rows" localSheetId="1">NA()</definedName>
    <definedName name="Z_42584DC0_1D41_4C93_9B38_C388E7B8DAC4_.wvu.Rows" localSheetId="4">('Сун'!$19:$24,'Сун'!$34:$39,'Сун'!$49:$51,'Сун'!$58:$58,'Сун'!$60:$63,'Сун'!$68:$69,'Сун'!$79:$80,'Сун'!$82:$82,'Сун'!$85:$85,'Сун'!$87:$89,'Сун'!$93:$100)</definedName>
    <definedName name="Z_42584DC0_1D41_4C93_9B38_C388E7B8DAC4_.wvu.Rows" localSheetId="10">('Сят'!$19:$24,'Сят'!$31:$35,'Сят'!$45:$48,'Сят'!$57:$57,'Сят'!$59:$60,'Сят'!$67:$68,'Сят'!$78:$79,'Сят'!$83:$87,'Сят'!$90:$97)</definedName>
    <definedName name="Z_42584DC0_1D41_4C93_9B38_C388E7B8DAC4_.wvu.Rows" localSheetId="11">('Тор'!$19:$24,'Тор'!$32:$36,'Тор'!$46:$47,'Тор'!$50:$50,'Тор'!$57:$57,'Тор'!$59:$60,'Тор'!$67:$68,'Тор'!$75:$75,'Тор'!$79:$80,'Тор'!$84:$95)</definedName>
    <definedName name="Z_42584DC0_1D41_4C93_9B38_C388E7B8DAC4_.wvu.Rows" localSheetId="12">('Хор'!$19:$24,'Хор'!$28:$38,'Хор'!$42:$42,'Хор'!$46:$46,'Хор'!$48:$50,'Хор'!$57:$57,'Хор'!$59:$61,'Хор'!$67:$68,'Хор'!$74:$74,'Хор'!$78:$79,'Хор'!$83:$87,'Хор'!$90:$97)</definedName>
    <definedName name="Z_42584DC0_1D41_4C93_9B38_C388E7B8DAC4_.wvu.Rows" localSheetId="13">('Чум'!$19:$24,'Чум'!$31:$36,'Чум'!$47:$49,'Чум'!$57:$57,'Чум'!$59:$61,'Чум'!$67:$68,'Чум'!$78:$79,'Чум'!$83:$87,'Чум'!$90:$97)</definedName>
    <definedName name="Z_42584DC0_1D41_4C93_9B38_C388E7B8DAC4_.wvu.Rows" localSheetId="14">('Шать'!$19:$24,'Шать'!$32:$33,'Шать'!$35:$35,'Шать'!$38:$38,'Шать'!$46:$49,'Шать'!$57:$57,'Шать'!$59:$61,'Шать'!$67:$68,'Шать'!$78:$79,'Шать'!$83:$87,'Шать'!$90:$97)</definedName>
    <definedName name="Z_42584DC0_1D41_4C93_9B38_C388E7B8DAC4_.wvu.Rows" localSheetId="15">('Юнг'!$19:$24,'Юнг'!$31:$38,'Юнг'!$45:$46,'Юнг'!$49:$49,'Юнг'!$56:$56,'Юнг'!$58:$60,'Юнг'!$66:$68,'Юнг'!$77:$78,'Юнг'!$82:$86,'Юнг'!$89:$96)</definedName>
    <definedName name="Z_42584DC0_1D41_4C93_9B38_C388E7B8DAC4_.wvu.Rows" localSheetId="16">NA()</definedName>
    <definedName name="Z_42584DC0_1D41_4C93_9B38_C388E7B8DAC4_.wvu.Rows" localSheetId="17">('Яра'!$19:$24,'Яра'!$32:$36,'Яра'!$46:$50,'Яра'!$58:$58,'Яра'!$60:$62,'Яра'!$68:$69,'Яра'!$79:$80,'Яра'!$84:$88,'Яра'!$91:$98)</definedName>
    <definedName name="Z_42584DC0_1D41_4C93_9B38_C388E7B8DAC4_.wvu.Rows" localSheetId="18">('Яро'!$19:$24,'Яро'!$28:$36,'Яро'!$44:$45,'Яро'!$47:$48,'Яро'!$55:$55,'Яро'!$57:$59,'Яро'!$65:$66,'Яро'!$76:$77,'Яро'!$81:$85,'Яро'!$88:$95)</definedName>
    <definedName name="Z_5BFCA170_DEAE_4D2C_98A0_1E68B427AC01_.wvu.Cols" localSheetId="1">('Справка'!$AV:$AX,'Справка'!$BB:$BD,'Справка'!$BH:$BM,'Справка'!$BT:$BY,'Справка'!$CX:$DF)</definedName>
    <definedName name="Z_5BFCA170_DEAE_4D2C_98A0_1E68B427AC01_.wvu.PrintArea" localSheetId="5">'Иль'!$A$1:$F$105</definedName>
    <definedName name="Z_5BFCA170_DEAE_4D2C_98A0_1E68B427AC01_.wvu.PrintArea" localSheetId="0">'Консол'!$A$1:$K$50</definedName>
    <definedName name="Z_5BFCA170_DEAE_4D2C_98A0_1E68B427AC01_.wvu.PrintArea" localSheetId="7">'Мор'!$A$1:$F$102</definedName>
    <definedName name="Z_5BFCA170_DEAE_4D2C_98A0_1E68B427AC01_.wvu.PrintArea" localSheetId="1">'Справка'!$A$1:$EY$31</definedName>
    <definedName name="Z_5BFCA170_DEAE_4D2C_98A0_1E68B427AC01_.wvu.PrintArea" localSheetId="11">'Тор'!$A$1:$F$101</definedName>
    <definedName name="Z_5BFCA170_DEAE_4D2C_98A0_1E68B427AC01_.wvu.PrintArea" localSheetId="15">'Юнг'!$A$1:$F$100</definedName>
    <definedName name="Z_5BFCA170_DEAE_4D2C_98A0_1E68B427AC01_.wvu.PrintArea" localSheetId="17">'Яра'!$A$1:$F$102</definedName>
    <definedName name="Z_5BFCA170_DEAE_4D2C_98A0_1E68B427AC01_.wvu.Rows" localSheetId="3">('Але'!$19:$24,'Але'!$44:$44,'Але'!$46:$46,'Але'!$53:$53,'Але'!$55:$56,'Але'!$63:$64,'Але'!$74:$75,'Але'!$79:$83,'Але'!$87:$89)</definedName>
    <definedName name="Z_5BFCA170_DEAE_4D2C_98A0_1E68B427AC01_.wvu.Rows" localSheetId="5">('Иль'!$19:$24,'Иль'!$30:$31,'Иль'!$33:$33,'Иль'!$46:$46,'Иль'!$51:$51,'Иль'!$61:$62,'Иль'!$69:$70,'Иль'!$79:$80,'Иль'!$82:$82,'Иль'!$94:$98)</definedName>
    <definedName name="Z_5BFCA170_DEAE_4D2C_98A0_1E68B427AC01_.wvu.Rows" localSheetId="6">('Кад'!$19:$24,'Кад'!$45:$45,'Кад'!$57:$57,'Кад'!$59:$60,'Кад'!$67:$68,'Кад'!$84:$86,'Кад'!$90:$97)</definedName>
    <definedName name="Z_5BFCA170_DEAE_4D2C_98A0_1E68B427AC01_.wvu.Rows" localSheetId="0">('Консол'!$22:$22,'Консол'!$43:$45,'Консол'!$82:$84)</definedName>
    <definedName name="Z_5BFCA170_DEAE_4D2C_98A0_1E68B427AC01_.wvu.Rows" localSheetId="19">'Лист1'!$82:$84</definedName>
    <definedName name="Z_5BFCA170_DEAE_4D2C_98A0_1E68B427AC01_.wvu.Rows" localSheetId="7">('Мор'!$21:$21,'Мор'!$23:$23,'Мор'!$38:$38,'Мор'!$45:$45,'Мор'!$48:$48,'Мор'!$50:$51,'Мор'!$58:$58,'Мор'!$60:$61,'Мор'!$68:$69,'Мор'!$84:$89,'Мор'!$92:$98)</definedName>
    <definedName name="Z_5BFCA170_DEAE_4D2C_98A0_1E68B427AC01_.wvu.Rows" localSheetId="8">('Мос'!$19:$24,'Мос'!$44:$44,'Мос'!$58:$58,'Мос'!$60:$61,'Мос'!$68:$69,'Мос'!$82:$82,'Мос'!$84:$90,'Мос'!$95:$100)</definedName>
    <definedName name="Z_5BFCA170_DEAE_4D2C_98A0_1E68B427AC01_.wvu.Rows" localSheetId="9">('Ори'!$19:$24,'Ори'!$32:$32,'Ори'!$44:$44,'Ори'!$48:$50,'Ори'!$57:$57,'Ори'!$59:$60,'Ори'!$67:$68,'Ори'!$78:$79,'Ори'!$81:$81,'Ори'!$83:$87,'Ори'!$91:$98)</definedName>
    <definedName name="Z_5BFCA170_DEAE_4D2C_98A0_1E68B427AC01_.wvu.Rows" localSheetId="2">('район'!$18:$19,'район'!$21:$21,'район'!$29:$31,'район'!$51:$52,'район'!$64:$64,'район'!$71:$71,'район'!$88:$88,'район'!$95:$95,'район'!$123:$125)</definedName>
    <definedName name="Z_5BFCA170_DEAE_4D2C_98A0_1E68B427AC01_.wvu.Rows" localSheetId="4">('Сун'!$19:$24,'Сун'!$49:$51,'Сун'!$58:$58,'Сун'!$60:$61,'Сун'!$68:$69,'Сун'!$79:$80,'Сун'!$82:$82,'Сун'!$88:$89,'Сун'!$93:$97)</definedName>
    <definedName name="Z_5BFCA170_DEAE_4D2C_98A0_1E68B427AC01_.wvu.Rows" localSheetId="10">('Сят'!$19:$19,'Сят'!$45:$47,'Сят'!$57:$57,'Сят'!$59:$60,'Сят'!$67:$68,'Сят'!$83:$86,'Сят'!$90:$97)</definedName>
    <definedName name="Z_5BFCA170_DEAE_4D2C_98A0_1E68B427AC01_.wvu.Rows" localSheetId="11">('Тор'!$19:$19,'Тор'!$50:$50,'Тор'!$57:$57,'Тор'!$59:$60,'Тор'!$67:$68,'Тор'!$75:$75,'Тор'!$79:$80,'Тор'!$83:$93)</definedName>
    <definedName name="Z_5BFCA170_DEAE_4D2C_98A0_1E68B427AC01_.wvu.Rows" localSheetId="12">('Хор'!$19:$24,'Хор'!$32:$32,'Хор'!$42:$42,'Хор'!$46:$46,'Хор'!$57:$57,'Хор'!$59:$60,'Хор'!$67:$68,'Хор'!$83:$87,'Хор'!$90:$97)</definedName>
    <definedName name="Z_5BFCA170_DEAE_4D2C_98A0_1E68B427AC01_.wvu.Rows" localSheetId="13">('Чум'!$19:$19,'Чум'!$21:$21,'Чум'!$23:$24,'Чум'!$47:$49,'Чум'!$57:$57,'Чум'!$59:$60,'Чум'!$67:$68,'Чум'!$83:$87,'Чум'!$90:$97)</definedName>
    <definedName name="Z_5BFCA170_DEAE_4D2C_98A0_1E68B427AC01_.wvu.Rows" localSheetId="14">('Шать'!$19:$24,'Шать'!$47:$49,'Шать'!$57:$57,'Шать'!$59:$60,'Шать'!$67:$68,'Шать'!$78:$79,'Шать'!$83:$87,'Шать'!$90:$97)</definedName>
    <definedName name="Z_5BFCA170_DEAE_4D2C_98A0_1E68B427AC01_.wvu.Rows" localSheetId="15">('Юнг'!$19:$24,'Юнг'!$32:$32,'Юнг'!$49:$49,'Юнг'!$56:$56,'Юнг'!$58:$59,'Юнг'!$66:$67,'Юнг'!$82:$86,'Юнг'!$89:$96)</definedName>
    <definedName name="Z_5BFCA170_DEAE_4D2C_98A0_1E68B427AC01_.wvu.Rows" localSheetId="16">NA()</definedName>
    <definedName name="Z_5BFCA170_DEAE_4D2C_98A0_1E68B427AC01_.wvu.Rows" localSheetId="17">('Яра'!$19:$24,'Яра'!$46:$50,'Яра'!$58:$58,'Яра'!$60:$61,'Яра'!$68:$69,'Яра'!$79:$79,'Яра'!$82:$88,'Яра'!$91:$98)</definedName>
    <definedName name="Z_5BFCA170_DEAE_4D2C_98A0_1E68B427AC01_.wvu.Rows" localSheetId="18">('Яро'!$19:$24,'Яро'!$44:$44,'Яро'!$55:$55,'Яро'!$57:$58,'Яро'!$65:$66,'Яро'!$76:$77,'Яро'!$81:$86,'Яро'!$88:$95)</definedName>
    <definedName name="Z_61528DAC_5C4C_48F4_ADE2_8A724B05A086_.wvu.Cols" localSheetId="1">('Справка'!$AV:$AX,'Справка'!$BB:$BD,'Справка'!$BH:$BM,'Справка'!$BT:$BY,'Справка'!$CX:$DF)</definedName>
    <definedName name="Z_61528DAC_5C4C_48F4_ADE2_8A724B05A086_.wvu.PrintArea" localSheetId="5">'Иль'!$A$1:$F$105</definedName>
    <definedName name="Z_61528DAC_5C4C_48F4_ADE2_8A724B05A086_.wvu.PrintArea" localSheetId="0">'Консол'!$A$1:$K$50</definedName>
    <definedName name="Z_61528DAC_5C4C_48F4_ADE2_8A724B05A086_.wvu.PrintArea" localSheetId="7">'Мор'!$A$1:$F$102</definedName>
    <definedName name="Z_61528DAC_5C4C_48F4_ADE2_8A724B05A086_.wvu.PrintArea" localSheetId="1">'Справка'!$A$1:$EY$31</definedName>
    <definedName name="Z_61528DAC_5C4C_48F4_ADE2_8A724B05A086_.wvu.PrintArea" localSheetId="11">'Тор'!$A$1:$F$101</definedName>
    <definedName name="Z_61528DAC_5C4C_48F4_ADE2_8A724B05A086_.wvu.PrintArea" localSheetId="15">'Юнг'!$A$1:$F$100</definedName>
    <definedName name="Z_61528DAC_5C4C_48F4_ADE2_8A724B05A086_.wvu.PrintArea" localSheetId="17">'Яра'!$A$1:$F$102</definedName>
    <definedName name="Z_61528DAC_5C4C_48F4_ADE2_8A724B05A086_.wvu.Rows" localSheetId="3">('Але'!$19:$24,'Але'!$28:$36,'Але'!$46:$46,'Але'!$53:$53,'Але'!$55:$57,'Але'!$63:$64,'Але'!$74:$75,'Але'!$79:$83,'Але'!$86:$93,'Але'!$142:$142)</definedName>
    <definedName name="Z_61528DAC_5C4C_48F4_ADE2_8A724B05A086_.wvu.Rows" localSheetId="5">('Иль'!$19:$24,'Иль'!$44:$44,'Иль'!$46:$46,'Иль'!$59:$59,'Иль'!$61:$63,'Иль'!$69:$70,'Иль'!$79:$80,'Иль'!$82:$82,'Иль'!$87:$91,'Иль'!$94:$101,'Иль'!$144:$144)</definedName>
    <definedName name="Z_61528DAC_5C4C_48F4_ADE2_8A724B05A086_.wvu.Rows" localSheetId="6">('Кад'!$19:$24,'Кад'!$39:$39,'Кад'!$43:$43,'Кад'!$45:$45,'Кад'!$57:$57,'Кад'!$59:$60,'Кад'!$67:$68,'Кад'!$78:$78,'Кад'!$83:$87,'Кад'!$90:$97,'Кад'!$143:$143)</definedName>
    <definedName name="Z_61528DAC_5C4C_48F4_ADE2_8A724B05A086_.wvu.Rows" localSheetId="0">('Консол'!$22:$22,'Консол'!$43:$45)</definedName>
    <definedName name="Z_61528DAC_5C4C_48F4_ADE2_8A724B05A086_.wvu.Rows" localSheetId="19">'Лист1'!$82:$84</definedName>
    <definedName name="Z_61528DAC_5C4C_48F4_ADE2_8A724B05A086_.wvu.Rows" localSheetId="7">('Мор'!$17:$24,'Мор'!$27:$27,'Мор'!$38:$38,'Мор'!$45:$45,'Мор'!$58:$58,'Мор'!$60:$61,'Мор'!$65:$66,'Мор'!$68:$69,'Мор'!$79:$79,'Мор'!$84:$89,'Мор'!$92:$98,'Мор'!$143:$143)</definedName>
    <definedName name="Z_61528DAC_5C4C_48F4_ADE2_8A724B05A086_.wvu.Rows" localSheetId="8">('Мос'!$19:$24,'Мос'!$29:$35,'Мос'!$44:$44,'Мос'!$58:$58,'Мос'!$60:$61,'Мос'!$68:$69,'Мос'!$85:$92,'Мос'!$95:$102,'Мос'!$143:$143)</definedName>
    <definedName name="Z_61528DAC_5C4C_48F4_ADE2_8A724B05A086_.wvu.Rows" localSheetId="9">('Ори'!$19:$24,'Ори'!$31:$35,'Ори'!$44:$44,'Ори'!$48:$50,'Ори'!$57:$57,'Ори'!$59:$60,'Ори'!$67:$68,'Ори'!$78:$78,'Ори'!$81:$81,'Ори'!$84:$88,'Ори'!$91:$98,'Ори'!$142:$142)</definedName>
    <definedName name="Z_61528DAC_5C4C_48F4_ADE2_8A724B05A086_.wvu.Rows" localSheetId="2">('район'!$18:$19,'район'!$21:$21,'район'!$26:$26,'район'!$28:$32,'район'!$36:$36,'район'!$39:$39,'район'!$51:$52,'район'!$71:$71,'район'!$88:$88,'район'!$95:$95,'район'!$123:$125,'район'!$128:$129)</definedName>
    <definedName name="Z_61528DAC_5C4C_48F4_ADE2_8A724B05A086_.wvu.Rows" localSheetId="4">('Сун'!$19:$24,'Сун'!$34:$36,'Сун'!$43:$43,'Сун'!$45:$45,'Сун'!$49:$51,'Сун'!$60:$61,'Сун'!$68:$69,'Сун'!$79:$79,'Сун'!$82:$82,'Сун'!$85:$85,'Сун'!$87:$87,'Сун'!$93:$100,'Сун'!$142:$142)</definedName>
    <definedName name="Z_61528DAC_5C4C_48F4_ADE2_8A724B05A086_.wvu.Rows" localSheetId="10">('Сят'!$19:$24,'Сят'!$31:$33,'Сят'!$38:$38,'Сят'!$45:$47,'Сят'!$57:$57,'Сят'!$59:$60,'Сят'!$67:$68,'Сят'!$78:$78,'Сят'!$83:$87,'Сят'!$90:$97,'Сят'!$143:$143)</definedName>
    <definedName name="Z_61528DAC_5C4C_48F4_ADE2_8A724B05A086_.wvu.Rows" localSheetId="11">('Тор'!$19:$24,'Тор'!$32:$36,'Тор'!$39:$39,'Тор'!$50:$50,'Тор'!$57:$57,'Тор'!$59:$60,'Тор'!$67:$68,'Тор'!$75:$75,'Тор'!$79:$79,'Тор'!$84:$95,'Тор'!$142:$142)</definedName>
    <definedName name="Z_61528DAC_5C4C_48F4_ADE2_8A724B05A086_.wvu.Rows" localSheetId="12">('Хор'!$19:$24,'Хор'!$28:$28,'Хор'!$42:$42,'Хор'!$48:$50,'Хор'!$57:$57,'Хор'!$59:$61,'Хор'!$67:$68,'Хор'!$78:$78,'Хор'!$83:$87,'Хор'!$90:$97,'Хор'!$144:$144)</definedName>
    <definedName name="Z_61528DAC_5C4C_48F4_ADE2_8A724B05A086_.wvu.Rows" localSheetId="13">('Чум'!$19:$24,'Чум'!$31:$39,'Чум'!$57:$57,'Чум'!$59:$60,'Чум'!$67:$68,'Чум'!$78:$78,'Чум'!$83:$87,'Чум'!$90:$97,'Чум'!$142:$142)</definedName>
    <definedName name="Z_61528DAC_5C4C_48F4_ADE2_8A724B05A086_.wvu.Rows" localSheetId="14">('Шать'!$19:$19,'Шать'!$22:$25,'Шать'!$57:$57,'Шать'!$59:$60,'Шать'!$67:$68,'Шать'!$78:$78,'Шать'!$83:$87,'Шать'!$90:$97,'Шать'!$142:$142)</definedName>
    <definedName name="Z_61528DAC_5C4C_48F4_ADE2_8A724B05A086_.wvu.Rows" localSheetId="15">('Юнг'!$19:$24,'Юнг'!$38:$38,'Юнг'!$56:$56,'Юнг'!$58:$59,'Юнг'!$66:$67,'Юнг'!$77:$77,'Юнг'!$82:$86,'Юнг'!$89:$96,'Юнг'!$142:$142)</definedName>
    <definedName name="Z_61528DAC_5C4C_48F4_ADE2_8A724B05A086_.wvu.Rows" localSheetId="16">('Юсь'!$19:$24,'Юсь'!$31:$33,'Юсь'!$38:$38,'Юсь'!$45:$48,'Юсь'!$59:$59,'Юсь'!$61:$62,'Юсь'!$69:$70,'Юсь'!$85:$89,'Юсь'!$92:$99,'Юсь'!$143:$143)</definedName>
    <definedName name="Z_61528DAC_5C4C_48F4_ADE2_8A724B05A086_.wvu.Rows" localSheetId="17">('Яра'!$19:$24,'Яра'!$58:$58,'Яра'!$60:$61,'Яра'!$68:$69,'Яра'!$79:$79,'Яра'!$84:$88,'Яра'!$91:$98,'Яра'!$143:$143)</definedName>
    <definedName name="Z_61528DAC_5C4C_48F4_ADE2_8A724B05A086_.wvu.Rows" localSheetId="18">('Яро'!$19:$24,'Яро'!$28:$33,'Яро'!$44:$44,'Яро'!$55:$55,'Яро'!$57:$58,'Яро'!$65:$66,'Яро'!$76:$76,'Яро'!$81:$85,'Яро'!$88:$95)</definedName>
    <definedName name="Z_A54C432C_6C68_4B53_A75C_446EB3A61B2B_.wvu.Cols" localSheetId="1">('Справка'!$AV:$AX,'Справка'!$BB:$BD,'Справка'!$BH:$BP,'Справка'!$BT:$BY,'Справка'!$CX:$DF)</definedName>
    <definedName name="Z_A54C432C_6C68_4B53_A75C_446EB3A61B2B_.wvu.PrintArea" localSheetId="5">'Иль'!$A$1:$F$105</definedName>
    <definedName name="Z_A54C432C_6C68_4B53_A75C_446EB3A61B2B_.wvu.PrintArea" localSheetId="0">'Консол'!$A$1:$K$50</definedName>
    <definedName name="Z_A54C432C_6C68_4B53_A75C_446EB3A61B2B_.wvu.PrintArea" localSheetId="7">'Мор'!$A$1:$F$102</definedName>
    <definedName name="Z_A54C432C_6C68_4B53_A75C_446EB3A61B2B_.wvu.PrintArea" localSheetId="1">'Справка'!$A$1:$EY$31</definedName>
    <definedName name="Z_A54C432C_6C68_4B53_A75C_446EB3A61B2B_.wvu.PrintArea" localSheetId="11">'Тор'!$A$1:$F$101</definedName>
    <definedName name="Z_A54C432C_6C68_4B53_A75C_446EB3A61B2B_.wvu.PrintArea" localSheetId="15">'Юнг'!$A$1:$F$100</definedName>
    <definedName name="Z_A54C432C_6C68_4B53_A75C_446EB3A61B2B_.wvu.PrintArea" localSheetId="17">'Яра'!$A$1:$F$102</definedName>
    <definedName name="Z_A54C432C_6C68_4B53_A75C_446EB3A61B2B_.wvu.Rows" localSheetId="3">('Але'!$19:$24,'Але'!$28:$33,'Але'!$36:$36,'Але'!$46:$46,'Але'!$53:$53,'Але'!$55:$57,'Але'!$63:$64,'Але'!$74:$75,'Але'!$79:$83,'Але'!$86:$93,'Але'!$142:$142)</definedName>
    <definedName name="Z_A54C432C_6C68_4B53_A75C_446EB3A61B2B_.wvu.Rows" localSheetId="5">('Иль'!$19:$24,'Иль'!$30:$40,'Иль'!$46:$46,'Иль'!$48:$51,'Иль'!$59:$59,'Иль'!$61:$63,'Иль'!$69:$70,'Иль'!$79:$80,'Иль'!$82:$82,'Иль'!$87:$91,'Иль'!$94:$101,'Иль'!$144:$144)</definedName>
    <definedName name="Z_A54C432C_6C68_4B53_A75C_446EB3A61B2B_.wvu.Rows" localSheetId="6">('Кад'!$19:$24,'Кад'!$31:$36,'Кад'!$39:$39,'Кад'!$43:$43,'Кад'!$45:$45,'Кад'!$47:$47,'Кад'!$49:$50,'Кад'!$57:$57,'Кад'!$59:$61,'Кад'!$67:$68,'Кад'!$78:$79,'Кад'!$83:$87,'Кад'!$90:$97,'Кад'!$143:$143)</definedName>
    <definedName name="Z_A54C432C_6C68_4B53_A75C_446EB3A61B2B_.wvu.Rows" localSheetId="0">('Консол'!$22:$22,'Консол'!$43:$45)</definedName>
    <definedName name="Z_A54C432C_6C68_4B53_A75C_446EB3A61B2B_.wvu.Rows" localSheetId="19">'Лист1'!$82:$84</definedName>
    <definedName name="Z_A54C432C_6C68_4B53_A75C_446EB3A61B2B_.wvu.Rows" localSheetId="7">('Мор'!$17:$24,'Мор'!$27:$27,'Мор'!$31:$36,'Мор'!$38:$38,'Мор'!$45:$45,'Мор'!$47:$48,'Мор'!$50:$51,'Мор'!$58:$58,'Мор'!$60:$61,'Мор'!$65:$66,'Мор'!$68:$69,'Мор'!$79:$80,'Мор'!$84:$89,'Мор'!$92:$98,'Мор'!$143:$143)</definedName>
    <definedName name="Z_A54C432C_6C68_4B53_A75C_446EB3A61B2B_.wvu.Rows" localSheetId="8">('Мос'!$19:$24,'Мос'!$29:$35,'Мос'!$44:$44,'Мос'!$46:$50,'Мос'!$58:$58,'Мос'!$60:$61,'Мос'!$68:$69,'Мос'!$79:$80,'Мос'!$82:$82,'Мос'!$85:$92,'Мос'!$95:$102,'Мос'!$143:$143)</definedName>
    <definedName name="Z_A54C432C_6C68_4B53_A75C_446EB3A61B2B_.wvu.Rows" localSheetId="9">('Ори'!$19:$24,'Ори'!$31:$35,'Ори'!$44:$44,'Ори'!$46:$46,'Ори'!$48:$50,'Ори'!$57:$57,'Ори'!$59:$60,'Ори'!$67:$68,'Ори'!$78:$79,'Ори'!$81:$81,'Ори'!$84:$88,'Ори'!$91:$98,'Ори'!$142:$142)</definedName>
    <definedName name="Z_A54C432C_6C68_4B53_A75C_446EB3A61B2B_.wvu.Rows" localSheetId="2">NA()</definedName>
    <definedName name="Z_A54C432C_6C68_4B53_A75C_446EB3A61B2B_.wvu.Rows" localSheetId="1">NA()</definedName>
    <definedName name="Z_A54C432C_6C68_4B53_A75C_446EB3A61B2B_.wvu.Rows" localSheetId="4">('Сун'!$19:$24,'Сун'!$34:$39,'Сун'!$43:$43,'Сун'!$45:$45,'Сун'!$47:$47,'Сун'!$49:$51,'Сун'!$58:$58,'Сун'!$60:$62,'Сун'!$68:$69,'Сун'!$79:$80,'Сун'!$82:$82,'Сун'!$85:$85,'Сун'!$87:$89,'Сун'!$93:$100,'Сун'!$142:$142)</definedName>
    <definedName name="Z_A54C432C_6C68_4B53_A75C_446EB3A61B2B_.wvu.Rows" localSheetId="10">('Сят'!$19:$24,'Сят'!$31:$35,'Сят'!$38:$38,'Сят'!$45:$48,'Сят'!$57:$57,'Сят'!$59:$60,'Сят'!$67:$68,'Сят'!$78:$79,'Сят'!$83:$87,'Сят'!$90:$97,'Сят'!$143:$143)</definedName>
    <definedName name="Z_A54C432C_6C68_4B53_A75C_446EB3A61B2B_.wvu.Rows" localSheetId="11">('Тор'!$19:$24,'Тор'!$32:$36,'Тор'!$39:$39,'Тор'!$46:$47,'Тор'!$50:$50,'Тор'!$57:$57,'Тор'!$59:$60,'Тор'!$67:$68,'Тор'!$75:$75,'Тор'!$79:$80,'Тор'!$84:$95,'Тор'!$142:$142)</definedName>
    <definedName name="Z_A54C432C_6C68_4B53_A75C_446EB3A61B2B_.wvu.Rows" localSheetId="12">('Хор'!$19:$24,'Хор'!$28:$33,'Хор'!$42:$42,'Хор'!$46:$46,'Хор'!$48:$50,'Хор'!$57:$57,'Хор'!$59:$61,'Хор'!$67:$68,'Хор'!$74:$74,'Хор'!$78:$79,'Хор'!$83:$87,'Хор'!$90:$97,'Хор'!$144:$144)</definedName>
    <definedName name="Z_A54C432C_6C68_4B53_A75C_446EB3A61B2B_.wvu.Rows" localSheetId="13">('Чум'!$19:$24,'Чум'!$31:$36,'Чум'!$46:$49,'Чум'!$57:$57,'Чум'!$59:$61,'Чум'!$67:$68,'Чум'!$78:$79,'Чум'!$83:$87,'Чум'!$90:$97,'Чум'!$142:$142)</definedName>
    <definedName name="Z_A54C432C_6C68_4B53_A75C_446EB3A61B2B_.wvu.Rows" localSheetId="14">('Шать'!$19:$25,'Шать'!$31:$33,'Шать'!$46:$49,'Шать'!$57:$57,'Шать'!$59:$60,'Шать'!$67:$68,'Шать'!$78:$79,'Шать'!$84:$86,'Шать'!$90:$97,'Шать'!$142:$142)</definedName>
    <definedName name="Z_A54C432C_6C68_4B53_A75C_446EB3A61B2B_.wvu.Rows" localSheetId="15">('Юнг'!$19:$24,'Юнг'!$33:$33,'Юнг'!$38:$38,'Юнг'!$46:$47,'Юнг'!$56:$56,'Юнг'!$58:$60,'Юнг'!$66:$68,'Юнг'!$77:$78,'Юнг'!$82:$86,'Юнг'!$89:$96,'Юнг'!$142:$142)</definedName>
    <definedName name="Z_A54C432C_6C68_4B53_A75C_446EB3A61B2B_.wvu.Rows" localSheetId="16">NA()</definedName>
    <definedName name="Z_A54C432C_6C68_4B53_A75C_446EB3A61B2B_.wvu.Rows" localSheetId="17">('Яра'!$19:$24,'Яра'!$32:$34,'Яра'!$46:$50,'Яра'!$58:$58,'Яра'!$60:$62,'Яра'!$68:$69,'Яра'!$79:$80,'Яра'!$84:$88,'Яра'!$91:$98,'Яра'!$143:$143)</definedName>
    <definedName name="Z_A54C432C_6C68_4B53_A75C_446EB3A61B2B_.wvu.Rows" localSheetId="18">('Яро'!$19:$24,'Яро'!$28:$36,'Яро'!$44:$44,'Яро'!$47:$47,'Яро'!$55:$55,'Яро'!$57:$59,'Яро'!$65:$66,'Яро'!$76:$76,'Яро'!$81:$85,'Яро'!$88:$95)</definedName>
    <definedName name="Z_B30CE22D_C12F_4E12_8BB9_3AAE0A6991CC_.wvu.Cols" localSheetId="1">('Справка'!$AV:$AX,'Справка'!$BB:$BD,'Справка'!$BH:$BM,'Справка'!$BT:$BY,'Справка'!$CX:$DF)</definedName>
    <definedName name="Z_B30CE22D_C12F_4E12_8BB9_3AAE0A6991CC_.wvu.PrintArea" localSheetId="3">'Але'!$A$1:$F$97</definedName>
    <definedName name="Z_B30CE22D_C12F_4E12_8BB9_3AAE0A6991CC_.wvu.PrintArea" localSheetId="5">'Иль'!$A$1:$F$105</definedName>
    <definedName name="Z_B30CE22D_C12F_4E12_8BB9_3AAE0A6991CC_.wvu.PrintArea" localSheetId="0">'Консол'!$A$1:$K$50</definedName>
    <definedName name="Z_B30CE22D_C12F_4E12_8BB9_3AAE0A6991CC_.wvu.PrintArea" localSheetId="7">'Мор'!$A$1:$F$102</definedName>
    <definedName name="Z_B30CE22D_C12F_4E12_8BB9_3AAE0A6991CC_.wvu.PrintArea" localSheetId="1">'Справка'!$A$1:$EY$31</definedName>
    <definedName name="Z_B30CE22D_C12F_4E12_8BB9_3AAE0A6991CC_.wvu.PrintArea" localSheetId="4">'Сун'!$A$1:$F$104</definedName>
    <definedName name="Z_B30CE22D_C12F_4E12_8BB9_3AAE0A6991CC_.wvu.PrintArea" localSheetId="11">'Тор'!$A$1:$F$101</definedName>
    <definedName name="Z_B30CE22D_C12F_4E12_8BB9_3AAE0A6991CC_.wvu.PrintArea" localSheetId="13">'Чум'!$A$1:$F$101</definedName>
    <definedName name="Z_B30CE22D_C12F_4E12_8BB9_3AAE0A6991CC_.wvu.PrintArea" localSheetId="15">'Юнг'!$A$1:$F$100</definedName>
    <definedName name="Z_B30CE22D_C12F_4E12_8BB9_3AAE0A6991CC_.wvu.PrintArea" localSheetId="16">'Юсь'!$A$1:$F$103</definedName>
    <definedName name="Z_B30CE22D_C12F_4E12_8BB9_3AAE0A6991CC_.wvu.PrintArea" localSheetId="17">'Яра'!$A$1:$F$102</definedName>
    <definedName name="Z_B30CE22D_C12F_4E12_8BB9_3AAE0A6991CC_.wvu.Rows" localSheetId="3">('Але'!$19:$24,'Але'!$28:$28,'Але'!$36:$36,'Але'!$45:$46,'Але'!$53:$53,'Але'!$55:$57,'Але'!$63:$64,'Але'!$74:$75,'Але'!$79:$83,'Але'!$86:$93,'Але'!$142:$142)</definedName>
    <definedName name="Z_B30CE22D_C12F_4E12_8BB9_3AAE0A6991CC_.wvu.Rows" localSheetId="5">('Иль'!$19:$24,'Иль'!$34:$34,'Иль'!$39:$40,'Иль'!$49:$51,'Иль'!$59:$59,'Иль'!$61:$63,'Иль'!$69:$70,'Иль'!$79:$80,'Иль'!$82:$82,'Иль'!$87:$91,'Иль'!$94:$101,'Иль'!$144:$144)</definedName>
    <definedName name="Z_B30CE22D_C12F_4E12_8BB9_3AAE0A6991CC_.wvu.Rows" localSheetId="6">('Кад'!$19:$24,'Кад'!$31:$36,'Кад'!$39:$39,'Кад'!$49:$50,'Кад'!$57:$57,'Кад'!$59:$61,'Кад'!$67:$68,'Кад'!$78:$79,'Кад'!$83:$87,'Кад'!$90:$97,'Кад'!$143:$143)</definedName>
    <definedName name="Z_B30CE22D_C12F_4E12_8BB9_3AAE0A6991CC_.wvu.Rows" localSheetId="0">('Консол'!$22:$22,'Консол'!$43:$45)</definedName>
    <definedName name="Z_B30CE22D_C12F_4E12_8BB9_3AAE0A6991CC_.wvu.Rows" localSheetId="19">'Лист1'!$82:$84</definedName>
    <definedName name="Z_B30CE22D_C12F_4E12_8BB9_3AAE0A6991CC_.wvu.Rows" localSheetId="7">('Мор'!$17:$24,'Мор'!$27:$27,'Мор'!$31:$33,'Мор'!$45:$45,'Мор'!$48:$48,'Мор'!$50:$51,'Мор'!$58:$58,'Мор'!$60:$61,'Мор'!$65:$66,'Мор'!$68:$69,'Мор'!$79:$80,'Мор'!$84:$89,'Мор'!$92:$98,'Мор'!$143:$143)</definedName>
    <definedName name="Z_B30CE22D_C12F_4E12_8BB9_3AAE0A6991CC_.wvu.Rows" localSheetId="8">('Мос'!$19:$24,'Мос'!$29:$33,'Мос'!$44:$44,'Мос'!$58:$58,'Мос'!$60:$61,'Мос'!$68:$69,'Мос'!$79:$80,'Мос'!$82:$82,'Мос'!$85:$92,'Мос'!$95:$102,'Мос'!$143:$143)</definedName>
    <definedName name="Z_B30CE22D_C12F_4E12_8BB9_3AAE0A6991CC_.wvu.Rows" localSheetId="9">('Ори'!$19:$24,'Ори'!$31:$35,'Ори'!$44:$44,'Ори'!$48:$50,'Ори'!$57:$57,'Ори'!$59:$60,'Ори'!$67:$68,'Ори'!$78:$79,'Ори'!$81:$81,'Ори'!$84:$88,'Ори'!$91:$98,'Ори'!$142:$142)</definedName>
    <definedName name="Z_B30CE22D_C12F_4E12_8BB9_3AAE0A6991CC_.wvu.Rows" localSheetId="4">('Сун'!$19:$24,'Сун'!$34:$36,'Сун'!$39:$39,'Сун'!$49:$51,'Сун'!$54:$54,'Сун'!$58:$58,'Сун'!$60:$62,'Сун'!$68:$69,'Сун'!$79:$80,'Сун'!$82:$82,'Сун'!$85:$85,'Сун'!$87:$90,'Сун'!$93:$100,'Сун'!$142:$142)</definedName>
    <definedName name="Z_B30CE22D_C12F_4E12_8BB9_3AAE0A6991CC_.wvu.Rows" localSheetId="10">('Сят'!$19:$24,'Сят'!$31:$33,'Сят'!$38:$38,'Сят'!$45:$47,'Сят'!$57:$57,'Сят'!$59:$60,'Сят'!$67:$68,'Сят'!$78:$79,'Сят'!$83:$87,'Сят'!$90:$97,'Сят'!$143:$143)</definedName>
    <definedName name="Z_B30CE22D_C12F_4E12_8BB9_3AAE0A6991CC_.wvu.Rows" localSheetId="11">('Тор'!$19:$24,'Тор'!$32:$36,'Тор'!$39:$39,'Тор'!$50:$50,'Тор'!$57:$57,'Тор'!$59:$60,'Тор'!$67:$68,'Тор'!$75:$75,'Тор'!$79:$80,'Тор'!$86:$87,'Тор'!$89:$95,'Тор'!$142:$142)</definedName>
    <definedName name="Z_B30CE22D_C12F_4E12_8BB9_3AAE0A6991CC_.wvu.Rows" localSheetId="12">('Хор'!$19:$24,'Хор'!$28:$38,'Хор'!$42:$42,'Хор'!$48:$50,'Хор'!$57:$57,'Хор'!$59:$61,'Хор'!$67:$68,'Хор'!$78:$79,'Хор'!$83:$87,'Хор'!$90:$97,'Хор'!$144:$144)</definedName>
    <definedName name="Z_B30CE22D_C12F_4E12_8BB9_3AAE0A6991CC_.wvu.Rows" localSheetId="13">('Чум'!$19:$24,'Чум'!$31:$36,'Чум'!$47:$49,'Чум'!$57:$57,'Чум'!$59:$61,'Чум'!$67:$68,'Чум'!$78:$79,'Чум'!$83:$87,'Чум'!$90:$97,'Чум'!$142:$142)</definedName>
    <definedName name="Z_B30CE22D_C12F_4E12_8BB9_3AAE0A6991CC_.wvu.Rows" localSheetId="14">('Шать'!$19:$25,'Шать'!$31:$33,'Шать'!$57:$57,'Шать'!$59:$60,'Шать'!$67:$68,'Шать'!$78:$79,'Шать'!$84:$86,'Шать'!$90:$97,'Шать'!$142:$142)</definedName>
    <definedName name="Z_B30CE22D_C12F_4E12_8BB9_3AAE0A6991CC_.wvu.Rows" localSheetId="15">('Юнг'!$19:$24,'Юнг'!$38:$38,'Юнг'!$46:$46,'Юнг'!$56:$56,'Юнг'!$58:$60,'Юнг'!$66:$67,'Юнг'!$77:$78,'Юнг'!$82:$86,'Юнг'!$89:$96,'Юнг'!$142:$142)</definedName>
    <definedName name="Z_B30CE22D_C12F_4E12_8BB9_3AAE0A6991CC_.wvu.Rows" localSheetId="16">('Юсь'!$19:$24,'Юсь'!$31:$33,'Юсь'!$38:$38,'Юсь'!$45:$50,'Юсь'!$59:$59,'Юсь'!$61:$62,'Юсь'!$69:$70,'Юсь'!$80:$81,'Юсь'!$85:$89,'Юсь'!$92:$99,'Юсь'!$143:$143)</definedName>
    <definedName name="Z_B30CE22D_C12F_4E12_8BB9_3AAE0A6991CC_.wvu.Rows" localSheetId="17">('Яра'!$19:$24,'Яра'!$46:$46,'Яра'!$48:$50,'Яра'!$58:$58,'Яра'!$60:$61,'Яра'!$68:$69,'Яра'!$79:$80,'Яра'!$84:$88,'Яра'!$91:$98,'Яра'!$143:$143)</definedName>
    <definedName name="Z_B30CE22D_C12F_4E12_8BB9_3AAE0A6991CC_.wvu.Rows" localSheetId="18">('Яро'!$19:$24,'Яро'!$28:$28,'Яро'!$36:$36,'Яро'!$44:$44,'Яро'!$55:$55,'Яро'!$57:$59,'Яро'!$65:$66,'Яро'!$76:$76,'Яро'!$81:$85,'Яро'!$88:$91,'Яро'!$93:$95)</definedName>
    <definedName name="Z_B31C8DB7_3E78_4144_A6B5_8DE36DE63F0E_.wvu.Cols" localSheetId="1">('Справка'!$AV:$AX,'Справка'!$BB:$BD,'Справка'!$BH:$BM,'Справка'!$BT:$BY,'Справка'!$CX:$DF)</definedName>
    <definedName name="Z_B31C8DB7_3E78_4144_A6B5_8DE36DE63F0E_.wvu.PrintArea" localSheetId="5">'Иль'!$A$1:$F$105</definedName>
    <definedName name="Z_B31C8DB7_3E78_4144_A6B5_8DE36DE63F0E_.wvu.PrintArea" localSheetId="0">'Консол'!$A$1:$K$50</definedName>
    <definedName name="Z_B31C8DB7_3E78_4144_A6B5_8DE36DE63F0E_.wvu.PrintArea" localSheetId="7">'Мор'!$A$1:$F$102</definedName>
    <definedName name="Z_B31C8DB7_3E78_4144_A6B5_8DE36DE63F0E_.wvu.PrintArea" localSheetId="1">'Справка'!$A$1:$EY$31</definedName>
    <definedName name="Z_B31C8DB7_3E78_4144_A6B5_8DE36DE63F0E_.wvu.PrintArea" localSheetId="11">'Тор'!$A$1:$F$101</definedName>
    <definedName name="Z_B31C8DB7_3E78_4144_A6B5_8DE36DE63F0E_.wvu.PrintArea" localSheetId="15">'Юнг'!$A$1:$F$100</definedName>
    <definedName name="Z_B31C8DB7_3E78_4144_A6B5_8DE36DE63F0E_.wvu.PrintArea" localSheetId="17">'Яра'!$A$1:$F$102</definedName>
    <definedName name="Z_B31C8DB7_3E78_4144_A6B5_8DE36DE63F0E_.wvu.Rows" localSheetId="3">('Але'!$19:$24,'Але'!$46:$46,'Але'!$53:$53,'Але'!$55:$56,'Але'!$63:$64,'Але'!$74:$75,'Але'!$79:$83,'Але'!$87:$89)</definedName>
    <definedName name="Z_B31C8DB7_3E78_4144_A6B5_8DE36DE63F0E_.wvu.Rows" localSheetId="5">('Иль'!$19:$24,'Иль'!$46:$46,'Иль'!$51:$51,'Иль'!$61:$62,'Иль'!$69:$70,'Иль'!$79:$80,'Иль'!$82:$82,'Иль'!$87:$91,'Иль'!$94:$98)</definedName>
    <definedName name="Z_B31C8DB7_3E78_4144_A6B5_8DE36DE63F0E_.wvu.Rows" localSheetId="6">('Кад'!$19:$24,'Кад'!$45:$45,'Кад'!$57:$57,'Кад'!$59:$60,'Кад'!$67:$68,'Кад'!$84:$86,'Кад'!$90:$93,'Кад'!$95:$97)</definedName>
    <definedName name="Z_B31C8DB7_3E78_4144_A6B5_8DE36DE63F0E_.wvu.Rows" localSheetId="0">('Консол'!$22:$22,'Консол'!$43:$45,'Консол'!$82:$84)</definedName>
    <definedName name="Z_B31C8DB7_3E78_4144_A6B5_8DE36DE63F0E_.wvu.Rows" localSheetId="19">'Лист1'!$82:$84</definedName>
    <definedName name="Z_B31C8DB7_3E78_4144_A6B5_8DE36DE63F0E_.wvu.Rows" localSheetId="7">('Мор'!$21:$21,'Мор'!$23:$23,'Мор'!$38:$38,'Мор'!$45:$45,'Мор'!$48:$48,'Мор'!$50:$51,'Мор'!$58:$58,'Мор'!$60:$61,'Мор'!$68:$69,'Мор'!$84:$89,'Мор'!$92:$98)</definedName>
    <definedName name="Z_B31C8DB7_3E78_4144_A6B5_8DE36DE63F0E_.wvu.Rows" localSheetId="8">('Мос'!$19:$24,'Мос'!$44:$44,'Мос'!$58:$58,'Мос'!$60:$61,'Мос'!$68:$69,'Мос'!$82:$82,'Мос'!$84:$90,'Мос'!$95:$100)</definedName>
    <definedName name="Z_B31C8DB7_3E78_4144_A6B5_8DE36DE63F0E_.wvu.Rows" localSheetId="9">('Ори'!$19:$24,'Ори'!$32:$32,'Ори'!$44:$44,'Ори'!$48:$50,'Ори'!$57:$57,'Ори'!$59:$60,'Ори'!$67:$68,'Ори'!$78:$79,'Ори'!$81:$81,'Ори'!$83:$87,'Ори'!$91:$98)</definedName>
    <definedName name="Z_B31C8DB7_3E78_4144_A6B5_8DE36DE63F0E_.wvu.Rows" localSheetId="2">('район'!$18:$19,'район'!$21:$21,'район'!$29:$31,'район'!$51:$52,'район'!$64:$64,'район'!$71:$71,'район'!$88:$88,'район'!$95:$95,'район'!$123:$125)</definedName>
    <definedName name="Z_B31C8DB7_3E78_4144_A6B5_8DE36DE63F0E_.wvu.Rows" localSheetId="4">('Сун'!$19:$24,'Сун'!$49:$51,'Сун'!$58:$58,'Сун'!$60:$61,'Сун'!$68:$69,'Сун'!$79:$79,'Сун'!$82:$82,'Сун'!$88:$89,'Сун'!$93:$97)</definedName>
    <definedName name="Z_B31C8DB7_3E78_4144_A6B5_8DE36DE63F0E_.wvu.Rows" localSheetId="10">('Сят'!$19:$19,'Сят'!$45:$47,'Сят'!$57:$57,'Сят'!$59:$60,'Сят'!$67:$68,'Сят'!$83:$86,'Сят'!$90:$97)</definedName>
    <definedName name="Z_B31C8DB7_3E78_4144_A6B5_8DE36DE63F0E_.wvu.Rows" localSheetId="11">('Тор'!$19:$19,'Тор'!$50:$50,'Тор'!$57:$57,'Тор'!$59:$60,'Тор'!$67:$68,'Тор'!$75:$75,'Тор'!$79:$80,'Тор'!$84:$95)</definedName>
    <definedName name="Z_B31C8DB7_3E78_4144_A6B5_8DE36DE63F0E_.wvu.Rows" localSheetId="12">('Хор'!$19:$24,'Хор'!$32:$32,'Хор'!$42:$42,'Хор'!$57:$57,'Хор'!$59:$60,'Хор'!$67:$68,'Хор'!$83:$87,'Хор'!$90:$97)</definedName>
    <definedName name="Z_B31C8DB7_3E78_4144_A6B5_8DE36DE63F0E_.wvu.Rows" localSheetId="13">('Чум'!$19:$19,'Чум'!$21:$21,'Чум'!$23:$24,'Чум'!$47:$49,'Чум'!$57:$57,'Чум'!$59:$60,'Чум'!$67:$68,'Чум'!$83:$87,'Чум'!$90:$97)</definedName>
    <definedName name="Z_B31C8DB7_3E78_4144_A6B5_8DE36DE63F0E_.wvu.Rows" localSheetId="14">('Шать'!$19:$24,'Шать'!$47:$49,'Шать'!$57:$57,'Шать'!$59:$60,'Шать'!$67:$68,'Шать'!$78:$79,'Шать'!$83:$87,'Шать'!$90:$97)</definedName>
    <definedName name="Z_B31C8DB7_3E78_4144_A6B5_8DE36DE63F0E_.wvu.Rows" localSheetId="15">('Юнг'!$19:$24,'Юнг'!$32:$32,'Юнг'!$56:$56,'Юнг'!$58:$59,'Юнг'!$66:$67,'Юнг'!$82:$86,'Юнг'!$89:$96)</definedName>
    <definedName name="Z_B31C8DB7_3E78_4144_A6B5_8DE36DE63F0E_.wvu.Rows" localSheetId="17">('Яра'!$19:$24,'Яра'!$46:$46,'Яра'!$48:$50,'Яра'!$58:$58,'Яра'!$60:$61,'Яра'!$68:$69,'Яра'!$79:$79,'Яра'!$84:$88,'Яра'!$91:$98)</definedName>
    <definedName name="Z_B31C8DB7_3E78_4144_A6B5_8DE36DE63F0E_.wvu.Rows" localSheetId="18">('Яро'!$19:$24,'Яро'!$55:$55,'Яро'!$57:$58,'Яро'!$65:$66,'Яро'!$76:$77,'Яро'!$81:$86,'Яро'!$88:$95)</definedName>
    <definedName name="_xlnm.Print_Area" localSheetId="5">'Иль'!$A$1:$F$105</definedName>
    <definedName name="_xlnm.Print_Area" localSheetId="0">'Консол'!$A$1:$K$50</definedName>
    <definedName name="_xlnm.Print_Area" localSheetId="7">'Мор'!$A$1:$F$102</definedName>
    <definedName name="_xlnm.Print_Area" localSheetId="2">'район'!$A$1:$F$137</definedName>
    <definedName name="_xlnm.Print_Area" localSheetId="1">'Справка'!$A$1:$EY$31</definedName>
    <definedName name="_xlnm.Print_Area" localSheetId="11">'Тор'!$A$1:$F$101</definedName>
    <definedName name="_xlnm.Print_Area" localSheetId="15">'Юнг'!$A$1:$F$100</definedName>
    <definedName name="_xlnm.Print_Area" localSheetId="17">'Яра'!$A$1:$F$102</definedName>
  </definedNames>
  <calcPr fullCalcOnLoad="1"/>
</workbook>
</file>

<file path=xl/sharedStrings.xml><?xml version="1.0" encoding="utf-8"?>
<sst xmlns="http://schemas.openxmlformats.org/spreadsheetml/2006/main" count="2857" uniqueCount="446">
  <si>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</si>
  <si>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</si>
  <si>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</si>
  <si>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</si>
  <si>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</si>
  <si>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план на 2021 г.</t>
  </si>
  <si>
    <t>% исполнения к плану</t>
  </si>
  <si>
    <t>НАЛОГОВЫЕ ДОХОДЫ</t>
  </si>
  <si>
    <t>налог на доходы физических лиц</t>
  </si>
  <si>
    <t>налоги на товары (работы и услуги), реализуемые на территории РФ</t>
  </si>
  <si>
    <t>налог на совокупный доход</t>
  </si>
  <si>
    <t>налог на имущество</t>
  </si>
  <si>
    <t>транспортный налог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</si>
  <si>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</si>
  <si>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</si>
  <si>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</si>
  <si>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</si>
  <si>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</si>
  <si>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</si>
  <si>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</si>
  <si>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</si>
  <si>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</si>
  <si>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</si>
  <si>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</si>
  <si>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</si>
  <si>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</si>
  <si>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</si>
  <si>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>БЕЗВОЗМЕЗДНЫЕ ПЕРЕЧИСЛЕНИЯ</t>
  </si>
  <si>
    <t>Прочие безвозмездные поступления</t>
  </si>
  <si>
    <t>Возврат остатков субсидий и субвенций</t>
  </si>
  <si>
    <t>ВСЕГО ДОХОДОВ</t>
  </si>
  <si>
    <t>ВСЕГО РАСХОДОВ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</si>
  <si>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</si>
  <si>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</si>
  <si>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</si>
  <si>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</si>
  <si>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</si>
  <si>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</si>
  <si>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</si>
  <si>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</si>
  <si>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</si>
  <si>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</si>
  <si>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</si>
  <si>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</si>
  <si>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</si>
  <si>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</si>
  <si>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</t>
  </si>
  <si>
    <t>0800</t>
  </si>
  <si>
    <t>социальная политика</t>
  </si>
  <si>
    <t>1000</t>
  </si>
  <si>
    <t>физическая культура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</si>
  <si>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</si>
  <si>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</si>
  <si>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</si>
  <si>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</si>
  <si>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</si>
  <si>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межбюджетные трансферты</t>
  </si>
  <si>
    <t>1400</t>
  </si>
  <si>
    <t>Заместитель главы администрации</t>
  </si>
  <si>
    <t>Моргаушского района-начальник финансового отдела</t>
  </si>
  <si>
    <t>Р.И. Ананьева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</si>
  <si>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</si>
  <si>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</si>
  <si>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</si>
  <si>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</si>
  <si>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</si>
  <si>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</si>
  <si>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</si>
  <si>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</si>
  <si>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</si>
  <si>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</si>
  <si>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</si>
  <si>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</si>
  <si>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</si>
  <si>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</si>
  <si>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</si>
  <si>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доходы от уплаты акцизов на дизельное топливо 00010302230010000110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</si>
  <si>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</si>
  <si>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</si>
  <si>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</si>
  <si>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</si>
  <si>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</si>
  <si>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</si>
  <si>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</si>
  <si>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Задолженность  и перерасчеты по отмененным налогам, сборам и иным обязательным платежам (код дохода 00010900000000000000)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</si>
  <si>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</si>
  <si>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</si>
  <si>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</si>
  <si>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</si>
  <si>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Доходы от оказания платных услуг и компенсации затрат государства                                         000 113 00000 00 0000 000</t>
  </si>
  <si>
    <t>Доходы от реализации имущества, находящегося в собственности сельских поселений                                  000 11402050100000 410</t>
  </si>
  <si>
    <t>Доходы от реализации имущества                                          000 114 02014100000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</si>
  <si>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</si>
  <si>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               (116 00000 00 0000 000)</t>
  </si>
  <si>
    <t>Штрафы, санкции, возмещение ущерба (код 000 1 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</si>
  <si>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</si>
  <si>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</si>
  <si>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</si>
  <si>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</si>
  <si>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</si>
  <si>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</si>
  <si>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</si>
  <si>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</si>
  <si>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</si>
  <si>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поселений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</si>
  <si>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</si>
  <si>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</si>
  <si>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</si>
  <si>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</si>
  <si>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</si>
  <si>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</si>
  <si>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00008000000000000000)</t>
  </si>
  <si>
    <t>Cоциальная  политика (код БК расходов 100000000000)</t>
  </si>
  <si>
    <t>Физическая культура и спорт    (1101000000000000000)</t>
  </si>
  <si>
    <t>Межбюджетные трансферты   (140000000000)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</si>
  <si>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</si>
  <si>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</si>
  <si>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</si>
  <si>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>Другие общегосударственные расходы (0113000000000000)</t>
  </si>
  <si>
    <t xml:space="preserve">план </t>
  </si>
  <si>
    <t>факт</t>
  </si>
  <si>
    <t>процент исполнения</t>
  </si>
  <si>
    <t>план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</si>
  <si>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</si>
  <si>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</si>
  <si>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</si>
  <si>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</si>
  <si>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</si>
  <si>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</si>
  <si>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</si>
  <si>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</si>
  <si>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</si>
  <si>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</si>
  <si>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</si>
  <si>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</si>
  <si>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</si>
  <si>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</si>
  <si>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</si>
  <si>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</si>
  <si>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Итого по поселениям</t>
  </si>
  <si>
    <t xml:space="preserve">                                                                Анализ исполнения райбюджета</t>
  </si>
  <si>
    <t>Коды бюджетной классификации РФ</t>
  </si>
  <si>
    <t>Наименование доходов</t>
  </si>
  <si>
    <t>назначено на 2021 г.</t>
  </si>
  <si>
    <t>% испол.</t>
  </si>
  <si>
    <t>отклон.</t>
  </si>
  <si>
    <t>НАЛОГИ НА ПРИБЫЛЬ</t>
  </si>
  <si>
    <t>Налог на доходы физических лиц</t>
  </si>
  <si>
    <t>Налоги на товары (работы и услуги) реализуемые на территории РФ</t>
  </si>
  <si>
    <t>Акцизы на диз. топливо</t>
  </si>
  <si>
    <t>Акцизы на моторные масла</t>
  </si>
  <si>
    <t>Акцизы на автомобильный бензин</t>
  </si>
  <si>
    <t>Акцизы на прямогонный бензин</t>
  </si>
  <si>
    <t>НАЛОГИ НА СОВОКУПНЫЙ ДОХОД</t>
  </si>
  <si>
    <t>Упрощенная система налогооблажения</t>
  </si>
  <si>
    <t>ЕН на вмененный доход</t>
  </si>
  <si>
    <t>ЕН с/х предприятий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</si>
  <si>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</si>
  <si>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</si>
  <si>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физ.лиц</t>
  </si>
  <si>
    <t>Налог на имущество организаций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</si>
  <si>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</si>
  <si>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</si>
  <si>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</si>
  <si>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</si>
  <si>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НАЛОГИ, СБОРЫ И ПОШЛИНЫ</t>
  </si>
  <si>
    <t xml:space="preserve">Государственная пошлина по делам, рассм. в судах </t>
  </si>
  <si>
    <t>Государственная пошлина за соверш.нотар.действ.</t>
  </si>
  <si>
    <t>Государственная пошлина за государственную регистрацию, а также за совершение прочих юридически 
значимых действийГосударственная пошлина за государственную регистрацию, а также за совершение прочих юридически 
значимых действий</t>
  </si>
  <si>
    <t>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</si>
  <si>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</si>
  <si>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</si>
  <si>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</si>
  <si>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</si>
  <si>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</si>
  <si>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Доходы в виде прибыли, приходящейся на доли в уставных капиталах</t>
  </si>
  <si>
    <t xml:space="preserve">Проценты, полученные от предос. бюдж. кред </t>
  </si>
  <si>
    <t>Арендная плата за землю</t>
  </si>
  <si>
    <t>Доходы от сдачи в аренду имущ.наход.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</si>
  <si>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</si>
  <si>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Доходы от муниципальных унитарных предприятий</t>
  </si>
  <si>
    <t>Доходы от эксплуатации имущества</t>
  </si>
  <si>
    <t>Прочие поступления от использования имущества</t>
  </si>
  <si>
    <t>ПЛАТЕЖИ ПРИ ПОЛЬЗОВАНИИ ПРИРОДНЫМИ РЕСУРСАМИ</t>
  </si>
  <si>
    <t>Плата за негативные воздействия на окружающую среду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</si>
  <si>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</si>
  <si>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</si>
  <si>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Доходы от оказания платных услуг</t>
  </si>
  <si>
    <t>ДОХОДЫ ОТ ПРОДАЖИ МАТ. И НЕМАТ. АКТИВОВ</t>
  </si>
  <si>
    <t>Доходы от реализации имущества</t>
  </si>
  <si>
    <t>Доходы от продажи земли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</si>
  <si>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</si>
  <si>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</si>
  <si>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 xml:space="preserve"> ШТРАФЫ, САНКЦИИ, ВОЗМЕЩЕНИЕ УЩЕРБА</t>
  </si>
  <si>
    <t>Административные штрафы</t>
  </si>
  <si>
    <t>Иные штафы, неустойки, пени, уплаченные в соотв с законом или договорам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</si>
  <si>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</si>
  <si>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</si>
  <si>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</si>
  <si>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</si>
  <si>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Прочие неналоговые доходы</t>
  </si>
  <si>
    <t>БЕЗВОЗДМЕЗДНЫЕ ПЕРЕЧИСЛЕНИЯ</t>
  </si>
  <si>
    <t>Дотация от бюджетов других уровней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</si>
  <si>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</si>
  <si>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</si>
  <si>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Сбалансированность</t>
  </si>
  <si>
    <t>Субсидии бюджетам РФ</t>
  </si>
  <si>
    <t>Субвенции бюджетам РФ</t>
  </si>
  <si>
    <t>Доходы от возврата остатка субсидий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</si>
  <si>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</si>
  <si>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</si>
  <si>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</si>
  <si>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 xml:space="preserve">(Дефицит -) профицит </t>
  </si>
  <si>
    <t>Наименование расходов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</si>
  <si>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</si>
  <si>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</si>
  <si>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</si>
  <si>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</si>
  <si>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</si>
  <si>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</si>
  <si>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</si>
  <si>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</si>
  <si>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</si>
  <si>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</si>
  <si>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</si>
  <si>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</si>
  <si>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</si>
  <si>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</si>
  <si>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</si>
  <si>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НАЦИОНАЛЬНАЯ ОБОРОНА</t>
  </si>
  <si>
    <t>0203</t>
  </si>
  <si>
    <t xml:space="preserve">Мобилизационная и вневоинская подготовка  </t>
  </si>
  <si>
    <t>НАЦИОНАЛЬНАЯ БЕЗОПАСНОСТЬ</t>
  </si>
  <si>
    <t>0302</t>
  </si>
  <si>
    <t>Органы внутренних дел</t>
  </si>
  <si>
    <t>0304</t>
  </si>
  <si>
    <t>Органы юстиции</t>
  </si>
  <si>
    <t>0309</t>
  </si>
  <si>
    <t>Защита населения и территории от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</si>
  <si>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</si>
  <si>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</si>
  <si>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</si>
  <si>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</si>
  <si>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</si>
  <si>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</si>
  <si>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</si>
  <si>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</si>
  <si>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</si>
  <si>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</si>
  <si>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</si>
  <si>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</si>
  <si>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</t>
  </si>
  <si>
    <t>0412</t>
  </si>
  <si>
    <t>Другие вопросы в области национальной экономики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</si>
  <si>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</si>
  <si>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</si>
  <si>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</si>
  <si>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</si>
  <si>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</si>
  <si>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</si>
  <si>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</si>
  <si>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ОХРАНА ОКРУЖАЮЩЕЙ СРЕДЫ</t>
  </si>
  <si>
    <t>0603</t>
  </si>
  <si>
    <t>Охрана обьектов растительного и животного мира и среды их обитания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</si>
  <si>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</si>
  <si>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</si>
  <si>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</si>
  <si>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</si>
  <si>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</si>
  <si>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</si>
  <si>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</si>
  <si>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</si>
  <si>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</si>
  <si>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</si>
  <si>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</si>
  <si>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 xml:space="preserve">КУЛЬТУРА И КИНЕМАТОГРАФИЯ 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</si>
  <si>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</si>
  <si>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</si>
  <si>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</si>
  <si>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</si>
  <si>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</si>
  <si>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</si>
  <si>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</si>
  <si>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</si>
  <si>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</si>
  <si>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</si>
  <si>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</si>
  <si>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</si>
  <si>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</si>
  <si>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</si>
  <si>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</si>
  <si>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</si>
  <si>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</si>
  <si>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</si>
  <si>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</si>
  <si>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</si>
  <si>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</si>
  <si>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СРЕДСТВА МАССОВОЙ ИНФОРМАЦИИ</t>
  </si>
  <si>
    <t>1202</t>
  </si>
  <si>
    <t>Периодическая печать и издательство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</si>
  <si>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</si>
  <si>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</si>
  <si>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</si>
  <si>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</si>
  <si>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</si>
  <si>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</si>
  <si>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</si>
  <si>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</si>
  <si>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</si>
  <si>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</si>
  <si>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</si>
  <si>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 xml:space="preserve"> </t>
  </si>
  <si>
    <t>Акциз на моторные масла</t>
  </si>
  <si>
    <t>Акциза на прямогонный бензин</t>
  </si>
  <si>
    <t>Государственная пошлина за государственную регистрацию, а также за совершение прочих юридически 
значимых действий</t>
  </si>
  <si>
    <t>Поступления от денежных пожертвований</t>
  </si>
  <si>
    <t>(Дефицит -) профицит</t>
  </si>
  <si>
    <t>Органы юсиции</t>
  </si>
  <si>
    <t>Другие вопросы в облости национальной безопасности</t>
  </si>
  <si>
    <t>Сельское хозяйство</t>
  </si>
  <si>
    <t>Водные ресурсы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</si>
  <si>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</si>
  <si>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 xml:space="preserve">   ЗАДОЛЖЕННОСТЬ И ПЕРЕРАСЧЕТЫ ПО ОТМЕНЕННЫМ НАЛОГАМ И СБОРАМ</t>
  </si>
  <si>
    <t>Арендная плата за землю после разграничения</t>
  </si>
  <si>
    <t xml:space="preserve">  Доходы от реализации имущества</t>
  </si>
  <si>
    <t>ШТРАФЫ, САНКЦИИ, ВОЗМЕЩЕНИЕ УЩЕРБА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</si>
  <si>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</si>
  <si>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Прочие субсидии</t>
  </si>
  <si>
    <t>Прочие безбозмездные поступления</t>
  </si>
  <si>
    <t>Прочие безвозмездные поступления от других бюджетов 
бюджетной системы</t>
  </si>
  <si>
    <t>0505</t>
  </si>
  <si>
    <t>Другие вопросы в области ЖКХ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</si>
  <si>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</si>
  <si>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Доходы от оказания платных услуг</t>
  </si>
  <si>
    <t>Иные штрафы, неустойки, пени</t>
  </si>
  <si>
    <t>Штрафы,неустойки,пени,уплаченные в случае просрочки исполнения поставщиком</t>
  </si>
  <si>
    <t xml:space="preserve">Другие вопросы </t>
  </si>
  <si>
    <t xml:space="preserve">Акцизы на прямогонный бензин </t>
  </si>
  <si>
    <t>Штрафы,неустойки, пени</t>
  </si>
  <si>
    <t xml:space="preserve">Акцизы </t>
  </si>
  <si>
    <t>Налог на имущество физ. лиц</t>
  </si>
  <si>
    <t>Налоги на имущество</t>
  </si>
  <si>
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государ.органом</t>
  </si>
  <si>
    <t>Прочие безвозмездные поступления от других бюджетов 
бюджетной системыПрочие безвозмездные поступления от других бюджетов 
бюджетной системы</t>
  </si>
  <si>
    <t xml:space="preserve">Прочие безвозмездные поступления </t>
  </si>
  <si>
    <t>Другие вопросы</t>
  </si>
  <si>
    <t>Акцизы на прямогонный  бензин</t>
  </si>
  <si>
    <t xml:space="preserve">   Доходы от сдачи в аренду имущ.наход.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</si>
  <si>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</si>
  <si>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Дотация бюджетам по обеспечению сбалансированности бюджетов</t>
  </si>
  <si>
    <t xml:space="preserve">Прочие безвозмездные поступления  </t>
  </si>
  <si>
    <t>Другие вопросы в области национальной безоапсности</t>
  </si>
  <si>
    <t>ШТРАФЫ</t>
  </si>
  <si>
    <t>Другие вопросы в области жилищно-коммунального хозяйства</t>
  </si>
  <si>
    <t>Штрафы, неустойки, пени,уплаченные в случаепросрочки поставщиком</t>
  </si>
  <si>
    <t xml:space="preserve">Прочие безвозмездные поступления   </t>
  </si>
  <si>
    <t>Прочие налоги и сборы (по отм. местн. нал. и сборам)</t>
  </si>
  <si>
    <t xml:space="preserve">  Доходы от возмещения расходов</t>
  </si>
  <si>
    <t>Прочие доходы от компенсации затрат</t>
  </si>
  <si>
    <t>\</t>
  </si>
  <si>
    <t>Штрафы,Санкции, Возмещение ущерба</t>
  </si>
  <si>
    <t>Штрафы, неустойки, пени</t>
  </si>
  <si>
    <t>Возврат остатков субсидий</t>
  </si>
  <si>
    <t>Другие вопросы в области национльной безопасности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</si>
  <si>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</si>
  <si>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</si>
  <si>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</si>
  <si>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Возврат излишне уплаченных налогов из бюджетов поселений</t>
  </si>
  <si>
    <t>Государственная пошлина за соверш. нотар. действ.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</si>
  <si>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</si>
  <si>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</si>
  <si>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платы об установлении сервитута</t>
  </si>
  <si>
    <t>Невясненные поступления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</si>
  <si>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</si>
  <si>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</si>
  <si>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</si>
  <si>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</si>
  <si>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</si>
  <si>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</si>
  <si>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</si>
  <si>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</si>
  <si>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%</t>
  </si>
  <si>
    <t>сумма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</si>
  <si>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</si>
  <si>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</si>
  <si>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</si>
  <si>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</si>
  <si>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</si>
  <si>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</si>
  <si>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</si>
  <si>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</si>
  <si>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</si>
  <si>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</si>
  <si>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</si>
  <si>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</si>
  <si>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</si>
  <si>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</si>
  <si>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</si>
  <si>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</si>
  <si>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</si>
  <si>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</si>
  <si>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</si>
  <si>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</si>
  <si>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</si>
  <si>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</si>
  <si>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</si>
  <si>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</si>
  <si>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</si>
  <si>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</si>
  <si>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</si>
  <si>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</si>
  <si>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</si>
  <si>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</si>
  <si>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</si>
  <si>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</si>
  <si>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</si>
  <si>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</si>
  <si>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</si>
  <si>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</si>
  <si>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</si>
  <si>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Штрафы, неустойки, пени, </t>
  </si>
  <si>
    <t>Доходы от денежных взысканий (штрафов), поступающие в счет погашения задолженности</t>
  </si>
  <si>
    <t>Штрафы,неустойки,пени, уплаченные в случае просрочки исполнения поставщиком</t>
  </si>
  <si>
    <t xml:space="preserve">                     Анализ исполнения бюджета Александровского сельского поселения на 01.12.2021 г.</t>
  </si>
  <si>
    <t>исполнено на 01.12.2021г.</t>
  </si>
  <si>
    <t xml:space="preserve">                     Анализ исполнения бюджета Большесундырского сельского поселения на 01.12.2021 г.</t>
  </si>
  <si>
    <t xml:space="preserve">                     Анализ исполнения бюджета Ильинского сельского поселения на 01.12.2021 г.</t>
  </si>
  <si>
    <t xml:space="preserve">                     Анализ исполнения бюджета Кадикасинского сельского поселения на 01.12.2021 г.</t>
  </si>
  <si>
    <t xml:space="preserve">                     Анализ исполнения бюджета Моргаушского сельского поселения на 01.12.2020 г.</t>
  </si>
  <si>
    <t>Доходы от денежных взысканий(штрафов)</t>
  </si>
  <si>
    <t xml:space="preserve">                     Анализ исполнения бюджета Москакасинского сельского поселения на 01.12.2021 г.</t>
  </si>
  <si>
    <t xml:space="preserve">                     Анализ исполнения бюджета Орининского сельского поселения на 01.12.2020 г.</t>
  </si>
  <si>
    <t xml:space="preserve">                     Анализ исполнения бюджета Сятракасинского сельского поселения на 01.12.2020 г.</t>
  </si>
  <si>
    <t xml:space="preserve">                     Анализ исполнения бюджета Тораевского сельского поселения на 01.12.2021 г.</t>
  </si>
  <si>
    <t xml:space="preserve">                     Анализ исполнения бюджета Хорнойского сельского поселения на 01.12.2021 г.</t>
  </si>
  <si>
    <t xml:space="preserve">                     Анализ исполнения бюджета Чуманкасинского сельского поселения на 01.12.2021 г.</t>
  </si>
  <si>
    <t xml:space="preserve">                     Анализ исполнения бюджета Шатьмапосинского сельского поселения на 01.12.2021 г.</t>
  </si>
  <si>
    <t xml:space="preserve">                     Анализ исполнения бюджета Юнгинского сельского поселения на 01.12.2020 г.</t>
  </si>
  <si>
    <t xml:space="preserve">                     Анализ исполнения бюджета Юськасинского сельского поселения на 01.12.2020 г.</t>
  </si>
  <si>
    <t xml:space="preserve">                     Анализ исполнения бюджета Ярабайкасинского сельского поселения на 01.12.2020 г.</t>
  </si>
  <si>
    <t xml:space="preserve">                     Анализ исполнения бюджета Ярославского сельского поселения на 01.12.2021 г.</t>
  </si>
  <si>
    <t xml:space="preserve">исполнено на 01.12.2021 г. </t>
  </si>
  <si>
    <t>исполнено на 01.12.2021 г.</t>
  </si>
  <si>
    <t xml:space="preserve">                                                        Моргаушского района на 01.12.2021 г. </t>
  </si>
  <si>
    <t>Анализ исполнения консолидированного бюджета Моргаушского районана 01.12.2021 г.</t>
  </si>
  <si>
    <t>об исполнении бюджетов поселений  Моргаушского района  на 1 декабря 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</si>
</sst>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#,##0.0"/>
    <numFmt numFmtId="175" formatCode="0.0000000"/>
    <numFmt numFmtId="176" formatCode="0.000000"/>
    <numFmt numFmtId="177" formatCode="#,##0.00000"/>
    <numFmt numFmtId="178" formatCode="#,##0.0000"/>
    <numFmt numFmtId="179" formatCode="#,##0.000000"/>
    <numFmt numFmtId="180" formatCode="#,##0.00000000"/>
    <numFmt numFmtId="181" formatCode="\ #,##0.00\ ;&quot; (&quot;#,##0.00\);&quot; -&quot;#\ ;@\ "/>
    <numFmt numFmtId="182" formatCode="&quot; $&quot;#,##0.00\ ;&quot; $(&quot;#,##0.00\);&quot; $-&quot;#\ ;@\ "/>
    <numFmt numFmtId="183" formatCode="\ #,##0.0&quot;    &quot;;\-#,##0.0&quot;    &quot;;&quot; -&quot;#&quot;    &quot;;@\ "/>
    <numFmt numFmtId="184" formatCode="\ #,##0.0\ ;&quot; (&quot;#,##0.0\);&quot; -&quot;#\ ;@\ "/>
    <numFmt numFmtId="185" formatCode="\ #,##0.00000\ ;&quot; (&quot;#,##0.00000\);&quot; -&quot;#\ ;@\ "/>
    <numFmt numFmtId="186" formatCode="0.0000"/>
    <numFmt numFmtId="187" formatCode="\ #,##0\ ;&quot; (&quot;#,##0\);&quot; -&quot;#\ ;@\ "/>
    <numFmt numFmtId="188" formatCode="\ #,##0.00000&quot;    &quot;;\-#,##0.00000&quot;    &quot;;&quot; -&quot;#&quot;    &quot;;@\ "/>
    <numFmt numFmtId="189" formatCode="\ #,##0.0000\ ;&quot; (&quot;#,##0.0000\);&quot; -&quot;#\ ;@\ "/>
    <numFmt numFmtId="190" formatCode="\ #,##0.000\ ;&quot; (&quot;#,##0.000\);&quot; -&quot;#\ ;@\ "/>
    <numFmt numFmtId="191" formatCode="\ #,##0.000000\ ;&quot; (&quot;#,##0.000000\);&quot; -&quot;#\ ;@\ "/>
    <numFmt numFmtId="192" formatCode="0.000"/>
    <numFmt numFmtId="193" formatCode="\ #,##0.0000000&quot;    &quot;;\-#,##0.0000000&quot;    &quot;;&quot; -&quot;#&quot;    &quot;;@\ "/>
    <numFmt numFmtId="194" formatCode="[$-FC19]d\ mmmm\ yyyy\ &quot;г.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4"/>
      <name val="Arial"/>
      <family val="2"/>
    </font>
    <font>
      <sz val="14"/>
      <name val="Arial Cyr"/>
      <family val="2"/>
    </font>
    <font>
      <sz val="14"/>
      <name val="TimesET"/>
      <family val="0"/>
    </font>
    <font>
      <sz val="14"/>
      <name val="Arial"/>
      <family val="2"/>
    </font>
    <font>
      <sz val="14"/>
      <color indexed="8"/>
      <name val="Arial Cyr"/>
      <family val="2"/>
    </font>
    <font>
      <sz val="14"/>
      <color indexed="8"/>
      <name val="TimesET"/>
      <family val="0"/>
    </font>
    <font>
      <b/>
      <sz val="14"/>
      <name val="TimesET"/>
      <family val="0"/>
    </font>
    <font>
      <b/>
      <sz val="14"/>
      <color indexed="8"/>
      <name val="Arial Cyr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12"/>
      <color indexed="62"/>
      <name val="Times New Roman"/>
      <family val="1"/>
    </font>
    <font>
      <sz val="12"/>
      <color indexed="4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2" fontId="0" fillId="0" borderId="0">
      <alignment/>
      <protection/>
    </xf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>
      <alignment/>
      <protection/>
    </xf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33" applyFont="1" applyAlignment="1">
      <alignment horizontal="left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6" fillId="0" borderId="0" xfId="33" applyFont="1" applyAlignment="1">
      <alignment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172" fontId="5" fillId="0" borderId="1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172" fontId="9" fillId="33" borderId="10" xfId="33" applyNumberFormat="1" applyFont="1" applyFill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horizontal="center" vertical="center" wrapText="1"/>
      <protection/>
    </xf>
    <xf numFmtId="172" fontId="5" fillId="33" borderId="10" xfId="33" applyNumberFormat="1" applyFont="1" applyFill="1" applyBorder="1" applyAlignment="1">
      <alignment horizontal="center" vertical="center" wrapText="1"/>
      <protection/>
    </xf>
    <xf numFmtId="172" fontId="5" fillId="34" borderId="10" xfId="33" applyNumberFormat="1" applyFont="1" applyFill="1" applyBorder="1" applyAlignment="1">
      <alignment horizontal="center" vertical="center" wrapText="1"/>
      <protection/>
    </xf>
    <xf numFmtId="172" fontId="9" fillId="0" borderId="10" xfId="33" applyNumberFormat="1" applyFont="1" applyFill="1" applyBorder="1" applyAlignment="1">
      <alignment horizontal="center" vertical="center" wrapText="1"/>
      <protection/>
    </xf>
    <xf numFmtId="173" fontId="4" fillId="0" borderId="0" xfId="33" applyNumberFormat="1" applyFont="1" applyAlignment="1">
      <alignment horizontal="center" vertical="center" wrapText="1"/>
      <protection/>
    </xf>
    <xf numFmtId="172" fontId="5" fillId="0" borderId="10" xfId="33" applyNumberFormat="1" applyFont="1" applyFill="1" applyBorder="1" applyAlignment="1">
      <alignment horizontal="center" vertical="center" wrapText="1"/>
      <protection/>
    </xf>
    <xf numFmtId="173" fontId="6" fillId="0" borderId="0" xfId="33" applyNumberFormat="1" applyFont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174" fontId="9" fillId="33" borderId="10" xfId="33" applyNumberFormat="1" applyFont="1" applyFill="1" applyBorder="1" applyAlignment="1">
      <alignment horizontal="center" vertical="center" wrapText="1"/>
      <protection/>
    </xf>
    <xf numFmtId="174" fontId="9" fillId="0" borderId="10" xfId="33" applyNumberFormat="1" applyFont="1" applyBorder="1" applyAlignment="1">
      <alignment horizontal="center" vertical="center" wrapText="1"/>
      <protection/>
    </xf>
    <xf numFmtId="172" fontId="9" fillId="34" borderId="10" xfId="33" applyNumberFormat="1" applyFont="1" applyFill="1" applyBorder="1" applyAlignment="1">
      <alignment horizontal="center" vertical="center" wrapText="1"/>
      <protection/>
    </xf>
    <xf numFmtId="2" fontId="9" fillId="33" borderId="10" xfId="33" applyNumberFormat="1" applyFont="1" applyFill="1" applyBorder="1" applyAlignment="1">
      <alignment horizontal="center" vertical="center" wrapText="1"/>
      <protection/>
    </xf>
    <xf numFmtId="174" fontId="9" fillId="0" borderId="1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173" fontId="3" fillId="0" borderId="0" xfId="33" applyNumberFormat="1" applyFont="1" applyBorder="1" applyAlignment="1">
      <alignment horizontal="center" vertical="center" wrapText="1"/>
      <protection/>
    </xf>
    <xf numFmtId="175" fontId="3" fillId="0" borderId="0" xfId="33" applyNumberFormat="1" applyFont="1" applyBorder="1" applyAlignment="1">
      <alignment horizontal="center" vertical="center" wrapText="1"/>
      <protection/>
    </xf>
    <xf numFmtId="173" fontId="4" fillId="0" borderId="0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2" fontId="3" fillId="0" borderId="0" xfId="33" applyNumberFormat="1" applyFont="1" applyBorder="1" applyAlignment="1">
      <alignment horizontal="center" vertical="center" wrapText="1"/>
      <protection/>
    </xf>
    <xf numFmtId="176" fontId="3" fillId="0" borderId="0" xfId="33" applyNumberFormat="1" applyFont="1" applyBorder="1" applyAlignment="1">
      <alignment horizontal="center" vertical="center" wrapText="1"/>
      <protection/>
    </xf>
    <xf numFmtId="173" fontId="8" fillId="0" borderId="0" xfId="33" applyNumberFormat="1" applyFont="1" applyBorder="1" applyAlignment="1">
      <alignment horizontal="center" vertical="center" wrapText="1"/>
      <protection/>
    </xf>
    <xf numFmtId="173" fontId="3" fillId="0" borderId="0" xfId="33" applyNumberFormat="1" applyFont="1" applyAlignment="1">
      <alignment horizontal="center" vertical="center" wrapText="1"/>
      <protection/>
    </xf>
    <xf numFmtId="173" fontId="8" fillId="0" borderId="0" xfId="33" applyNumberFormat="1" applyFont="1" applyAlignment="1">
      <alignment horizontal="center" vertical="center" wrapText="1"/>
      <protection/>
    </xf>
    <xf numFmtId="175" fontId="4" fillId="0" borderId="0" xfId="33" applyNumberFormat="1" applyFont="1" applyAlignment="1">
      <alignment horizontal="center" vertical="center" wrapText="1"/>
      <protection/>
    </xf>
    <xf numFmtId="0" fontId="10" fillId="33" borderId="0" xfId="33" applyFont="1" applyFill="1">
      <alignment/>
      <protection/>
    </xf>
    <xf numFmtId="0" fontId="10" fillId="0" borderId="0" xfId="33" applyFont="1" applyFill="1">
      <alignment/>
      <protection/>
    </xf>
    <xf numFmtId="0" fontId="10" fillId="33" borderId="0" xfId="33" applyFont="1" applyFill="1" applyAlignment="1">
      <alignment/>
      <protection/>
    </xf>
    <xf numFmtId="0" fontId="10" fillId="33" borderId="0" xfId="33" applyFont="1" applyFill="1" applyAlignment="1">
      <alignment horizontal="left"/>
      <protection/>
    </xf>
    <xf numFmtId="0" fontId="10" fillId="33" borderId="0" xfId="33" applyFont="1" applyFill="1" applyAlignment="1">
      <alignment horizontal="center"/>
      <protection/>
    </xf>
    <xf numFmtId="0" fontId="10" fillId="33" borderId="0" xfId="33" applyFont="1" applyFill="1" applyAlignment="1">
      <alignment vertical="center" wrapText="1"/>
      <protection/>
    </xf>
    <xf numFmtId="0" fontId="11" fillId="33" borderId="0" xfId="33" applyFont="1" applyFill="1" applyAlignment="1">
      <alignment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1" fillId="33" borderId="0" xfId="33" applyFont="1" applyFill="1">
      <alignment/>
      <protection/>
    </xf>
    <xf numFmtId="0" fontId="10" fillId="33" borderId="0" xfId="33" applyFont="1" applyFill="1" applyAlignment="1">
      <alignment horizontal="left" vertical="center" wrapText="1"/>
      <protection/>
    </xf>
    <xf numFmtId="0" fontId="13" fillId="33" borderId="0" xfId="33" applyFont="1" applyFill="1" applyAlignment="1">
      <alignment vertical="center" wrapText="1"/>
      <protection/>
    </xf>
    <xf numFmtId="0" fontId="13" fillId="33" borderId="0" xfId="33" applyFont="1" applyFill="1" applyAlignment="1" applyProtection="1">
      <alignment vertical="center" wrapText="1"/>
      <protection locked="0"/>
    </xf>
    <xf numFmtId="0" fontId="14" fillId="33" borderId="0" xfId="33" applyFont="1" applyFill="1" applyAlignment="1">
      <alignment vertical="center" wrapText="1"/>
      <protection/>
    </xf>
    <xf numFmtId="0" fontId="12" fillId="33" borderId="0" xfId="33" applyFont="1" applyFill="1" applyAlignment="1">
      <alignment vertical="center" wrapText="1"/>
      <protection/>
    </xf>
    <xf numFmtId="0" fontId="12" fillId="0" borderId="0" xfId="33" applyFont="1" applyFill="1" applyAlignment="1">
      <alignment vertical="center" wrapText="1"/>
      <protection/>
    </xf>
    <xf numFmtId="0" fontId="14" fillId="33" borderId="0" xfId="33" applyFont="1" applyFill="1">
      <alignment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1" xfId="33" applyFont="1" applyFill="1" applyBorder="1" applyAlignment="1">
      <alignment vertical="center" wrapText="1"/>
      <protection/>
    </xf>
    <xf numFmtId="0" fontId="15" fillId="33" borderId="12" xfId="33" applyFont="1" applyFill="1" applyBorder="1" applyAlignment="1">
      <alignment vertical="center" wrapText="1"/>
      <protection/>
    </xf>
    <xf numFmtId="0" fontId="15" fillId="33" borderId="13" xfId="33" applyFont="1" applyFill="1" applyBorder="1" applyAlignment="1">
      <alignment vertical="center" wrapText="1"/>
      <protection/>
    </xf>
    <xf numFmtId="0" fontId="13" fillId="33" borderId="0" xfId="33" applyFont="1" applyFill="1">
      <alignment/>
      <protection/>
    </xf>
    <xf numFmtId="0" fontId="15" fillId="33" borderId="14" xfId="33" applyFont="1" applyFill="1" applyBorder="1" applyAlignment="1">
      <alignment horizontal="left" vertical="center" wrapText="1"/>
      <protection/>
    </xf>
    <xf numFmtId="0" fontId="15" fillId="33" borderId="15" xfId="33" applyFont="1" applyFill="1" applyBorder="1" applyAlignment="1">
      <alignment horizontal="left" vertical="center" wrapText="1"/>
      <protection/>
    </xf>
    <xf numFmtId="0" fontId="15" fillId="33" borderId="16" xfId="33" applyFont="1" applyFill="1" applyBorder="1" applyAlignment="1">
      <alignment vertical="center" wrapText="1"/>
      <protection/>
    </xf>
    <xf numFmtId="0" fontId="15" fillId="33" borderId="0" xfId="33" applyFont="1" applyFill="1" applyBorder="1" applyAlignment="1">
      <alignment vertical="center" wrapText="1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15" fillId="33" borderId="12" xfId="33" applyFont="1" applyFill="1" applyBorder="1" applyAlignment="1">
      <alignment horizontal="center" vertical="center" wrapText="1"/>
      <protection/>
    </xf>
    <xf numFmtId="0" fontId="15" fillId="33" borderId="13" xfId="33" applyFont="1" applyFill="1" applyBorder="1" applyAlignment="1">
      <alignment horizontal="center" vertical="center" wrapText="1"/>
      <protection/>
    </xf>
    <xf numFmtId="49" fontId="15" fillId="33" borderId="17" xfId="33" applyNumberFormat="1" applyFont="1" applyFill="1" applyBorder="1" applyAlignment="1">
      <alignment horizontal="center" vertical="center" wrapText="1"/>
      <protection/>
    </xf>
    <xf numFmtId="49" fontId="15" fillId="33" borderId="15" xfId="33" applyNumberFormat="1" applyFont="1" applyFill="1" applyBorder="1" applyAlignment="1">
      <alignment horizontal="center" vertical="center" wrapText="1"/>
      <protection/>
    </xf>
    <xf numFmtId="49" fontId="15" fillId="33" borderId="12" xfId="33" applyNumberFormat="1" applyFont="1" applyFill="1" applyBorder="1" applyAlignment="1">
      <alignment horizontal="center" vertical="center" wrapText="1"/>
      <protection/>
    </xf>
    <xf numFmtId="49" fontId="15" fillId="33" borderId="14" xfId="33" applyNumberFormat="1" applyFont="1" applyFill="1" applyBorder="1" applyAlignment="1">
      <alignment horizontal="center" vertical="center" wrapText="1"/>
      <protection/>
    </xf>
    <xf numFmtId="0" fontId="13" fillId="33" borderId="0" xfId="33" applyFont="1" applyFill="1" applyBorder="1" applyAlignment="1">
      <alignment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33" borderId="0" xfId="33" applyFont="1" applyFill="1" applyAlignment="1">
      <alignment horizontal="center"/>
      <protection/>
    </xf>
    <xf numFmtId="0" fontId="15" fillId="33" borderId="10" xfId="33" applyFont="1" applyFill="1" applyBorder="1" applyAlignment="1">
      <alignment horizontal="center"/>
      <protection/>
    </xf>
    <xf numFmtId="0" fontId="16" fillId="33" borderId="10" xfId="61" applyFont="1" applyFill="1" applyBorder="1" applyAlignment="1">
      <alignment vertical="center" wrapText="1"/>
      <protection/>
    </xf>
    <xf numFmtId="0" fontId="16" fillId="33" borderId="10" xfId="61" applyFont="1" applyFill="1" applyBorder="1" applyAlignment="1" applyProtection="1">
      <alignment vertical="center" wrapText="1"/>
      <protection locked="0"/>
    </xf>
    <xf numFmtId="172" fontId="15" fillId="33" borderId="10" xfId="33" applyNumberFormat="1" applyFont="1" applyFill="1" applyBorder="1">
      <alignment/>
      <protection/>
    </xf>
    <xf numFmtId="174" fontId="15" fillId="0" borderId="10" xfId="33" applyNumberFormat="1" applyFont="1" applyFill="1" applyBorder="1">
      <alignment/>
      <protection/>
    </xf>
    <xf numFmtId="174" fontId="15" fillId="33" borderId="10" xfId="33" applyNumberFormat="1" applyFont="1" applyFill="1" applyBorder="1" applyAlignment="1">
      <alignment vertical="center" wrapText="1"/>
      <protection/>
    </xf>
    <xf numFmtId="174" fontId="17" fillId="33" borderId="10" xfId="33" applyNumberFormat="1" applyFont="1" applyFill="1" applyBorder="1">
      <alignment/>
      <protection/>
    </xf>
    <xf numFmtId="174" fontId="15" fillId="33" borderId="10" xfId="33" applyNumberFormat="1" applyFont="1" applyFill="1" applyBorder="1" applyAlignment="1" applyProtection="1">
      <alignment vertical="center" wrapText="1"/>
      <protection/>
    </xf>
    <xf numFmtId="4" fontId="15" fillId="33" borderId="10" xfId="33" applyNumberFormat="1" applyFont="1" applyFill="1" applyBorder="1" applyAlignment="1" applyProtection="1">
      <alignment vertical="center" wrapText="1"/>
      <protection/>
    </xf>
    <xf numFmtId="172" fontId="15" fillId="33" borderId="10" xfId="33" applyNumberFormat="1" applyFont="1" applyFill="1" applyBorder="1" applyAlignment="1">
      <alignment vertical="center" wrapText="1"/>
      <protection/>
    </xf>
    <xf numFmtId="174" fontId="15" fillId="33" borderId="10" xfId="33" applyNumberFormat="1" applyFont="1" applyFill="1" applyBorder="1" applyAlignment="1" applyProtection="1">
      <alignment vertical="center" wrapText="1"/>
      <protection locked="0"/>
    </xf>
    <xf numFmtId="2" fontId="15" fillId="33" borderId="10" xfId="33" applyNumberFormat="1" applyFont="1" applyFill="1" applyBorder="1" applyAlignment="1" applyProtection="1">
      <alignment vertical="center" wrapText="1"/>
      <protection locked="0"/>
    </xf>
    <xf numFmtId="172" fontId="15" fillId="33" borderId="10" xfId="33" applyNumberFormat="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>
      <alignment vertical="center" wrapText="1"/>
      <protection/>
    </xf>
    <xf numFmtId="177" fontId="15" fillId="33" borderId="10" xfId="33" applyNumberFormat="1" applyFont="1" applyFill="1" applyBorder="1" applyAlignment="1">
      <alignment vertical="center" wrapText="1"/>
      <protection/>
    </xf>
    <xf numFmtId="3" fontId="15" fillId="33" borderId="10" xfId="33" applyNumberFormat="1" applyFont="1" applyFill="1" applyBorder="1" applyAlignment="1">
      <alignment vertical="center" wrapText="1"/>
      <protection/>
    </xf>
    <xf numFmtId="174" fontId="15" fillId="33" borderId="10" xfId="33" applyNumberFormat="1" applyFont="1" applyFill="1" applyBorder="1" applyAlignment="1">
      <alignment horizontal="right" vertical="center" wrapText="1"/>
      <protection/>
    </xf>
    <xf numFmtId="178" fontId="15" fillId="33" borderId="10" xfId="33" applyNumberFormat="1" applyFont="1" applyFill="1" applyBorder="1" applyAlignment="1">
      <alignment vertical="center" wrapText="1"/>
      <protection/>
    </xf>
    <xf numFmtId="174" fontId="18" fillId="33" borderId="10" xfId="33" applyNumberFormat="1" applyFont="1" applyFill="1" applyBorder="1" applyAlignment="1" applyProtection="1">
      <alignment vertical="center" wrapText="1"/>
      <protection locked="0"/>
    </xf>
    <xf numFmtId="173" fontId="13" fillId="33" borderId="0" xfId="33" applyNumberFormat="1" applyFont="1" applyFill="1" applyBorder="1">
      <alignment/>
      <protection/>
    </xf>
    <xf numFmtId="177" fontId="13" fillId="33" borderId="0" xfId="33" applyNumberFormat="1" applyFont="1" applyFill="1">
      <alignment/>
      <protection/>
    </xf>
    <xf numFmtId="0" fontId="16" fillId="0" borderId="10" xfId="6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 applyProtection="1">
      <alignment vertical="center" wrapText="1"/>
      <protection locked="0"/>
    </xf>
    <xf numFmtId="4" fontId="15" fillId="33" borderId="10" xfId="33" applyNumberFormat="1" applyFont="1" applyFill="1" applyBorder="1" applyAlignment="1" applyProtection="1">
      <alignment vertical="center" wrapText="1"/>
      <protection locked="0"/>
    </xf>
    <xf numFmtId="172" fontId="15" fillId="0" borderId="10" xfId="33" applyNumberFormat="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>
      <alignment horizontal="right" vertical="center" wrapText="1"/>
      <protection/>
    </xf>
    <xf numFmtId="178" fontId="15" fillId="0" borderId="10" xfId="33" applyNumberFormat="1" applyFont="1" applyFill="1" applyBorder="1" applyAlignment="1">
      <alignment vertical="center" wrapText="1"/>
      <protection/>
    </xf>
    <xf numFmtId="174" fontId="18" fillId="33" borderId="10" xfId="33" applyNumberFormat="1" applyFont="1" applyFill="1" applyBorder="1" applyAlignment="1">
      <alignment vertical="center" wrapText="1"/>
      <protection/>
    </xf>
    <xf numFmtId="172" fontId="15" fillId="0" borderId="10" xfId="33" applyNumberFormat="1" applyFont="1" applyFill="1" applyBorder="1" applyAlignment="1">
      <alignment vertical="center" wrapText="1"/>
      <protection/>
    </xf>
    <xf numFmtId="174" fontId="18" fillId="0" borderId="10" xfId="33" applyNumberFormat="1" applyFont="1" applyFill="1" applyBorder="1" applyAlignment="1" applyProtection="1">
      <alignment vertical="center" wrapText="1"/>
      <protection locked="0"/>
    </xf>
    <xf numFmtId="174" fontId="17" fillId="0" borderId="10" xfId="33" applyNumberFormat="1" applyFont="1" applyFill="1" applyBorder="1">
      <alignment/>
      <protection/>
    </xf>
    <xf numFmtId="0" fontId="13" fillId="35" borderId="0" xfId="33" applyFont="1" applyFill="1">
      <alignment/>
      <protection/>
    </xf>
    <xf numFmtId="172" fontId="15" fillId="0" borderId="10" xfId="33" applyNumberFormat="1" applyFont="1" applyFill="1" applyBorder="1">
      <alignment/>
      <protection/>
    </xf>
    <xf numFmtId="174" fontId="15" fillId="0" borderId="10" xfId="33" applyNumberFormat="1" applyFont="1" applyFill="1" applyBorder="1" applyAlignment="1" applyProtection="1">
      <alignment vertical="center" wrapText="1"/>
      <protection/>
    </xf>
    <xf numFmtId="174" fontId="15" fillId="33" borderId="10" xfId="33" applyNumberFormat="1" applyFont="1" applyFill="1" applyBorder="1">
      <alignment/>
      <protection/>
    </xf>
    <xf numFmtId="0" fontId="16" fillId="0" borderId="10" xfId="61" applyFont="1" applyFill="1" applyBorder="1" applyAlignment="1">
      <alignment vertical="center" wrapText="1"/>
      <protection/>
    </xf>
    <xf numFmtId="177" fontId="15" fillId="0" borderId="10" xfId="33" applyNumberFormat="1" applyFont="1" applyFill="1" applyBorder="1" applyAlignment="1">
      <alignment vertical="center" wrapText="1"/>
      <protection/>
    </xf>
    <xf numFmtId="173" fontId="13" fillId="0" borderId="0" xfId="33" applyNumberFormat="1" applyFont="1" applyFill="1" applyBorder="1">
      <alignment/>
      <protection/>
    </xf>
    <xf numFmtId="177" fontId="13" fillId="0" borderId="0" xfId="33" applyNumberFormat="1" applyFont="1" applyFill="1">
      <alignment/>
      <protection/>
    </xf>
    <xf numFmtId="0" fontId="13" fillId="0" borderId="0" xfId="33" applyFont="1" applyFill="1">
      <alignment/>
      <protection/>
    </xf>
    <xf numFmtId="0" fontId="13" fillId="33" borderId="0" xfId="33" applyFont="1" applyFill="1" applyAlignment="1">
      <alignment/>
      <protection/>
    </xf>
    <xf numFmtId="0" fontId="19" fillId="0" borderId="10" xfId="61" applyFont="1" applyFill="1" applyBorder="1" applyAlignment="1">
      <alignment vertical="center" wrapText="1"/>
      <protection/>
    </xf>
    <xf numFmtId="0" fontId="16" fillId="33" borderId="11" xfId="61" applyFont="1" applyFill="1" applyBorder="1" applyAlignment="1">
      <alignment vertical="center" wrapText="1"/>
      <protection/>
    </xf>
    <xf numFmtId="0" fontId="16" fillId="33" borderId="13" xfId="61" applyFont="1" applyFill="1" applyBorder="1" applyAlignment="1" applyProtection="1">
      <alignment vertical="center" wrapText="1"/>
      <protection locked="0"/>
    </xf>
    <xf numFmtId="174" fontId="17" fillId="0" borderId="10" xfId="33" applyNumberFormat="1" applyFont="1" applyFill="1" applyBorder="1" applyAlignment="1">
      <alignment vertical="center" wrapText="1"/>
      <protection/>
    </xf>
    <xf numFmtId="179" fontId="15" fillId="33" borderId="10" xfId="33" applyNumberFormat="1" applyFont="1" applyFill="1" applyBorder="1" applyAlignment="1">
      <alignment vertical="center" wrapText="1"/>
      <protection/>
    </xf>
    <xf numFmtId="179" fontId="15" fillId="33" borderId="10" xfId="33" applyNumberFormat="1" applyFont="1" applyFill="1" applyBorder="1" applyAlignment="1" applyProtection="1">
      <alignment vertical="center" wrapText="1"/>
      <protection locked="0"/>
    </xf>
    <xf numFmtId="174" fontId="21" fillId="0" borderId="10" xfId="33" applyNumberFormat="1" applyFont="1" applyFill="1" applyBorder="1" applyAlignment="1">
      <alignment vertical="center" wrapText="1"/>
      <protection/>
    </xf>
    <xf numFmtId="174" fontId="12" fillId="33" borderId="10" xfId="33" applyNumberFormat="1" applyFont="1" applyFill="1" applyBorder="1" applyAlignment="1">
      <alignment vertical="center" wrapText="1"/>
      <protection/>
    </xf>
    <xf numFmtId="174" fontId="12" fillId="0" borderId="10" xfId="33" applyNumberFormat="1" applyFont="1" applyFill="1" applyBorder="1" applyAlignment="1">
      <alignment vertical="center" wrapText="1"/>
      <protection/>
    </xf>
    <xf numFmtId="4" fontId="12" fillId="33" borderId="10" xfId="33" applyNumberFormat="1" applyFont="1" applyFill="1" applyBorder="1" applyAlignment="1">
      <alignment vertical="center" wrapText="1"/>
      <protection/>
    </xf>
    <xf numFmtId="3" fontId="12" fillId="33" borderId="10" xfId="33" applyNumberFormat="1" applyFont="1" applyFill="1" applyBorder="1" applyAlignment="1">
      <alignment vertical="center" wrapText="1"/>
      <protection/>
    </xf>
    <xf numFmtId="174" fontId="12" fillId="33" borderId="10" xfId="33" applyNumberFormat="1" applyFont="1" applyFill="1" applyBorder="1" applyAlignment="1">
      <alignment horizontal="right" vertical="center" wrapText="1"/>
      <protection/>
    </xf>
    <xf numFmtId="178" fontId="12" fillId="33" borderId="10" xfId="33" applyNumberFormat="1" applyFont="1" applyFill="1" applyBorder="1" applyAlignment="1">
      <alignment vertical="center" wrapText="1"/>
      <protection/>
    </xf>
    <xf numFmtId="177" fontId="12" fillId="33" borderId="10" xfId="33" applyNumberFormat="1" applyFont="1" applyFill="1" applyBorder="1" applyAlignment="1">
      <alignment vertical="center" wrapText="1"/>
      <protection/>
    </xf>
    <xf numFmtId="179" fontId="12" fillId="33" borderId="10" xfId="33" applyNumberFormat="1" applyFont="1" applyFill="1" applyBorder="1" applyAlignment="1">
      <alignment vertical="center" wrapText="1"/>
      <protection/>
    </xf>
    <xf numFmtId="179" fontId="12" fillId="0" borderId="10" xfId="33" applyNumberFormat="1" applyFont="1" applyFill="1" applyBorder="1" applyAlignment="1">
      <alignment vertical="center" wrapText="1"/>
      <protection/>
    </xf>
    <xf numFmtId="177" fontId="12" fillId="0" borderId="10" xfId="33" applyNumberFormat="1" applyFont="1" applyFill="1" applyBorder="1" applyAlignment="1">
      <alignment vertical="center" wrapText="1"/>
      <protection/>
    </xf>
    <xf numFmtId="4" fontId="13" fillId="33" borderId="0" xfId="33" applyNumberFormat="1" applyFont="1" applyFill="1">
      <alignment/>
      <protection/>
    </xf>
    <xf numFmtId="180" fontId="10" fillId="33" borderId="0" xfId="33" applyNumberFormat="1" applyFont="1" applyFill="1">
      <alignment/>
      <protection/>
    </xf>
    <xf numFmtId="177" fontId="10" fillId="33" borderId="0" xfId="33" applyNumberFormat="1" applyFont="1" applyFill="1">
      <alignment/>
      <protection/>
    </xf>
    <xf numFmtId="179" fontId="10" fillId="33" borderId="0" xfId="33" applyNumberFormat="1" applyFont="1" applyFill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172" fontId="3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 applyFill="1">
      <alignment/>
      <protection/>
    </xf>
    <xf numFmtId="173" fontId="7" fillId="0" borderId="0" xfId="60" applyNumberFormat="1" applyFont="1">
      <alignment/>
      <protection/>
    </xf>
    <xf numFmtId="183" fontId="7" fillId="0" borderId="0" xfId="60" applyNumberFormat="1" applyFont="1">
      <alignment/>
      <protection/>
    </xf>
    <xf numFmtId="0" fontId="4" fillId="0" borderId="0" xfId="59" applyFont="1">
      <alignment/>
      <protection/>
    </xf>
    <xf numFmtId="0" fontId="7" fillId="0" borderId="10" xfId="62" applyFont="1" applyBorder="1" applyAlignment="1">
      <alignment horizontal="center" vertical="center" wrapText="1"/>
      <protection/>
    </xf>
    <xf numFmtId="172" fontId="7" fillId="0" borderId="10" xfId="62" applyNumberFormat="1" applyFont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172" fontId="7" fillId="0" borderId="10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>
      <alignment/>
      <protection/>
    </xf>
    <xf numFmtId="172" fontId="7" fillId="0" borderId="10" xfId="62" applyNumberFormat="1" applyFont="1" applyBorder="1" applyAlignment="1">
      <alignment horizontal="right" vertical="center"/>
      <protection/>
    </xf>
    <xf numFmtId="0" fontId="22" fillId="0" borderId="10" xfId="62" applyFont="1" applyBorder="1" applyAlignment="1">
      <alignment horizontal="center"/>
      <protection/>
    </xf>
    <xf numFmtId="0" fontId="22" fillId="0" borderId="10" xfId="62" applyFont="1" applyBorder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wrapText="1"/>
      <protection/>
    </xf>
    <xf numFmtId="172" fontId="3" fillId="0" borderId="10" xfId="62" applyNumberFormat="1" applyFont="1" applyBorder="1" applyAlignment="1">
      <alignment horizontal="right" vertical="center"/>
      <protection/>
    </xf>
    <xf numFmtId="172" fontId="3" fillId="0" borderId="10" xfId="62" applyNumberFormat="1" applyFont="1" applyFill="1" applyBorder="1" applyAlignment="1">
      <alignment horizontal="right" vertical="center"/>
      <protection/>
    </xf>
    <xf numFmtId="0" fontId="7" fillId="0" borderId="10" xfId="62" applyFont="1" applyBorder="1" applyAlignment="1">
      <alignment wrapText="1"/>
      <protection/>
    </xf>
    <xf numFmtId="0" fontId="3" fillId="0" borderId="10" xfId="62" applyFont="1" applyBorder="1">
      <alignment/>
      <protection/>
    </xf>
    <xf numFmtId="172" fontId="3" fillId="0" borderId="10" xfId="33" applyNumberFormat="1" applyFont="1" applyBorder="1" applyAlignment="1">
      <alignment horizontal="right" vertical="center"/>
      <protection/>
    </xf>
    <xf numFmtId="0" fontId="22" fillId="0" borderId="10" xfId="62" applyFont="1" applyBorder="1" applyAlignment="1">
      <alignment wrapText="1"/>
      <protection/>
    </xf>
    <xf numFmtId="172" fontId="7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22" fillId="0" borderId="10" xfId="62" applyFont="1" applyBorder="1" applyAlignment="1">
      <alignment horizontal="center" vertical="top"/>
      <protection/>
    </xf>
    <xf numFmtId="0" fontId="22" fillId="0" borderId="10" xfId="62" applyFont="1" applyBorder="1" applyAlignment="1">
      <alignment vertical="top" wrapText="1"/>
      <protection/>
    </xf>
    <xf numFmtId="0" fontId="3" fillId="0" borderId="10" xfId="62" applyFont="1" applyFill="1" applyBorder="1" applyAlignment="1">
      <alignment wrapText="1"/>
      <protection/>
    </xf>
    <xf numFmtId="2" fontId="7" fillId="0" borderId="10" xfId="62" applyNumberFormat="1" applyFont="1" applyBorder="1" applyAlignment="1">
      <alignment horizontal="right" vertical="center"/>
      <protection/>
    </xf>
    <xf numFmtId="172" fontId="7" fillId="0" borderId="10" xfId="43" applyNumberFormat="1" applyFont="1" applyFill="1" applyBorder="1" applyAlignment="1" applyProtection="1">
      <alignment horizontal="right" vertical="center"/>
      <protection/>
    </xf>
    <xf numFmtId="184" fontId="7" fillId="0" borderId="10" xfId="62" applyNumberFormat="1" applyFont="1" applyBorder="1" applyAlignment="1">
      <alignment horizontal="right" vertical="center"/>
      <protection/>
    </xf>
    <xf numFmtId="172" fontId="7" fillId="0" borderId="0" xfId="60" applyNumberFormat="1" applyFont="1">
      <alignment/>
      <protection/>
    </xf>
    <xf numFmtId="184" fontId="3" fillId="33" borderId="10" xfId="33" applyNumberFormat="1" applyFont="1" applyFill="1" applyBorder="1" applyAlignment="1">
      <alignment horizontal="right" vertical="center"/>
      <protection/>
    </xf>
    <xf numFmtId="172" fontId="3" fillId="33" borderId="10" xfId="53" applyNumberFormat="1" applyFont="1" applyFill="1" applyBorder="1" applyAlignment="1">
      <alignment horizontal="right" vertical="center" shrinkToFit="1"/>
      <protection/>
    </xf>
    <xf numFmtId="184" fontId="3" fillId="0" borderId="10" xfId="33" applyNumberFormat="1" applyFont="1" applyBorder="1" applyAlignment="1">
      <alignment horizontal="right" vertical="center"/>
      <protection/>
    </xf>
    <xf numFmtId="172" fontId="3" fillId="33" borderId="10" xfId="54" applyNumberFormat="1" applyFont="1" applyFill="1" applyBorder="1" applyAlignment="1">
      <alignment horizontal="right" vertical="center" shrinkToFit="1"/>
      <protection/>
    </xf>
    <xf numFmtId="172" fontId="3" fillId="33" borderId="10" xfId="55" applyNumberFormat="1" applyFont="1" applyFill="1" applyBorder="1" applyAlignment="1">
      <alignment horizontal="right" vertical="center" shrinkToFit="1"/>
      <protection/>
    </xf>
    <xf numFmtId="185" fontId="3" fillId="0" borderId="10" xfId="62" applyNumberFormat="1" applyFont="1" applyFill="1" applyBorder="1" applyAlignment="1">
      <alignment horizontal="right" vertical="center"/>
      <protection/>
    </xf>
    <xf numFmtId="174" fontId="3" fillId="0" borderId="10" xfId="62" applyNumberFormat="1" applyFont="1" applyFill="1" applyBorder="1" applyAlignment="1">
      <alignment horizontal="right" vertical="center"/>
      <protection/>
    </xf>
    <xf numFmtId="185" fontId="7" fillId="0" borderId="10" xfId="33" applyNumberFormat="1" applyFont="1" applyBorder="1" applyAlignment="1">
      <alignment horizontal="right" vertical="center"/>
      <protection/>
    </xf>
    <xf numFmtId="185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60" applyFont="1" applyBorder="1">
      <alignment/>
      <protection/>
    </xf>
    <xf numFmtId="0" fontId="7" fillId="0" borderId="16" xfId="62" applyFont="1" applyBorder="1" applyAlignment="1">
      <alignment horizontal="center"/>
      <protection/>
    </xf>
    <xf numFmtId="0" fontId="7" fillId="0" borderId="16" xfId="62" applyFont="1" applyBorder="1">
      <alignment/>
      <protection/>
    </xf>
    <xf numFmtId="186" fontId="7" fillId="0" borderId="16" xfId="62" applyNumberFormat="1" applyFont="1" applyBorder="1" applyAlignment="1">
      <alignment horizontal="right" vertical="center"/>
      <protection/>
    </xf>
    <xf numFmtId="173" fontId="7" fillId="33" borderId="16" xfId="69" applyNumberFormat="1" applyFont="1" applyFill="1" applyBorder="1" applyAlignment="1" applyProtection="1">
      <alignment horizontal="right" vertical="center"/>
      <protection/>
    </xf>
    <xf numFmtId="172" fontId="7" fillId="0" borderId="16" xfId="62" applyNumberFormat="1" applyFont="1" applyBorder="1" applyAlignment="1">
      <alignment horizontal="right" vertical="center"/>
      <protection/>
    </xf>
    <xf numFmtId="177" fontId="7" fillId="0" borderId="0" xfId="60" applyNumberFormat="1" applyFont="1">
      <alignment/>
      <protection/>
    </xf>
    <xf numFmtId="186" fontId="7" fillId="0" borderId="0" xfId="60" applyNumberFormat="1" applyFont="1">
      <alignment/>
      <protection/>
    </xf>
    <xf numFmtId="0" fontId="7" fillId="0" borderId="10" xfId="62" applyFont="1" applyFill="1" applyBorder="1">
      <alignment/>
      <protection/>
    </xf>
    <xf numFmtId="186" fontId="7" fillId="0" borderId="10" xfId="62" applyNumberFormat="1" applyFont="1" applyBorder="1" applyAlignment="1">
      <alignment horizontal="right" vertical="center"/>
      <protection/>
    </xf>
    <xf numFmtId="172" fontId="7" fillId="0" borderId="10" xfId="60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174" fontId="7" fillId="0" borderId="18" xfId="62" applyNumberFormat="1" applyFont="1" applyBorder="1" applyAlignment="1">
      <alignment horizontal="right" vertical="center"/>
      <protection/>
    </xf>
    <xf numFmtId="173" fontId="3" fillId="0" borderId="0" xfId="60" applyNumberFormat="1" applyFont="1" applyAlignment="1">
      <alignment horizontal="right" vertical="center"/>
      <protection/>
    </xf>
    <xf numFmtId="172" fontId="3" fillId="0" borderId="10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1" fontId="7" fillId="0" borderId="10" xfId="62" applyNumberFormat="1" applyFont="1" applyBorder="1" applyAlignment="1">
      <alignment horizontal="center" vertical="center" wrapText="1"/>
      <protection/>
    </xf>
    <xf numFmtId="1" fontId="3" fillId="0" borderId="10" xfId="60" applyNumberFormat="1" applyFont="1" applyBorder="1" applyAlignment="1">
      <alignment horizontal="center" vertical="center"/>
      <protection/>
    </xf>
    <xf numFmtId="1" fontId="7" fillId="0" borderId="10" xfId="60" applyNumberFormat="1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/>
      <protection/>
    </xf>
    <xf numFmtId="0" fontId="7" fillId="33" borderId="10" xfId="60" applyFont="1" applyFill="1" applyBorder="1" applyAlignment="1">
      <alignment wrapText="1"/>
      <protection/>
    </xf>
    <xf numFmtId="172" fontId="7" fillId="0" borderId="10" xfId="57" applyNumberFormat="1" applyFont="1" applyBorder="1" applyAlignment="1">
      <alignment horizontal="right"/>
      <protection/>
    </xf>
    <xf numFmtId="49" fontId="3" fillId="0" borderId="10" xfId="60" applyNumberFormat="1" applyFont="1" applyBorder="1" applyAlignment="1">
      <alignment horizontal="center"/>
      <protection/>
    </xf>
    <xf numFmtId="0" fontId="3" fillId="33" borderId="10" xfId="60" applyFont="1" applyFill="1" applyBorder="1" applyAlignment="1">
      <alignment wrapText="1"/>
      <protection/>
    </xf>
    <xf numFmtId="172" fontId="3" fillId="0" borderId="10" xfId="57" applyNumberFormat="1" applyFont="1" applyBorder="1" applyAlignment="1">
      <alignment horizontal="right"/>
      <protection/>
    </xf>
    <xf numFmtId="0" fontId="3" fillId="0" borderId="10" xfId="60" applyFont="1" applyBorder="1" applyAlignment="1">
      <alignment wrapText="1"/>
      <protection/>
    </xf>
    <xf numFmtId="172" fontId="3" fillId="0" borderId="10" xfId="60" applyNumberFormat="1" applyFont="1" applyBorder="1" applyAlignment="1">
      <alignment horizontal="right"/>
      <protection/>
    </xf>
    <xf numFmtId="49" fontId="7" fillId="0" borderId="11" xfId="59" applyNumberFormat="1" applyFont="1" applyBorder="1" applyAlignment="1">
      <alignment horizontal="center"/>
      <protection/>
    </xf>
    <xf numFmtId="0" fontId="7" fillId="33" borderId="10" xfId="59" applyFont="1" applyFill="1" applyBorder="1" applyAlignment="1">
      <alignment wrapText="1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wrapText="1"/>
      <protection/>
    </xf>
    <xf numFmtId="49" fontId="3" fillId="0" borderId="11" xfId="60" applyNumberFormat="1" applyFont="1" applyBorder="1" applyAlignment="1">
      <alignment horizontal="center"/>
      <protection/>
    </xf>
    <xf numFmtId="49" fontId="3" fillId="0" borderId="11" xfId="58" applyNumberFormat="1" applyFont="1" applyBorder="1" applyAlignment="1">
      <alignment horizontal="center"/>
      <protection/>
    </xf>
    <xf numFmtId="0" fontId="23" fillId="0" borderId="10" xfId="58" applyFont="1" applyBorder="1" applyAlignment="1">
      <alignment wrapText="1"/>
      <protection/>
    </xf>
    <xf numFmtId="172" fontId="7" fillId="0" borderId="10" xfId="57" applyNumberFormat="1" applyFont="1" applyBorder="1" applyAlignment="1">
      <alignment horizontal="right" vertical="center"/>
      <protection/>
    </xf>
    <xf numFmtId="172" fontId="3" fillId="0" borderId="10" xfId="57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left" wrapText="1"/>
      <protection/>
    </xf>
    <xf numFmtId="0" fontId="7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Fill="1" applyBorder="1" applyAlignment="1">
      <alignment wrapText="1"/>
      <protection/>
    </xf>
    <xf numFmtId="172" fontId="3" fillId="33" borderId="10" xfId="56" applyNumberFormat="1" applyFont="1" applyFill="1" applyBorder="1" applyAlignment="1">
      <alignment horizontal="right" vertical="top" shrinkToFit="1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center" wrapText="1"/>
      <protection/>
    </xf>
    <xf numFmtId="173" fontId="7" fillId="0" borderId="10" xfId="69" applyNumberFormat="1" applyFont="1" applyFill="1" applyBorder="1" applyAlignment="1" applyProtection="1">
      <alignment horizontal="right" vertical="center"/>
      <protection/>
    </xf>
    <xf numFmtId="184" fontId="7" fillId="0" borderId="10" xfId="57" applyNumberFormat="1" applyFont="1" applyBorder="1" applyAlignment="1">
      <alignment horizontal="right"/>
      <protection/>
    </xf>
    <xf numFmtId="184" fontId="3" fillId="0" borderId="0" xfId="60" applyNumberFormat="1" applyFont="1" applyAlignment="1">
      <alignment horizontal="center"/>
      <protection/>
    </xf>
    <xf numFmtId="184" fontId="3" fillId="0" borderId="0" xfId="60" applyNumberFormat="1" applyFont="1" applyAlignment="1">
      <alignment horizontal="right"/>
      <protection/>
    </xf>
    <xf numFmtId="0" fontId="4" fillId="0" borderId="0" xfId="59" applyFont="1" applyAlignment="1">
      <alignment horizontal="left"/>
      <protection/>
    </xf>
    <xf numFmtId="184" fontId="4" fillId="0" borderId="0" xfId="59" applyNumberFormat="1" applyFont="1">
      <alignment/>
      <protection/>
    </xf>
    <xf numFmtId="0" fontId="4" fillId="0" borderId="0" xfId="59" applyFont="1" applyAlignment="1">
      <alignment/>
      <protection/>
    </xf>
    <xf numFmtId="173" fontId="3" fillId="0" borderId="0" xfId="60" applyNumberFormat="1" applyFont="1" applyAlignment="1">
      <alignment horizontal="center"/>
      <protection/>
    </xf>
    <xf numFmtId="173" fontId="7" fillId="0" borderId="10" xfId="62" applyNumberFormat="1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/>
      <protection/>
    </xf>
    <xf numFmtId="172" fontId="7" fillId="33" borderId="10" xfId="62" applyNumberFormat="1" applyFont="1" applyFill="1" applyBorder="1" applyAlignment="1">
      <alignment horizontal="right" vertical="center"/>
      <protection/>
    </xf>
    <xf numFmtId="172" fontId="3" fillId="33" borderId="10" xfId="33" applyNumberFormat="1" applyFont="1" applyFill="1" applyBorder="1" applyAlignment="1">
      <alignment horizontal="right" vertical="center"/>
      <protection/>
    </xf>
    <xf numFmtId="2" fontId="3" fillId="0" borderId="10" xfId="33" applyNumberFormat="1" applyFont="1" applyBorder="1" applyAlignment="1">
      <alignment horizontal="right" vertical="center"/>
      <protection/>
    </xf>
    <xf numFmtId="2" fontId="3" fillId="33" borderId="10" xfId="55" applyNumberFormat="1" applyFont="1" applyFill="1" applyBorder="1" applyAlignment="1">
      <alignment horizontal="right" vertical="center" shrinkToFit="1"/>
      <protection/>
    </xf>
    <xf numFmtId="2" fontId="7" fillId="0" borderId="10" xfId="62" applyNumberFormat="1" applyFont="1" applyFill="1" applyBorder="1" applyAlignment="1">
      <alignment horizontal="right" vertical="center"/>
      <protection/>
    </xf>
    <xf numFmtId="2" fontId="7" fillId="0" borderId="10" xfId="33" applyNumberFormat="1" applyFont="1" applyBorder="1" applyAlignment="1">
      <alignment horizontal="right" vertical="center"/>
      <protection/>
    </xf>
    <xf numFmtId="173" fontId="7" fillId="0" borderId="10" xfId="62" applyNumberFormat="1" applyFont="1" applyBorder="1" applyAlignment="1">
      <alignment horizontal="right" vertical="center"/>
      <protection/>
    </xf>
    <xf numFmtId="173" fontId="7" fillId="33" borderId="10" xfId="69" applyNumberFormat="1" applyFont="1" applyFill="1" applyBorder="1" applyAlignment="1" applyProtection="1">
      <alignment horizontal="right" vertical="center"/>
      <protection/>
    </xf>
    <xf numFmtId="173" fontId="7" fillId="0" borderId="18" xfId="62" applyNumberFormat="1" applyFont="1" applyBorder="1" applyAlignment="1">
      <alignment horizontal="right" vertical="center"/>
      <protection/>
    </xf>
    <xf numFmtId="172" fontId="3" fillId="0" borderId="0" xfId="60" applyNumberFormat="1" applyFont="1" applyAlignment="1">
      <alignment horizontal="right" vertical="center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172" fontId="7" fillId="0" borderId="10" xfId="69" applyNumberFormat="1" applyFont="1" applyFill="1" applyBorder="1" applyAlignment="1" applyProtection="1">
      <alignment horizontal="right" vertical="center"/>
      <protection/>
    </xf>
    <xf numFmtId="172" fontId="3" fillId="0" borderId="10" xfId="69" applyNumberFormat="1" applyFont="1" applyFill="1" applyBorder="1" applyAlignment="1" applyProtection="1">
      <alignment horizontal="right" vertical="center"/>
      <protection/>
    </xf>
    <xf numFmtId="49" fontId="7" fillId="0" borderId="10" xfId="60" applyNumberFormat="1" applyFont="1" applyFill="1" applyBorder="1" applyAlignment="1" applyProtection="1">
      <alignment horizontal="center"/>
      <protection/>
    </xf>
    <xf numFmtId="173" fontId="3" fillId="0" borderId="10" xfId="60" applyNumberFormat="1" applyFont="1" applyBorder="1" applyAlignment="1">
      <alignment horizontal="right" vertical="center"/>
      <protection/>
    </xf>
    <xf numFmtId="187" fontId="3" fillId="0" borderId="10" xfId="60" applyNumberFormat="1" applyFont="1" applyBorder="1" applyAlignment="1">
      <alignment horizontal="right" vertical="center"/>
      <protection/>
    </xf>
    <xf numFmtId="184" fontId="7" fillId="0" borderId="10" xfId="57" applyNumberFormat="1" applyFont="1" applyBorder="1" applyAlignment="1">
      <alignment horizontal="right" vertical="center"/>
      <protection/>
    </xf>
    <xf numFmtId="173" fontId="3" fillId="0" borderId="0" xfId="60" applyNumberFormat="1" applyFont="1" applyAlignment="1">
      <alignment horizontal="right"/>
      <protection/>
    </xf>
    <xf numFmtId="173" fontId="4" fillId="0" borderId="0" xfId="59" applyNumberFormat="1" applyFont="1">
      <alignment/>
      <protection/>
    </xf>
    <xf numFmtId="188" fontId="4" fillId="0" borderId="0" xfId="59" applyNumberFormat="1" applyFont="1">
      <alignment/>
      <protection/>
    </xf>
    <xf numFmtId="181" fontId="3" fillId="0" borderId="10" xfId="69" applyFont="1" applyFill="1" applyBorder="1" applyAlignment="1" applyProtection="1">
      <alignment horizontal="center"/>
      <protection/>
    </xf>
    <xf numFmtId="181" fontId="3" fillId="0" borderId="10" xfId="69" applyFont="1" applyFill="1" applyBorder="1" applyAlignment="1" applyProtection="1">
      <alignment/>
      <protection/>
    </xf>
    <xf numFmtId="181" fontId="3" fillId="0" borderId="10" xfId="69" applyFont="1" applyFill="1" applyBorder="1" applyAlignment="1" applyProtection="1">
      <alignment horizontal="right" vertical="center"/>
      <protection/>
    </xf>
    <xf numFmtId="181" fontId="3" fillId="0" borderId="0" xfId="69" applyFont="1" applyFill="1" applyBorder="1" applyAlignment="1" applyProtection="1">
      <alignment/>
      <protection/>
    </xf>
    <xf numFmtId="172" fontId="3" fillId="0" borderId="0" xfId="33" applyNumberFormat="1" applyFont="1">
      <alignment/>
      <protection/>
    </xf>
    <xf numFmtId="172" fontId="7" fillId="0" borderId="10" xfId="33" applyNumberFormat="1" applyFont="1" applyBorder="1" applyAlignment="1">
      <alignment horizontal="right" vertical="center"/>
      <protection/>
    </xf>
    <xf numFmtId="181" fontId="7" fillId="0" borderId="18" xfId="62" applyNumberFormat="1" applyFont="1" applyBorder="1" applyAlignment="1">
      <alignment horizontal="right" vertical="center"/>
      <protection/>
    </xf>
    <xf numFmtId="172" fontId="7" fillId="0" borderId="18" xfId="62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/>
      <protection/>
    </xf>
    <xf numFmtId="185" fontId="3" fillId="0" borderId="0" xfId="60" applyNumberFormat="1" applyFont="1" applyAlignment="1">
      <alignment horizontal="center"/>
      <protection/>
    </xf>
    <xf numFmtId="189" fontId="4" fillId="0" borderId="0" xfId="59" applyNumberFormat="1" applyFont="1">
      <alignment/>
      <protection/>
    </xf>
    <xf numFmtId="184" fontId="3" fillId="0" borderId="10" xfId="62" applyNumberFormat="1" applyFont="1" applyBorder="1" applyAlignment="1">
      <alignment horizontal="right" vertical="center"/>
      <protection/>
    </xf>
    <xf numFmtId="184" fontId="3" fillId="0" borderId="10" xfId="62" applyNumberFormat="1" applyFont="1" applyFill="1" applyBorder="1" applyAlignment="1">
      <alignment horizontal="right" vertical="center"/>
      <protection/>
    </xf>
    <xf numFmtId="190" fontId="7" fillId="0" borderId="10" xfId="62" applyNumberFormat="1" applyFont="1" applyBorder="1" applyAlignment="1">
      <alignment horizontal="right" vertical="center"/>
      <protection/>
    </xf>
    <xf numFmtId="184" fontId="7" fillId="0" borderId="10" xfId="62" applyNumberFormat="1" applyFont="1" applyFill="1" applyBorder="1" applyAlignment="1">
      <alignment horizontal="right" vertical="center"/>
      <protection/>
    </xf>
    <xf numFmtId="174" fontId="7" fillId="0" borderId="10" xfId="62" applyNumberFormat="1" applyFont="1" applyBorder="1" applyAlignment="1">
      <alignment horizontal="right" vertical="center"/>
      <protection/>
    </xf>
    <xf numFmtId="184" fontId="7" fillId="0" borderId="10" xfId="43" applyNumberFormat="1" applyFont="1" applyFill="1" applyBorder="1" applyAlignment="1" applyProtection="1">
      <alignment horizontal="right" vertical="center"/>
      <protection/>
    </xf>
    <xf numFmtId="184" fontId="3" fillId="33" borderId="10" xfId="53" applyNumberFormat="1" applyFont="1" applyFill="1" applyBorder="1" applyAlignment="1">
      <alignment horizontal="right" vertical="center" shrinkToFit="1"/>
      <protection/>
    </xf>
    <xf numFmtId="191" fontId="3" fillId="33" borderId="10" xfId="33" applyNumberFormat="1" applyFont="1" applyFill="1" applyBorder="1" applyAlignment="1">
      <alignment horizontal="right" vertical="center"/>
      <protection/>
    </xf>
    <xf numFmtId="191" fontId="3" fillId="0" borderId="10" xfId="62" applyNumberFormat="1" applyFont="1" applyFill="1" applyBorder="1" applyAlignment="1">
      <alignment horizontal="right" vertical="center"/>
      <protection/>
    </xf>
    <xf numFmtId="184" fontId="3" fillId="33" borderId="10" xfId="54" applyNumberFormat="1" applyFont="1" applyFill="1" applyBorder="1" applyAlignment="1">
      <alignment horizontal="right" vertical="center" shrinkToFit="1"/>
      <protection/>
    </xf>
    <xf numFmtId="184" fontId="3" fillId="33" borderId="10" xfId="55" applyNumberFormat="1" applyFont="1" applyFill="1" applyBorder="1" applyAlignment="1">
      <alignment horizontal="right" vertical="center" shrinkToFit="1"/>
      <protection/>
    </xf>
    <xf numFmtId="184" fontId="7" fillId="0" borderId="10" xfId="33" applyNumberFormat="1" applyFont="1" applyBorder="1" applyAlignment="1">
      <alignment horizontal="right" vertical="center"/>
      <protection/>
    </xf>
    <xf numFmtId="177" fontId="7" fillId="0" borderId="10" xfId="69" applyNumberFormat="1" applyFont="1" applyFill="1" applyBorder="1" applyAlignment="1" applyProtection="1">
      <alignment horizontal="right" vertical="center"/>
      <protection/>
    </xf>
    <xf numFmtId="177" fontId="7" fillId="33" borderId="10" xfId="69" applyNumberFormat="1" applyFont="1" applyFill="1" applyBorder="1" applyAlignment="1" applyProtection="1">
      <alignment horizontal="right" vertical="center"/>
      <protection/>
    </xf>
    <xf numFmtId="188" fontId="7" fillId="0" borderId="0" xfId="60" applyNumberFormat="1" applyFont="1">
      <alignment/>
      <protection/>
    </xf>
    <xf numFmtId="184" fontId="7" fillId="0" borderId="10" xfId="60" applyNumberFormat="1" applyFont="1" applyBorder="1" applyAlignment="1">
      <alignment horizontal="right" vertical="center"/>
      <protection/>
    </xf>
    <xf numFmtId="184" fontId="7" fillId="0" borderId="18" xfId="62" applyNumberFormat="1" applyFont="1" applyBorder="1" applyAlignment="1">
      <alignment horizontal="right" vertical="center"/>
      <protection/>
    </xf>
    <xf numFmtId="184" fontId="3" fillId="0" borderId="10" xfId="60" applyNumberFormat="1" applyFont="1" applyBorder="1" applyAlignment="1">
      <alignment horizontal="right" vertical="center"/>
      <protection/>
    </xf>
    <xf numFmtId="184" fontId="3" fillId="0" borderId="10" xfId="57" applyNumberFormat="1" applyFont="1" applyBorder="1" applyAlignment="1">
      <alignment horizontal="right" vertical="center"/>
      <protection/>
    </xf>
    <xf numFmtId="184" fontId="3" fillId="33" borderId="10" xfId="56" applyNumberFormat="1" applyFont="1" applyFill="1" applyBorder="1" applyAlignment="1">
      <alignment horizontal="right" vertical="top" shrinkToFit="1"/>
      <protection/>
    </xf>
    <xf numFmtId="172" fontId="3" fillId="33" borderId="10" xfId="62" applyNumberFormat="1" applyFont="1" applyFill="1" applyBorder="1" applyAlignment="1">
      <alignment horizontal="right" vertical="center"/>
      <protection/>
    </xf>
    <xf numFmtId="172" fontId="3" fillId="0" borderId="10" xfId="33" applyNumberFormat="1" applyFont="1" applyFill="1" applyBorder="1" applyAlignment="1">
      <alignment horizontal="right" vertical="center"/>
      <protection/>
    </xf>
    <xf numFmtId="177" fontId="7" fillId="0" borderId="10" xfId="62" applyNumberFormat="1" applyFont="1" applyBorder="1" applyAlignment="1">
      <alignment horizontal="right" vertical="center"/>
      <protection/>
    </xf>
    <xf numFmtId="174" fontId="7" fillId="0" borderId="10" xfId="60" applyNumberFormat="1" applyFont="1" applyBorder="1" applyAlignment="1">
      <alignment horizontal="right" vertical="center"/>
      <protection/>
    </xf>
    <xf numFmtId="184" fontId="7" fillId="0" borderId="10" xfId="69" applyNumberFormat="1" applyFont="1" applyFill="1" applyBorder="1" applyAlignment="1" applyProtection="1">
      <alignment horizontal="right" vertical="center"/>
      <protection/>
    </xf>
    <xf numFmtId="184" fontId="3" fillId="33" borderId="10" xfId="60" applyNumberFormat="1" applyFont="1" applyFill="1" applyBorder="1" applyAlignment="1">
      <alignment horizontal="right" vertical="center"/>
      <protection/>
    </xf>
    <xf numFmtId="184" fontId="3" fillId="33" borderId="10" xfId="60" applyNumberFormat="1" applyFont="1" applyFill="1" applyBorder="1" applyAlignment="1">
      <alignment horizontal="right"/>
      <protection/>
    </xf>
    <xf numFmtId="184" fontId="3" fillId="0" borderId="10" xfId="60" applyNumberFormat="1" applyFont="1" applyBorder="1" applyAlignment="1">
      <alignment horizontal="right"/>
      <protection/>
    </xf>
    <xf numFmtId="184" fontId="7" fillId="33" borderId="10" xfId="60" applyNumberFormat="1" applyFont="1" applyFill="1" applyBorder="1" applyAlignment="1">
      <alignment horizontal="right" vertical="center"/>
      <protection/>
    </xf>
    <xf numFmtId="187" fontId="3" fillId="0" borderId="10" xfId="57" applyNumberFormat="1" applyFont="1" applyBorder="1" applyAlignment="1">
      <alignment horizontal="right" vertical="center"/>
      <protection/>
    </xf>
    <xf numFmtId="172" fontId="3" fillId="0" borderId="0" xfId="60" applyNumberFormat="1" applyFont="1" applyAlignment="1">
      <alignment horizontal="right"/>
      <protection/>
    </xf>
    <xf numFmtId="185" fontId="4" fillId="0" borderId="0" xfId="59" applyNumberFormat="1" applyFont="1">
      <alignment/>
      <protection/>
    </xf>
    <xf numFmtId="172" fontId="4" fillId="0" borderId="0" xfId="59" applyNumberFormat="1" applyFont="1">
      <alignment/>
      <protection/>
    </xf>
    <xf numFmtId="181" fontId="7" fillId="0" borderId="10" xfId="60" applyNumberFormat="1" applyFont="1" applyBorder="1" applyAlignment="1">
      <alignment horizontal="right" vertical="center"/>
      <protection/>
    </xf>
    <xf numFmtId="184" fontId="3" fillId="0" borderId="10" xfId="60" applyNumberFormat="1" applyFont="1" applyFill="1" applyBorder="1" applyAlignment="1">
      <alignment horizontal="right" vertical="center"/>
      <protection/>
    </xf>
    <xf numFmtId="186" fontId="7" fillId="0" borderId="10" xfId="43" applyNumberFormat="1" applyFont="1" applyFill="1" applyBorder="1" applyAlignment="1" applyProtection="1">
      <alignment horizontal="right" vertical="center"/>
      <protection/>
    </xf>
    <xf numFmtId="192" fontId="7" fillId="0" borderId="10" xfId="62" applyNumberFormat="1" applyFont="1" applyBorder="1" applyAlignment="1">
      <alignment horizontal="right" vertical="center"/>
      <protection/>
    </xf>
    <xf numFmtId="174" fontId="7" fillId="0" borderId="10" xfId="33" applyNumberFormat="1" applyFont="1" applyBorder="1" applyAlignment="1">
      <alignment horizontal="right" vertical="center"/>
      <protection/>
    </xf>
    <xf numFmtId="1" fontId="7" fillId="0" borderId="18" xfId="62" applyNumberFormat="1" applyFont="1" applyBorder="1" applyAlignment="1">
      <alignment horizontal="right" vertical="center"/>
      <protection/>
    </xf>
    <xf numFmtId="177" fontId="3" fillId="0" borderId="0" xfId="60" applyNumberFormat="1" applyFont="1" applyAlignment="1">
      <alignment horizontal="center"/>
      <protection/>
    </xf>
    <xf numFmtId="177" fontId="3" fillId="0" borderId="0" xfId="60" applyNumberFormat="1" applyFont="1" applyAlignment="1">
      <alignment horizontal="right"/>
      <protection/>
    </xf>
    <xf numFmtId="185" fontId="7" fillId="0" borderId="10" xfId="62" applyNumberFormat="1" applyFont="1" applyBorder="1" applyAlignment="1">
      <alignment horizontal="right" vertical="center"/>
      <protection/>
    </xf>
    <xf numFmtId="185" fontId="7" fillId="0" borderId="0" xfId="60" applyNumberFormat="1" applyFont="1">
      <alignment/>
      <protection/>
    </xf>
    <xf numFmtId="49" fontId="7" fillId="0" borderId="10" xfId="69" applyNumberFormat="1" applyFont="1" applyFill="1" applyBorder="1" applyAlignment="1" applyProtection="1">
      <alignment horizontal="right" vertical="center"/>
      <protection/>
    </xf>
    <xf numFmtId="185" fontId="7" fillId="0" borderId="10" xfId="69" applyNumberFormat="1" applyFont="1" applyFill="1" applyBorder="1" applyAlignment="1" applyProtection="1">
      <alignment horizontal="right" vertical="center"/>
      <protection/>
    </xf>
    <xf numFmtId="172" fontId="3" fillId="0" borderId="0" xfId="60" applyNumberFormat="1" applyFont="1">
      <alignment/>
      <protection/>
    </xf>
    <xf numFmtId="185" fontId="3" fillId="0" borderId="10" xfId="60" applyNumberFormat="1" applyFont="1" applyBorder="1" applyAlignment="1">
      <alignment horizontal="right" vertical="center"/>
      <protection/>
    </xf>
    <xf numFmtId="177" fontId="3" fillId="0" borderId="0" xfId="60" applyNumberFormat="1" applyFont="1">
      <alignment/>
      <protection/>
    </xf>
    <xf numFmtId="177" fontId="4" fillId="0" borderId="0" xfId="59" applyNumberFormat="1" applyFont="1">
      <alignment/>
      <protection/>
    </xf>
    <xf numFmtId="185" fontId="7" fillId="33" borderId="10" xfId="69" applyNumberFormat="1" applyFont="1" applyFill="1" applyBorder="1" applyAlignment="1" applyProtection="1">
      <alignment horizontal="right" vertical="center"/>
      <protection/>
    </xf>
    <xf numFmtId="190" fontId="7" fillId="0" borderId="10" xfId="69" applyNumberFormat="1" applyFont="1" applyFill="1" applyBorder="1" applyAlignment="1" applyProtection="1">
      <alignment horizontal="right" vertical="center"/>
      <protection/>
    </xf>
    <xf numFmtId="184" fontId="3" fillId="0" borderId="10" xfId="69" applyNumberFormat="1" applyFont="1" applyFill="1" applyBorder="1" applyAlignment="1" applyProtection="1">
      <alignment horizontal="right" vertical="center"/>
      <protection/>
    </xf>
    <xf numFmtId="184" fontId="3" fillId="0" borderId="10" xfId="69" applyNumberFormat="1" applyFont="1" applyFill="1" applyBorder="1" applyAlignment="1" applyProtection="1">
      <alignment horizontal="right"/>
      <protection/>
    </xf>
    <xf numFmtId="49" fontId="3" fillId="0" borderId="11" xfId="59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184" fontId="3" fillId="33" borderId="10" xfId="69" applyNumberFormat="1" applyFont="1" applyFill="1" applyBorder="1" applyAlignment="1" applyProtection="1">
      <alignment horizontal="right" vertical="top" shrinkToFit="1"/>
      <protection/>
    </xf>
    <xf numFmtId="172" fontId="3" fillId="0" borderId="10" xfId="53" applyNumberFormat="1" applyFont="1" applyFill="1" applyBorder="1" applyAlignment="1">
      <alignment horizontal="right" vertical="center"/>
      <protection/>
    </xf>
    <xf numFmtId="192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Border="1" applyAlignment="1">
      <alignment/>
      <protection/>
    </xf>
    <xf numFmtId="2" fontId="3" fillId="0" borderId="10" xfId="62" applyNumberFormat="1" applyFont="1" applyFill="1" applyBorder="1" applyAlignment="1">
      <alignment horizontal="right" vertical="center"/>
      <protection/>
    </xf>
    <xf numFmtId="174" fontId="7" fillId="0" borderId="0" xfId="60" applyNumberFormat="1" applyFont="1">
      <alignment/>
      <protection/>
    </xf>
    <xf numFmtId="177" fontId="7" fillId="0" borderId="18" xfId="62" applyNumberFormat="1" applyFont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wrapText="1"/>
      <protection/>
    </xf>
    <xf numFmtId="172" fontId="7" fillId="33" borderId="10" xfId="55" applyNumberFormat="1" applyFont="1" applyFill="1" applyBorder="1" applyAlignment="1">
      <alignment horizontal="right" vertical="center" shrinkToFit="1"/>
      <protection/>
    </xf>
    <xf numFmtId="187" fontId="7" fillId="0" borderId="10" xfId="57" applyNumberFormat="1" applyFont="1" applyBorder="1" applyAlignment="1">
      <alignment horizontal="right" vertical="center"/>
      <protection/>
    </xf>
    <xf numFmtId="189" fontId="8" fillId="0" borderId="0" xfId="59" applyNumberFormat="1" applyFont="1">
      <alignment/>
      <protection/>
    </xf>
    <xf numFmtId="172" fontId="3" fillId="33" borderId="10" xfId="33" applyNumberFormat="1" applyFont="1" applyFill="1" applyBorder="1" applyAlignment="1">
      <alignment horizontal="right" vertical="center" shrinkToFit="1"/>
      <protection/>
    </xf>
    <xf numFmtId="174" fontId="7" fillId="0" borderId="10" xfId="62" applyNumberFormat="1" applyFont="1" applyFill="1" applyBorder="1" applyAlignment="1">
      <alignment horizontal="right" vertical="center"/>
      <protection/>
    </xf>
    <xf numFmtId="174" fontId="3" fillId="0" borderId="10" xfId="33" applyNumberFormat="1" applyFont="1" applyBorder="1" applyAlignment="1">
      <alignment horizontal="right" vertical="center"/>
      <protection/>
    </xf>
    <xf numFmtId="174" fontId="26" fillId="0" borderId="10" xfId="62" applyNumberFormat="1" applyFont="1" applyBorder="1" applyAlignment="1">
      <alignment horizontal="right" vertical="center"/>
      <protection/>
    </xf>
    <xf numFmtId="189" fontId="3" fillId="0" borderId="0" xfId="60" applyNumberFormat="1" applyFont="1" applyAlignment="1">
      <alignment horizontal="center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10" xfId="62" applyFont="1" applyBorder="1" applyAlignment="1">
      <alignment vertical="top" wrapText="1"/>
      <protection/>
    </xf>
    <xf numFmtId="0" fontId="6" fillId="0" borderId="10" xfId="62" applyFont="1" applyBorder="1">
      <alignment/>
      <protection/>
    </xf>
    <xf numFmtId="0" fontId="27" fillId="0" borderId="10" xfId="62" applyFont="1" applyBorder="1">
      <alignment/>
      <protection/>
    </xf>
    <xf numFmtId="177" fontId="7" fillId="33" borderId="10" xfId="62" applyNumberFormat="1" applyFont="1" applyFill="1" applyBorder="1" applyAlignment="1">
      <alignment horizontal="right" vertical="center"/>
      <protection/>
    </xf>
    <xf numFmtId="184" fontId="7" fillId="33" borderId="10" xfId="57" applyNumberFormat="1" applyFont="1" applyFill="1" applyBorder="1" applyAlignment="1">
      <alignment horizontal="right" vertical="center"/>
      <protection/>
    </xf>
    <xf numFmtId="184" fontId="3" fillId="33" borderId="10" xfId="57" applyNumberFormat="1" applyFont="1" applyFill="1" applyBorder="1" applyAlignment="1">
      <alignment horizontal="right" vertical="center"/>
      <protection/>
    </xf>
    <xf numFmtId="187" fontId="3" fillId="33" borderId="10" xfId="57" applyNumberFormat="1" applyFont="1" applyFill="1" applyBorder="1" applyAlignment="1">
      <alignment horizontal="right" vertical="center"/>
      <protection/>
    </xf>
    <xf numFmtId="187" fontId="3" fillId="33" borderId="10" xfId="60" applyNumberFormat="1" applyFont="1" applyFill="1" applyBorder="1" applyAlignment="1">
      <alignment horizontal="right" vertical="center"/>
      <protection/>
    </xf>
    <xf numFmtId="0" fontId="3" fillId="0" borderId="0" xfId="59" applyFont="1" applyAlignment="1">
      <alignment horizontal="left"/>
      <protection/>
    </xf>
    <xf numFmtId="193" fontId="3" fillId="0" borderId="0" xfId="59" applyNumberFormat="1" applyFont="1">
      <alignment/>
      <protection/>
    </xf>
    <xf numFmtId="188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185" fontId="3" fillId="0" borderId="0" xfId="59" applyNumberFormat="1" applyFont="1">
      <alignment/>
      <protection/>
    </xf>
    <xf numFmtId="0" fontId="0" fillId="0" borderId="0" xfId="33">
      <alignment/>
      <protection/>
    </xf>
    <xf numFmtId="0" fontId="8" fillId="0" borderId="0" xfId="62" applyFont="1" applyAlignment="1">
      <alignment horizontal="center"/>
      <protection/>
    </xf>
    <xf numFmtId="0" fontId="4" fillId="0" borderId="0" xfId="60" applyFont="1">
      <alignment/>
      <protection/>
    </xf>
    <xf numFmtId="0" fontId="8" fillId="0" borderId="10" xfId="62" applyFont="1" applyBorder="1" applyAlignment="1">
      <alignment horizontal="center" vertical="center" wrapText="1"/>
      <protection/>
    </xf>
    <xf numFmtId="172" fontId="8" fillId="0" borderId="10" xfId="62" applyNumberFormat="1" applyFont="1" applyBorder="1" applyAlignment="1">
      <alignment horizontal="center" vertical="center" wrapText="1"/>
      <protection/>
    </xf>
    <xf numFmtId="172" fontId="8" fillId="0" borderId="10" xfId="62" applyNumberFormat="1" applyFont="1" applyFill="1" applyBorder="1" applyAlignment="1">
      <alignment horizontal="center" vertical="center" wrapText="1"/>
      <protection/>
    </xf>
    <xf numFmtId="172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/>
      <protection/>
    </xf>
    <xf numFmtId="0" fontId="8" fillId="0" borderId="10" xfId="62" applyFont="1" applyBorder="1">
      <alignment/>
      <protection/>
    </xf>
    <xf numFmtId="172" fontId="8" fillId="0" borderId="10" xfId="62" applyNumberFormat="1" applyFont="1" applyBorder="1" applyAlignment="1">
      <alignment horizontal="right" vertical="center"/>
      <protection/>
    </xf>
    <xf numFmtId="0" fontId="8" fillId="0" borderId="0" xfId="60" applyFont="1">
      <alignment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 applyAlignment="1">
      <alignment wrapText="1"/>
      <protection/>
    </xf>
    <xf numFmtId="172" fontId="4" fillId="0" borderId="10" xfId="62" applyNumberFormat="1" applyFont="1" applyBorder="1" applyAlignment="1">
      <alignment horizontal="right" vertical="center"/>
      <protection/>
    </xf>
    <xf numFmtId="172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62" applyFont="1" applyBorder="1" applyAlignment="1">
      <alignment wrapText="1"/>
      <protection/>
    </xf>
    <xf numFmtId="0" fontId="4" fillId="0" borderId="10" xfId="62" applyFont="1" applyBorder="1">
      <alignment/>
      <protection/>
    </xf>
    <xf numFmtId="172" fontId="4" fillId="0" borderId="10" xfId="33" applyNumberFormat="1" applyFont="1" applyBorder="1" applyAlignment="1">
      <alignment horizontal="right" vertical="center"/>
      <protection/>
    </xf>
    <xf numFmtId="0" fontId="4" fillId="0" borderId="0" xfId="60" applyFont="1" applyFill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172" fontId="4" fillId="33" borderId="10" xfId="33" applyNumberFormat="1" applyFont="1" applyFill="1" applyBorder="1" applyAlignment="1">
      <alignment horizontal="right" vertical="center"/>
      <protection/>
    </xf>
    <xf numFmtId="172" fontId="8" fillId="0" borderId="10" xfId="33" applyNumberFormat="1" applyFont="1" applyBorder="1" applyAlignment="1">
      <alignment horizontal="right" vertical="center"/>
      <protection/>
    </xf>
    <xf numFmtId="1" fontId="8" fillId="0" borderId="10" xfId="62" applyNumberFormat="1" applyFont="1" applyBorder="1" applyAlignment="1">
      <alignment horizontal="center"/>
      <protection/>
    </xf>
    <xf numFmtId="172" fontId="8" fillId="0" borderId="10" xfId="62" applyNumberFormat="1" applyFont="1" applyBorder="1" applyAlignment="1">
      <alignment wrapText="1"/>
      <protection/>
    </xf>
    <xf numFmtId="172" fontId="4" fillId="0" borderId="0" xfId="60" applyNumberFormat="1" applyFont="1" applyFill="1">
      <alignment/>
      <protection/>
    </xf>
    <xf numFmtId="0" fontId="8" fillId="0" borderId="10" xfId="62" applyFont="1" applyBorder="1" applyAlignment="1">
      <alignment horizontal="center" vertical="top"/>
      <protection/>
    </xf>
    <xf numFmtId="0" fontId="8" fillId="0" borderId="10" xfId="62" applyFont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center"/>
      <protection/>
    </xf>
    <xf numFmtId="175" fontId="4" fillId="0" borderId="0" xfId="60" applyNumberFormat="1" applyFont="1">
      <alignment/>
      <protection/>
    </xf>
    <xf numFmtId="172" fontId="4" fillId="33" borderId="10" xfId="69" applyNumberFormat="1" applyFont="1" applyFill="1" applyBorder="1" applyAlignment="1" applyProtection="1">
      <alignment horizontal="right" vertical="center"/>
      <protection/>
    </xf>
    <xf numFmtId="172" fontId="4" fillId="33" borderId="10" xfId="62" applyNumberFormat="1" applyFont="1" applyFill="1" applyBorder="1" applyAlignment="1">
      <alignment horizontal="right" vertical="center"/>
      <protection/>
    </xf>
    <xf numFmtId="172" fontId="8" fillId="33" borderId="10" xfId="43" applyNumberFormat="1" applyFont="1" applyFill="1" applyBorder="1" applyAlignment="1" applyProtection="1">
      <alignment horizontal="right" vertical="center"/>
      <protection/>
    </xf>
    <xf numFmtId="173" fontId="8" fillId="0" borderId="0" xfId="60" applyNumberFormat="1" applyFont="1">
      <alignment/>
      <protection/>
    </xf>
    <xf numFmtId="172" fontId="4" fillId="33" borderId="10" xfId="53" applyNumberFormat="1" applyFont="1" applyFill="1" applyBorder="1" applyAlignment="1">
      <alignment horizontal="right" vertical="center" shrinkToFit="1"/>
      <protection/>
    </xf>
    <xf numFmtId="172" fontId="4" fillId="33" borderId="10" xfId="54" applyNumberFormat="1" applyFont="1" applyFill="1" applyBorder="1" applyAlignment="1">
      <alignment horizontal="right" vertical="center" shrinkToFit="1"/>
      <protection/>
    </xf>
    <xf numFmtId="172" fontId="4" fillId="33" borderId="10" xfId="55" applyNumberFormat="1" applyFont="1" applyFill="1" applyBorder="1" applyAlignment="1">
      <alignment horizontal="right" vertical="center" shrinkToFit="1"/>
      <protection/>
    </xf>
    <xf numFmtId="172" fontId="8" fillId="0" borderId="10" xfId="62" applyNumberFormat="1" applyFont="1" applyFill="1" applyBorder="1" applyAlignment="1">
      <alignment horizontal="right" vertical="center"/>
      <protection/>
    </xf>
    <xf numFmtId="173" fontId="8" fillId="33" borderId="10" xfId="69" applyNumberFormat="1" applyFont="1" applyFill="1" applyBorder="1" applyAlignment="1" applyProtection="1">
      <alignment horizontal="right" vertical="center"/>
      <protection/>
    </xf>
    <xf numFmtId="2" fontId="8" fillId="0" borderId="0" xfId="60" applyNumberFormat="1" applyFont="1">
      <alignment/>
      <protection/>
    </xf>
    <xf numFmtId="0" fontId="8" fillId="0" borderId="10" xfId="62" applyFont="1" applyFill="1" applyBorder="1">
      <alignment/>
      <protection/>
    </xf>
    <xf numFmtId="172" fontId="8" fillId="33" borderId="10" xfId="62" applyNumberFormat="1" applyFont="1" applyFill="1" applyBorder="1" applyAlignment="1">
      <alignment horizontal="right" vertical="center"/>
      <protection/>
    </xf>
    <xf numFmtId="172" fontId="8" fillId="0" borderId="10" xfId="60" applyNumberFormat="1" applyFont="1" applyBorder="1" applyAlignment="1">
      <alignment horizontal="right" vertical="center"/>
      <protection/>
    </xf>
    <xf numFmtId="0" fontId="8" fillId="0" borderId="18" xfId="62" applyFont="1" applyBorder="1" applyAlignment="1">
      <alignment horizontal="center"/>
      <protection/>
    </xf>
    <xf numFmtId="0" fontId="8" fillId="0" borderId="18" xfId="62" applyFont="1" applyFill="1" applyBorder="1">
      <alignment/>
      <protection/>
    </xf>
    <xf numFmtId="172" fontId="8" fillId="0" borderId="18" xfId="62" applyNumberFormat="1" applyFont="1" applyBorder="1" applyAlignment="1">
      <alignment horizontal="right" vertical="center"/>
      <protection/>
    </xf>
    <xf numFmtId="172" fontId="4" fillId="0" borderId="0" xfId="60" applyNumberFormat="1" applyFont="1" applyAlignment="1">
      <alignment horizontal="right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1" fontId="8" fillId="0" borderId="10" xfId="60" applyNumberFormat="1" applyFont="1" applyBorder="1" applyAlignment="1">
      <alignment horizontal="center" vertical="center" wrapText="1"/>
      <protection/>
    </xf>
    <xf numFmtId="172" fontId="8" fillId="0" borderId="10" xfId="60" applyNumberFormat="1" applyFont="1" applyBorder="1" applyAlignment="1">
      <alignment horizontal="center" vertical="center" wrapText="1"/>
      <protection/>
    </xf>
    <xf numFmtId="49" fontId="8" fillId="0" borderId="10" xfId="60" applyNumberFormat="1" applyFont="1" applyBorder="1" applyAlignment="1">
      <alignment horizontal="center"/>
      <protection/>
    </xf>
    <xf numFmtId="0" fontId="8" fillId="33" borderId="10" xfId="60" applyFont="1" applyFill="1" applyBorder="1" applyAlignment="1">
      <alignment wrapText="1"/>
      <protection/>
    </xf>
    <xf numFmtId="172" fontId="8" fillId="0" borderId="10" xfId="57" applyNumberFormat="1" applyFont="1" applyBorder="1" applyAlignment="1">
      <alignment horizontal="right"/>
      <protection/>
    </xf>
    <xf numFmtId="49" fontId="4" fillId="0" borderId="10" xfId="60" applyNumberFormat="1" applyFont="1" applyBorder="1" applyAlignment="1">
      <alignment horizontal="center"/>
      <protection/>
    </xf>
    <xf numFmtId="0" fontId="4" fillId="33" borderId="10" xfId="60" applyFont="1" applyFill="1" applyBorder="1" applyAlignment="1">
      <alignment wrapText="1"/>
      <protection/>
    </xf>
    <xf numFmtId="172" fontId="4" fillId="0" borderId="10" xfId="60" applyNumberFormat="1" applyFont="1" applyBorder="1" applyAlignment="1">
      <alignment horizontal="right" vertical="center"/>
      <protection/>
    </xf>
    <xf numFmtId="0" fontId="4" fillId="0" borderId="10" xfId="60" applyFont="1" applyBorder="1" applyAlignment="1">
      <alignment wrapText="1"/>
      <protection/>
    </xf>
    <xf numFmtId="172" fontId="4" fillId="0" borderId="10" xfId="57" applyNumberFormat="1" applyFont="1" applyBorder="1" applyAlignment="1">
      <alignment horizontal="right"/>
      <protection/>
    </xf>
    <xf numFmtId="172" fontId="4" fillId="0" borderId="10" xfId="60" applyNumberFormat="1" applyFont="1" applyBorder="1" applyAlignment="1">
      <alignment horizontal="right"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33" borderId="10" xfId="59" applyFont="1" applyFill="1" applyBorder="1" applyAlignment="1">
      <alignment wrapText="1"/>
      <protection/>
    </xf>
    <xf numFmtId="49" fontId="4" fillId="0" borderId="10" xfId="59" applyNumberFormat="1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173" fontId="8" fillId="0" borderId="10" xfId="60" applyNumberFormat="1" applyFont="1" applyBorder="1" applyAlignment="1">
      <alignment horizontal="right" vertical="center"/>
      <protection/>
    </xf>
    <xf numFmtId="49" fontId="4" fillId="0" borderId="11" xfId="60" applyNumberFormat="1" applyFont="1" applyBorder="1" applyAlignment="1">
      <alignment horizontal="center"/>
      <protection/>
    </xf>
    <xf numFmtId="49" fontId="4" fillId="0" borderId="11" xfId="58" applyNumberFormat="1" applyFont="1" applyBorder="1" applyAlignment="1">
      <alignment horizontal="center"/>
      <protection/>
    </xf>
    <xf numFmtId="0" fontId="28" fillId="0" borderId="10" xfId="58" applyFont="1" applyBorder="1" applyAlignment="1">
      <alignment wrapText="1"/>
      <protection/>
    </xf>
    <xf numFmtId="172" fontId="4" fillId="0" borderId="10" xfId="60" applyNumberFormat="1" applyFont="1" applyBorder="1" applyAlignment="1">
      <alignment horizontal="right" vertical="center" wrapText="1"/>
      <protection/>
    </xf>
    <xf numFmtId="172" fontId="8" fillId="0" borderId="10" xfId="57" applyNumberFormat="1" applyFont="1" applyBorder="1" applyAlignment="1">
      <alignment horizontal="right" vertical="center"/>
      <protection/>
    </xf>
    <xf numFmtId="172" fontId="4" fillId="0" borderId="10" xfId="57" applyNumberFormat="1" applyFont="1" applyBorder="1" applyAlignment="1">
      <alignment horizontal="right" vertical="center"/>
      <protection/>
    </xf>
    <xf numFmtId="183" fontId="8" fillId="0" borderId="0" xfId="60" applyNumberFormat="1" applyFont="1">
      <alignment/>
      <protection/>
    </xf>
    <xf numFmtId="0" fontId="4" fillId="0" borderId="10" xfId="60" applyFont="1" applyBorder="1" applyAlignment="1">
      <alignment horizontal="left" wrapText="1"/>
      <protection/>
    </xf>
    <xf numFmtId="0" fontId="8" fillId="33" borderId="10" xfId="60" applyFont="1" applyFill="1" applyBorder="1" applyAlignment="1">
      <alignment horizontal="left" wrapText="1"/>
      <protection/>
    </xf>
    <xf numFmtId="0" fontId="8" fillId="0" borderId="10" xfId="60" applyFont="1" applyBorder="1" applyAlignment="1">
      <alignment horizontal="center"/>
      <protection/>
    </xf>
    <xf numFmtId="172" fontId="8" fillId="33" borderId="10" xfId="60" applyNumberFormat="1" applyFont="1" applyFill="1" applyBorder="1" applyAlignment="1">
      <alignment horizontal="right" vertic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Fill="1" applyBorder="1" applyAlignment="1">
      <alignment wrapText="1"/>
      <protection/>
    </xf>
    <xf numFmtId="172" fontId="4" fillId="33" borderId="10" xfId="56" applyNumberFormat="1" applyFont="1" applyFill="1" applyBorder="1" applyAlignment="1">
      <alignment horizontal="right" vertical="top" shrinkToFit="1"/>
      <protection/>
    </xf>
    <xf numFmtId="172" fontId="8" fillId="0" borderId="10" xfId="69" applyNumberFormat="1" applyFont="1" applyFill="1" applyBorder="1" applyAlignment="1" applyProtection="1">
      <alignment horizontal="right" vertical="center"/>
      <protection/>
    </xf>
    <xf numFmtId="172" fontId="8" fillId="0" borderId="10" xfId="60" applyNumberFormat="1" applyFont="1" applyBorder="1" applyAlignment="1">
      <alignment horizontal="right"/>
      <protection/>
    </xf>
    <xf numFmtId="0" fontId="8" fillId="0" borderId="10" xfId="60" applyFont="1" applyFill="1" applyBorder="1" applyAlignment="1">
      <alignment wrapText="1"/>
      <protection/>
    </xf>
    <xf numFmtId="0" fontId="8" fillId="0" borderId="10" xfId="60" applyFont="1" applyFill="1" applyBorder="1" applyAlignment="1">
      <alignment horizontal="center" wrapText="1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wrapText="1"/>
      <protection/>
    </xf>
    <xf numFmtId="172" fontId="8" fillId="0" borderId="0" xfId="60" applyNumberFormat="1" applyFont="1" applyAlignment="1">
      <alignment horizontal="right"/>
      <protection/>
    </xf>
    <xf numFmtId="173" fontId="8" fillId="0" borderId="0" xfId="60" applyNumberFormat="1" applyFont="1" applyAlignment="1">
      <alignment horizontal="right" vertical="center"/>
      <protection/>
    </xf>
    <xf numFmtId="172" fontId="4" fillId="0" borderId="0" xfId="60" applyNumberFormat="1" applyFont="1" applyAlignment="1">
      <alignment horizontal="center"/>
      <protection/>
    </xf>
    <xf numFmtId="2" fontId="8" fillId="0" borderId="10" xfId="62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4" fontId="20" fillId="33" borderId="10" xfId="61" applyNumberFormat="1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49" fontId="15" fillId="33" borderId="16" xfId="33" applyNumberFormat="1" applyFont="1" applyFill="1" applyBorder="1" applyAlignment="1">
      <alignment horizontal="center" vertical="center" wrapText="1"/>
      <protection/>
    </xf>
    <xf numFmtId="49" fontId="15" fillId="33" borderId="10" xfId="33" applyNumberFormat="1" applyFont="1" applyFill="1" applyBorder="1" applyAlignment="1">
      <alignment horizontal="center" vertical="center" wrapText="1"/>
      <protection/>
    </xf>
    <xf numFmtId="0" fontId="15" fillId="33" borderId="17" xfId="33" applyFont="1" applyFill="1" applyBorder="1" applyAlignment="1">
      <alignment horizontal="center" vertical="center" wrapText="1"/>
      <protection/>
    </xf>
    <xf numFmtId="0" fontId="15" fillId="33" borderId="19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left" vertical="center" wrapText="1"/>
      <protection/>
    </xf>
    <xf numFmtId="0" fontId="15" fillId="33" borderId="18" xfId="33" applyFont="1" applyFill="1" applyBorder="1" applyAlignment="1">
      <alignment horizontal="center" vertical="center" wrapText="1"/>
      <protection/>
    </xf>
    <xf numFmtId="0" fontId="12" fillId="33" borderId="0" xfId="33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>
      <alignment horizontal="center" vertical="center" wrapText="1"/>
      <protection/>
    </xf>
    <xf numFmtId="0" fontId="10" fillId="33" borderId="0" xfId="33" applyFont="1" applyFill="1" applyBorder="1" applyAlignment="1">
      <alignment horizontal="center"/>
      <protection/>
    </xf>
    <xf numFmtId="0" fontId="10" fillId="33" borderId="0" xfId="33" applyFont="1" applyFill="1" applyBorder="1" applyAlignment="1">
      <alignment horizontal="left"/>
      <protection/>
    </xf>
    <xf numFmtId="0" fontId="11" fillId="33" borderId="0" xfId="33" applyFont="1" applyFill="1" applyBorder="1" applyAlignment="1">
      <alignment horizontal="left" vertical="center" wrapText="1"/>
      <protection/>
    </xf>
    <xf numFmtId="0" fontId="10" fillId="33" borderId="0" xfId="33" applyFont="1" applyFill="1" applyBorder="1" applyAlignment="1">
      <alignment horizontal="left" vertical="center" wrapText="1"/>
      <protection/>
    </xf>
    <xf numFmtId="0" fontId="12" fillId="33" borderId="0" xfId="33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 6" xfId="55"/>
    <cellStyle name="Обычный 7" xfId="56"/>
    <cellStyle name="Обычный_Алек 2" xfId="57"/>
    <cellStyle name="Обычный_Анализ Кадикас. на 1.03.08" xfId="58"/>
    <cellStyle name="Обычный_Анализ Моргаш. на 1.03.08" xfId="59"/>
    <cellStyle name="Обычный_Анализ район на 1.03.08" xfId="60"/>
    <cellStyle name="Обычный_Лист1 2" xfId="61"/>
    <cellStyle name="Обычный_Лист3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80" zoomScaleSheetLayoutView="80" zoomScalePageLayoutView="0" workbookViewId="0" topLeftCell="A1">
      <selection activeCell="C18" sqref="C18"/>
    </sheetView>
  </sheetViews>
  <sheetFormatPr defaultColWidth="9.140625" defaultRowHeight="12.75"/>
  <cols>
    <col min="1" max="1" width="41.28125" style="1" customWidth="1"/>
    <col min="2" max="2" width="10.00390625" style="2" customWidth="1"/>
    <col min="3" max="3" width="21.140625" style="3" customWidth="1"/>
    <col min="4" max="4" width="19.421875" style="3" customWidth="1"/>
    <col min="5" max="5" width="13.57421875" style="3" customWidth="1"/>
    <col min="6" max="6" width="20.8515625" style="3" customWidth="1"/>
    <col min="7" max="7" width="21.421875" style="3" customWidth="1"/>
    <col min="8" max="8" width="13.57421875" style="3" customWidth="1"/>
    <col min="9" max="9" width="21.140625" style="3" customWidth="1"/>
    <col min="10" max="10" width="18.00390625" style="3" customWidth="1"/>
    <col min="11" max="11" width="13.00390625" style="3" customWidth="1"/>
    <col min="12" max="12" width="23.57421875" style="3" customWidth="1"/>
    <col min="13" max="13" width="12.00390625" style="3" customWidth="1"/>
    <col min="14" max="16384" width="9.140625" style="3" customWidth="1"/>
  </cols>
  <sheetData>
    <row r="1" spans="1:15" ht="26.25" customHeight="1">
      <c r="A1" s="448" t="s">
        <v>444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"/>
      <c r="M1" s="4"/>
      <c r="N1" s="4"/>
      <c r="O1" s="4"/>
    </row>
    <row r="2" spans="1:11" ht="33.75" customHeight="1">
      <c r="A2" s="449" t="s">
        <v>0</v>
      </c>
      <c r="B2" s="450" t="s">
        <v>1</v>
      </c>
      <c r="C2" s="451" t="s">
        <v>2</v>
      </c>
      <c r="D2" s="451"/>
      <c r="E2" s="451"/>
      <c r="F2" s="451" t="s">
        <v>3</v>
      </c>
      <c r="G2" s="451"/>
      <c r="H2" s="451"/>
      <c r="I2" s="449" t="s">
        <v>4</v>
      </c>
      <c r="J2" s="449"/>
      <c r="K2" s="449"/>
    </row>
    <row r="3" spans="1:11" ht="53.25" customHeight="1">
      <c r="A3" s="449"/>
      <c r="B3" s="450"/>
      <c r="C3" s="7" t="s">
        <v>5</v>
      </c>
      <c r="D3" s="7" t="s">
        <v>442</v>
      </c>
      <c r="E3" s="8" t="s">
        <v>6</v>
      </c>
      <c r="F3" s="7" t="s">
        <v>5</v>
      </c>
      <c r="G3" s="7" t="s">
        <v>442</v>
      </c>
      <c r="H3" s="8" t="s">
        <v>6</v>
      </c>
      <c r="I3" s="7" t="s">
        <v>5</v>
      </c>
      <c r="J3" s="7" t="s">
        <v>442</v>
      </c>
      <c r="K3" s="7" t="s">
        <v>6</v>
      </c>
    </row>
    <row r="4" spans="1:11" s="11" customFormat="1" ht="30.75" customHeight="1">
      <c r="A4" s="9" t="s">
        <v>7</v>
      </c>
      <c r="B4" s="5"/>
      <c r="C4" s="10">
        <f>SUM(C5:C13)</f>
        <v>198757.07096</v>
      </c>
      <c r="D4" s="10">
        <f>SUM(D5:D13)</f>
        <v>181420.91197000002</v>
      </c>
      <c r="E4" s="10">
        <f aca="true" t="shared" si="0" ref="E4:E12">D4/C4*100</f>
        <v>91.27771459588025</v>
      </c>
      <c r="F4" s="10">
        <f>SUM(F5:F13)</f>
        <v>159058.13096</v>
      </c>
      <c r="G4" s="10">
        <f>SUM(G5:G13)</f>
        <v>147449.34936000002</v>
      </c>
      <c r="H4" s="10">
        <f>G4/F4*100</f>
        <v>92.70154783667151</v>
      </c>
      <c r="I4" s="10">
        <f>I5+I7+I6+I8+I10+I11+I12+I13</f>
        <v>39698.94</v>
      </c>
      <c r="J4" s="10">
        <f>J5+J6+J7+J8+J10+J11+J12+J13</f>
        <v>33971.56261</v>
      </c>
      <c r="K4" s="10">
        <f>J4/I4*100</f>
        <v>85.57297149495679</v>
      </c>
    </row>
    <row r="5" spans="1:11" ht="27" customHeight="1">
      <c r="A5" s="12" t="s">
        <v>8</v>
      </c>
      <c r="B5" s="6">
        <v>10102</v>
      </c>
      <c r="C5" s="13">
        <f aca="true" t="shared" si="1" ref="C5:C13">F5+I5</f>
        <v>137751.44</v>
      </c>
      <c r="D5" s="13">
        <f aca="true" t="shared" si="2" ref="D5:D13">G5+J5</f>
        <v>122594.59441</v>
      </c>
      <c r="E5" s="10">
        <f t="shared" si="0"/>
        <v>88.99696032941652</v>
      </c>
      <c r="F5" s="13">
        <f>район!C5</f>
        <v>131006</v>
      </c>
      <c r="G5" s="13">
        <f>район!D5</f>
        <v>117003.55168</v>
      </c>
      <c r="H5" s="14">
        <f>G5/F5*100</f>
        <v>89.31159769781537</v>
      </c>
      <c r="I5" s="13">
        <f>Справка!I31</f>
        <v>6745.44</v>
      </c>
      <c r="J5" s="13">
        <f>Справка!J31</f>
        <v>5591.042730000001</v>
      </c>
      <c r="K5" s="14">
        <f>J5/I5*100</f>
        <v>82.88625693802038</v>
      </c>
    </row>
    <row r="6" spans="1:11" ht="41.25" customHeight="1">
      <c r="A6" s="12" t="s">
        <v>9</v>
      </c>
      <c r="B6" s="6">
        <v>10300</v>
      </c>
      <c r="C6" s="13">
        <f t="shared" si="1"/>
        <v>14475.8</v>
      </c>
      <c r="D6" s="13">
        <f t="shared" si="2"/>
        <v>14524.391499999998</v>
      </c>
      <c r="E6" s="10">
        <f t="shared" si="0"/>
        <v>100.3356740214703</v>
      </c>
      <c r="F6" s="13">
        <f>район!C7</f>
        <v>5342.1</v>
      </c>
      <c r="G6" s="13">
        <f>район!D7</f>
        <v>5290.3413199999995</v>
      </c>
      <c r="H6" s="14">
        <f>G6/F6*100</f>
        <v>99.03111735085452</v>
      </c>
      <c r="I6" s="13">
        <f>Справка!L31+Справка!R31+Справка!O31</f>
        <v>9133.699999999999</v>
      </c>
      <c r="J6" s="13">
        <f>Справка!M31+Справка!S31+Справка!P31+Справка!V31</f>
        <v>9234.050179999998</v>
      </c>
      <c r="K6" s="14">
        <f>J6/I6*100</f>
        <v>101.09868049092918</v>
      </c>
    </row>
    <row r="7" spans="1:11" ht="19.5" customHeight="1">
      <c r="A7" s="12" t="s">
        <v>10</v>
      </c>
      <c r="B7" s="6">
        <v>10500</v>
      </c>
      <c r="C7" s="13">
        <f t="shared" si="1"/>
        <v>16022.699999999999</v>
      </c>
      <c r="D7" s="13">
        <f t="shared" si="2"/>
        <v>17863.14027</v>
      </c>
      <c r="E7" s="10">
        <f t="shared" si="0"/>
        <v>111.48645527907281</v>
      </c>
      <c r="F7" s="13">
        <f>район!C12</f>
        <v>15327.9</v>
      </c>
      <c r="G7" s="13">
        <f>район!D12</f>
        <v>17356.14242</v>
      </c>
      <c r="H7" s="14">
        <f>G7/F7*100</f>
        <v>113.23235681339257</v>
      </c>
      <c r="I7" s="13">
        <f>Справка!X31</f>
        <v>694.8</v>
      </c>
      <c r="J7" s="13">
        <f>Справка!Y31</f>
        <v>506.99785</v>
      </c>
      <c r="K7" s="14">
        <f>J7/I7*100</f>
        <v>72.9703295912493</v>
      </c>
    </row>
    <row r="8" spans="1:11" ht="19.5" customHeight="1">
      <c r="A8" s="12" t="s">
        <v>11</v>
      </c>
      <c r="B8" s="6">
        <v>10601</v>
      </c>
      <c r="C8" s="13">
        <f t="shared" si="1"/>
        <v>6050</v>
      </c>
      <c r="D8" s="13">
        <f t="shared" si="2"/>
        <v>4356.295789999999</v>
      </c>
      <c r="E8" s="10">
        <f t="shared" si="0"/>
        <v>72.00488909090907</v>
      </c>
      <c r="F8" s="13"/>
      <c r="G8" s="13"/>
      <c r="H8" s="14"/>
      <c r="I8" s="13">
        <f>Справка!AA31</f>
        <v>6050</v>
      </c>
      <c r="J8" s="13">
        <f>Справка!AB31</f>
        <v>4356.295789999999</v>
      </c>
      <c r="K8" s="14">
        <f>J8/I8*100</f>
        <v>72.00488909090907</v>
      </c>
    </row>
    <row r="9" spans="1:11" ht="19.5" customHeight="1">
      <c r="A9" s="12" t="s">
        <v>12</v>
      </c>
      <c r="B9" s="6">
        <v>10604</v>
      </c>
      <c r="C9" s="13">
        <f t="shared" si="1"/>
        <v>2482.13096</v>
      </c>
      <c r="D9" s="13">
        <f t="shared" si="2"/>
        <v>2299.47884</v>
      </c>
      <c r="E9" s="10">
        <f t="shared" si="0"/>
        <v>92.64131816799869</v>
      </c>
      <c r="F9" s="13">
        <f>район!C17</f>
        <v>2482.13096</v>
      </c>
      <c r="G9" s="13">
        <f>район!D20</f>
        <v>2299.47884</v>
      </c>
      <c r="H9" s="14">
        <f>G9/F9*100</f>
        <v>92.64131816799869</v>
      </c>
      <c r="I9" s="13"/>
      <c r="J9" s="13"/>
      <c r="K9" s="14"/>
    </row>
    <row r="10" spans="1:11" ht="19.5" customHeight="1">
      <c r="A10" s="12" t="s">
        <v>13</v>
      </c>
      <c r="B10" s="6">
        <v>10606</v>
      </c>
      <c r="C10" s="13">
        <f t="shared" si="1"/>
        <v>16957</v>
      </c>
      <c r="D10" s="13">
        <f t="shared" si="2"/>
        <v>14230.56106</v>
      </c>
      <c r="E10" s="10">
        <f t="shared" si="0"/>
        <v>83.9214546205107</v>
      </c>
      <c r="F10" s="13"/>
      <c r="G10" s="13"/>
      <c r="H10" s="14">
        <v>0</v>
      </c>
      <c r="I10" s="13">
        <f>Справка!AD31</f>
        <v>16957</v>
      </c>
      <c r="J10" s="13">
        <f>Справка!AE31</f>
        <v>14230.56106</v>
      </c>
      <c r="K10" s="14">
        <f>J10/I10*100</f>
        <v>83.9214546205107</v>
      </c>
    </row>
    <row r="11" spans="1:11" ht="33.75" customHeight="1">
      <c r="A11" s="12" t="s">
        <v>14</v>
      </c>
      <c r="B11" s="6">
        <v>10701</v>
      </c>
      <c r="C11" s="13">
        <f t="shared" si="1"/>
        <v>1900</v>
      </c>
      <c r="D11" s="13">
        <f t="shared" si="2"/>
        <v>3210.3273</v>
      </c>
      <c r="E11" s="10">
        <f t="shared" si="0"/>
        <v>168.96459473684212</v>
      </c>
      <c r="F11" s="13">
        <f>район!C22</f>
        <v>1900</v>
      </c>
      <c r="G11" s="13">
        <f>район!D22</f>
        <v>3210.3273</v>
      </c>
      <c r="H11" s="14">
        <f>G11/F11*100</f>
        <v>168.96459473684212</v>
      </c>
      <c r="I11" s="13"/>
      <c r="J11" s="13"/>
      <c r="K11" s="14">
        <v>0</v>
      </c>
    </row>
    <row r="12" spans="1:11" ht="19.5" customHeight="1">
      <c r="A12" s="12" t="s">
        <v>15</v>
      </c>
      <c r="B12" s="6">
        <v>10800</v>
      </c>
      <c r="C12" s="13">
        <f t="shared" si="1"/>
        <v>3118</v>
      </c>
      <c r="D12" s="13">
        <f t="shared" si="2"/>
        <v>2342.0556199999996</v>
      </c>
      <c r="E12" s="10">
        <f t="shared" si="0"/>
        <v>75.114035279025</v>
      </c>
      <c r="F12" s="13">
        <f>район!C24</f>
        <v>3000</v>
      </c>
      <c r="G12" s="13">
        <f>район!D24</f>
        <v>2289.44062</v>
      </c>
      <c r="H12" s="14">
        <f>G12/F12*100</f>
        <v>76.31468733333332</v>
      </c>
      <c r="I12" s="13">
        <f>Справка!AG31</f>
        <v>118</v>
      </c>
      <c r="J12" s="13">
        <f>Справка!AH31</f>
        <v>52.615</v>
      </c>
      <c r="K12" s="14">
        <f>J12/I12*100</f>
        <v>44.58898305084746</v>
      </c>
    </row>
    <row r="13" spans="1:11" ht="19.5" customHeight="1">
      <c r="A13" s="12" t="s">
        <v>16</v>
      </c>
      <c r="B13" s="6">
        <v>10900</v>
      </c>
      <c r="C13" s="13">
        <f t="shared" si="1"/>
        <v>0</v>
      </c>
      <c r="D13" s="13">
        <f t="shared" si="2"/>
        <v>0.06718</v>
      </c>
      <c r="E13" s="10"/>
      <c r="F13" s="13">
        <f>район!C28</f>
        <v>0</v>
      </c>
      <c r="G13" s="13">
        <f>район!D28</f>
        <v>0.06718</v>
      </c>
      <c r="H13" s="14"/>
      <c r="I13" s="13">
        <f>Справка!AJ31</f>
        <v>0</v>
      </c>
      <c r="J13" s="13">
        <f>Справка!AK31</f>
        <v>0</v>
      </c>
      <c r="K13" s="14"/>
    </row>
    <row r="14" spans="1:11" s="11" customFormat="1" ht="20.25" customHeight="1">
      <c r="A14" s="9" t="s">
        <v>17</v>
      </c>
      <c r="B14" s="5"/>
      <c r="C14" s="10">
        <f>SUM(C15:C21)</f>
        <v>22905.789640000003</v>
      </c>
      <c r="D14" s="10">
        <f>SUM(D15:D21)</f>
        <v>21255.760389999996</v>
      </c>
      <c r="E14" s="10">
        <f>D14/C14*100</f>
        <v>92.79645331624548</v>
      </c>
      <c r="F14" s="10">
        <f>F15+F16+F17+F18+F20+F21+F19</f>
        <v>18526</v>
      </c>
      <c r="G14" s="10">
        <f>G15+G16+G17+G18+G20+G21+G19</f>
        <v>16547.11194</v>
      </c>
      <c r="H14" s="10">
        <f>G14/F14*100</f>
        <v>89.3183198747706</v>
      </c>
      <c r="I14" s="15">
        <f>I15+I16+I17+I18+I20+I21+I26</f>
        <v>4379.78964</v>
      </c>
      <c r="J14" s="15">
        <f>J15+J16+J17+J18+J20+J21</f>
        <v>4708.648449999999</v>
      </c>
      <c r="K14" s="10">
        <f>J14/I14*100</f>
        <v>107.50855262537218</v>
      </c>
    </row>
    <row r="15" spans="1:11" ht="52.5" customHeight="1">
      <c r="A15" s="12" t="s">
        <v>18</v>
      </c>
      <c r="B15" s="6">
        <v>11100</v>
      </c>
      <c r="C15" s="13">
        <f aca="true" t="shared" si="3" ref="C15:D22">F15+I15</f>
        <v>12602.2</v>
      </c>
      <c r="D15" s="13">
        <f t="shared" si="3"/>
        <v>10172.74907</v>
      </c>
      <c r="E15" s="10">
        <f>D15/C15*100</f>
        <v>80.72200941105521</v>
      </c>
      <c r="F15" s="13">
        <f>район!C34</f>
        <v>9613</v>
      </c>
      <c r="G15" s="13">
        <f>район!D34</f>
        <v>7101.28211</v>
      </c>
      <c r="H15" s="13">
        <f>G15/F15*100</f>
        <v>73.87165411422033</v>
      </c>
      <c r="I15" s="13">
        <f>Справка!AP31+Справка!AS31+Справка!AM31</f>
        <v>2989.2</v>
      </c>
      <c r="J15" s="13">
        <f>Справка!AQ31+Справка!AT31+Справка!AN31</f>
        <v>3071.4669599999993</v>
      </c>
      <c r="K15" s="14">
        <f>J15/I15*100</f>
        <v>102.75213970293053</v>
      </c>
    </row>
    <row r="16" spans="1:11" ht="33" customHeight="1">
      <c r="A16" s="12" t="s">
        <v>19</v>
      </c>
      <c r="B16" s="6">
        <v>11200</v>
      </c>
      <c r="C16" s="13">
        <f t="shared" si="3"/>
        <v>1330</v>
      </c>
      <c r="D16" s="13">
        <f t="shared" si="3"/>
        <v>1227.70981</v>
      </c>
      <c r="E16" s="10">
        <f>D16/C16*100</f>
        <v>92.3090082706767</v>
      </c>
      <c r="F16" s="13">
        <f>район!C43</f>
        <v>1330</v>
      </c>
      <c r="G16" s="13">
        <f>район!D43</f>
        <v>1227.70981</v>
      </c>
      <c r="H16" s="13">
        <f>G16/F16*100</f>
        <v>92.3090082706767</v>
      </c>
      <c r="I16" s="13">
        <v>0</v>
      </c>
      <c r="J16" s="13">
        <v>0</v>
      </c>
      <c r="K16" s="14">
        <v>0</v>
      </c>
    </row>
    <row r="17" spans="1:11" ht="33" customHeight="1">
      <c r="A17" s="12" t="s">
        <v>20</v>
      </c>
      <c r="B17" s="6">
        <v>11300</v>
      </c>
      <c r="C17" s="13">
        <f t="shared" si="3"/>
        <v>958</v>
      </c>
      <c r="D17" s="13">
        <f t="shared" si="3"/>
        <v>921.5048499999999</v>
      </c>
      <c r="E17" s="10">
        <f>D17/C17*100</f>
        <v>96.19048538622128</v>
      </c>
      <c r="F17" s="13">
        <f>район!C45</f>
        <v>83</v>
      </c>
      <c r="G17" s="13">
        <f>район!D45</f>
        <v>66.47303</v>
      </c>
      <c r="H17" s="13">
        <f>G17/F17*100</f>
        <v>80.08798795180722</v>
      </c>
      <c r="I17" s="13">
        <f>Справка!AY31</f>
        <v>875</v>
      </c>
      <c r="J17" s="13">
        <f>Справка!AZ31</f>
        <v>855.0318199999999</v>
      </c>
      <c r="K17" s="14"/>
    </row>
    <row r="18" spans="1:11" ht="33" customHeight="1">
      <c r="A18" s="12" t="s">
        <v>21</v>
      </c>
      <c r="B18" s="6">
        <v>11400</v>
      </c>
      <c r="C18" s="13">
        <f t="shared" si="3"/>
        <v>6515.58964</v>
      </c>
      <c r="D18" s="13">
        <f t="shared" si="3"/>
        <v>6868.82652</v>
      </c>
      <c r="E18" s="10">
        <f>D18/C18*100</f>
        <v>105.421410793452</v>
      </c>
      <c r="F18" s="13">
        <f>район!C48</f>
        <v>6000</v>
      </c>
      <c r="G18" s="13">
        <f>район!D48</f>
        <v>6627.04868</v>
      </c>
      <c r="H18" s="13">
        <f>G18/F18*100</f>
        <v>110.45081133333332</v>
      </c>
      <c r="I18" s="13">
        <f>Справка!BE31</f>
        <v>515.58964</v>
      </c>
      <c r="J18" s="13">
        <f>Справка!BF31</f>
        <v>241.77784</v>
      </c>
      <c r="K18" s="14"/>
    </row>
    <row r="19" spans="1:11" ht="23.25" customHeight="1">
      <c r="A19" s="12" t="s">
        <v>22</v>
      </c>
      <c r="B19" s="6">
        <v>11500</v>
      </c>
      <c r="C19" s="13">
        <f t="shared" si="3"/>
        <v>0</v>
      </c>
      <c r="D19" s="13">
        <f t="shared" si="3"/>
        <v>0</v>
      </c>
      <c r="E19" s="10"/>
      <c r="F19" s="13">
        <f>район!C51</f>
        <v>0</v>
      </c>
      <c r="G19" s="13">
        <f>район!D51</f>
        <v>0</v>
      </c>
      <c r="H19" s="13"/>
      <c r="I19" s="13"/>
      <c r="J19" s="13"/>
      <c r="K19" s="14"/>
    </row>
    <row r="20" spans="1:11" ht="22.5" customHeight="1">
      <c r="A20" s="12" t="s">
        <v>23</v>
      </c>
      <c r="B20" s="6">
        <v>11600</v>
      </c>
      <c r="C20" s="13">
        <f t="shared" si="3"/>
        <v>1500</v>
      </c>
      <c r="D20" s="13">
        <f t="shared" si="3"/>
        <v>1811.62143</v>
      </c>
      <c r="E20" s="10">
        <f>D20/C20*100</f>
        <v>120.774762</v>
      </c>
      <c r="F20" s="13">
        <f>район!C53</f>
        <v>1500</v>
      </c>
      <c r="G20" s="13">
        <f>район!D53</f>
        <v>1524.5983099999999</v>
      </c>
      <c r="H20" s="13">
        <f>G20/F20*100</f>
        <v>101.63988733333333</v>
      </c>
      <c r="I20" s="13">
        <f>Справка!BN31</f>
        <v>0</v>
      </c>
      <c r="J20" s="13">
        <f>Справка!BO31</f>
        <v>287.02312</v>
      </c>
      <c r="K20" s="14">
        <v>0</v>
      </c>
    </row>
    <row r="21" spans="1:11" ht="49.5" customHeight="1">
      <c r="A21" s="12" t="s">
        <v>24</v>
      </c>
      <c r="B21" s="6">
        <v>11700</v>
      </c>
      <c r="C21" s="13">
        <f t="shared" si="3"/>
        <v>0</v>
      </c>
      <c r="D21" s="13">
        <f t="shared" si="3"/>
        <v>253.34870999999998</v>
      </c>
      <c r="E21" s="10"/>
      <c r="F21" s="13">
        <f>район!C58</f>
        <v>0</v>
      </c>
      <c r="G21" s="13">
        <f>район!D58</f>
        <v>0</v>
      </c>
      <c r="H21" s="13"/>
      <c r="I21" s="13">
        <f>Справка!BQ31</f>
        <v>0</v>
      </c>
      <c r="J21" s="13">
        <f>Справка!BR31</f>
        <v>253.34870999999998</v>
      </c>
      <c r="K21" s="14">
        <v>0</v>
      </c>
    </row>
    <row r="22" spans="1:11" ht="0.75" customHeight="1" hidden="1">
      <c r="A22" s="9" t="s">
        <v>25</v>
      </c>
      <c r="B22" s="5">
        <v>30000</v>
      </c>
      <c r="C22" s="13">
        <f t="shared" si="3"/>
        <v>0</v>
      </c>
      <c r="D22" s="10">
        <f t="shared" si="3"/>
        <v>0</v>
      </c>
      <c r="E22" s="10" t="e">
        <f>D22/C22*100</f>
        <v>#DIV/0!</v>
      </c>
      <c r="F22" s="10">
        <v>0</v>
      </c>
      <c r="G22" s="10">
        <v>0</v>
      </c>
      <c r="H22" s="10"/>
      <c r="I22" s="10">
        <v>0</v>
      </c>
      <c r="J22" s="10">
        <v>0</v>
      </c>
      <c r="K22" s="10"/>
    </row>
    <row r="23" spans="1:11" ht="29.25" customHeight="1">
      <c r="A23" s="9" t="s">
        <v>26</v>
      </c>
      <c r="B23" s="5">
        <v>10000</v>
      </c>
      <c r="C23" s="15">
        <f>SUM(C4,C14,C22)</f>
        <v>221662.8606</v>
      </c>
      <c r="D23" s="15">
        <f>SUM(D4,D14)</f>
        <v>202676.67236000003</v>
      </c>
      <c r="E23" s="10">
        <f>D23/C23*100</f>
        <v>91.43465522884262</v>
      </c>
      <c r="F23" s="15">
        <f>SUM(F4,F14)</f>
        <v>177584.13096</v>
      </c>
      <c r="G23" s="15">
        <f>SUM(G4,G14,G22)</f>
        <v>163996.46130000002</v>
      </c>
      <c r="H23" s="10">
        <f>G23/F23*100</f>
        <v>92.34860142820952</v>
      </c>
      <c r="I23" s="15">
        <f>I4+I14</f>
        <v>44078.729640000005</v>
      </c>
      <c r="J23" s="15">
        <f>J4+J14</f>
        <v>38680.21106</v>
      </c>
      <c r="K23" s="10">
        <f>J23/I23*100</f>
        <v>87.75255406838897</v>
      </c>
    </row>
    <row r="24" spans="1:11" ht="32.25" customHeight="1">
      <c r="A24" s="9" t="s">
        <v>27</v>
      </c>
      <c r="B24" s="5">
        <v>20200</v>
      </c>
      <c r="C24" s="16">
        <v>878634.95212</v>
      </c>
      <c r="D24" s="16">
        <v>726457.72206</v>
      </c>
      <c r="E24" s="10">
        <f>D24/C24*100</f>
        <v>82.68026673730408</v>
      </c>
      <c r="F24" s="15">
        <f>район!C62</f>
        <v>885666.17903</v>
      </c>
      <c r="G24" s="15">
        <f>район!D62</f>
        <v>728827.9201899999</v>
      </c>
      <c r="H24" s="10">
        <f>G24/F24*100</f>
        <v>82.29149282726674</v>
      </c>
      <c r="I24" s="15">
        <f>Справка!BZ31</f>
        <v>189691.15967999995</v>
      </c>
      <c r="J24" s="16">
        <v>135237.39027</v>
      </c>
      <c r="K24" s="10">
        <f>J24/I24*100</f>
        <v>71.29345958880694</v>
      </c>
    </row>
    <row r="25" spans="1:11" ht="33" customHeight="1">
      <c r="A25" s="9" t="s">
        <v>28</v>
      </c>
      <c r="B25" s="5">
        <v>20700</v>
      </c>
      <c r="C25" s="17">
        <f>F25+I25</f>
        <v>4748.749150000001</v>
      </c>
      <c r="D25" s="17">
        <f>SUM(J25+G25)</f>
        <v>4263.79404</v>
      </c>
      <c r="E25" s="15"/>
      <c r="F25" s="15"/>
      <c r="G25" s="15"/>
      <c r="H25" s="10"/>
      <c r="I25" s="15">
        <f>Справка!CR31</f>
        <v>4748.749150000001</v>
      </c>
      <c r="J25" s="15">
        <f>Справка!CS31</f>
        <v>4263.79404</v>
      </c>
      <c r="K25" s="10"/>
    </row>
    <row r="26" spans="1:12" ht="33" customHeight="1">
      <c r="A26" s="9" t="s">
        <v>29</v>
      </c>
      <c r="B26" s="6">
        <v>21900</v>
      </c>
      <c r="C26" s="17">
        <f>F26+I26</f>
        <v>-19738.97309</v>
      </c>
      <c r="D26" s="17">
        <v>-19741.78934</v>
      </c>
      <c r="E26" s="15"/>
      <c r="F26" s="14">
        <f>район!C70</f>
        <v>-19738.97309</v>
      </c>
      <c r="G26" s="14">
        <f>район!D70</f>
        <v>-19741.78934</v>
      </c>
      <c r="H26" s="10"/>
      <c r="I26" s="14">
        <v>0</v>
      </c>
      <c r="J26" s="14">
        <f>SUM(Справка!CV31)</f>
        <v>-470.61146999999994</v>
      </c>
      <c r="K26" s="14">
        <v>0</v>
      </c>
      <c r="L26" s="18"/>
    </row>
    <row r="27" spans="1:13" ht="29.25" customHeight="1">
      <c r="A27" s="5" t="s">
        <v>30</v>
      </c>
      <c r="B27" s="5"/>
      <c r="C27" s="15">
        <f>C24+C23+C26+C25</f>
        <v>1085307.58878</v>
      </c>
      <c r="D27" s="15">
        <f>D24+D23+D26+D25</f>
        <v>913656.39912</v>
      </c>
      <c r="E27" s="15">
        <f aca="true" t="shared" si="4" ref="E27:E39">D27/C27*100</f>
        <v>84.18409753745902</v>
      </c>
      <c r="F27" s="15">
        <f>F24+F23</f>
        <v>1063250.30999</v>
      </c>
      <c r="G27" s="15">
        <f>G24+G23</f>
        <v>892824.3814899998</v>
      </c>
      <c r="H27" s="15">
        <f aca="true" t="shared" si="5" ref="H27:H39">G27/F27*100</f>
        <v>83.97123171291592</v>
      </c>
      <c r="I27" s="15">
        <f>I24+I23</f>
        <v>233769.88931999996</v>
      </c>
      <c r="J27" s="15">
        <f>SUM(J23+J24+J25+J26)</f>
        <v>177710.7839</v>
      </c>
      <c r="K27" s="19">
        <f aca="true" t="shared" si="6" ref="K27:K33">J27/I27*100</f>
        <v>76.01953545725367</v>
      </c>
      <c r="L27" s="20"/>
      <c r="M27" s="18"/>
    </row>
    <row r="28" spans="1:12" ht="29.25" customHeight="1">
      <c r="A28" s="5" t="s">
        <v>31</v>
      </c>
      <c r="B28" s="5"/>
      <c r="C28" s="15">
        <f>C29+C30+C31+C32+C33+C34+C35+C36+C37+C41+C38+C39+C40</f>
        <v>1141418.3440999999</v>
      </c>
      <c r="D28" s="15">
        <f>SUM(D29:D41)</f>
        <v>911230.33123</v>
      </c>
      <c r="E28" s="15">
        <f t="shared" si="4"/>
        <v>79.83315985240263</v>
      </c>
      <c r="F28" s="15">
        <f>SUM(F29+F30+F31+F32+F33+F34+F35+F36+F37+F38+F39+F40+F41)</f>
        <v>1111888.94086</v>
      </c>
      <c r="G28" s="15">
        <f>SUM(G29:G41)</f>
        <v>897693.4967799999</v>
      </c>
      <c r="H28" s="15">
        <f t="shared" si="5"/>
        <v>80.73589580679445</v>
      </c>
      <c r="I28" s="15">
        <f>I29+I30+I31+I32+I33+I34+I35+I36+I37+I38+I39+I40+I41</f>
        <v>241242.01377</v>
      </c>
      <c r="J28" s="15">
        <f>J29+J30+J31+J32+J33+J34+J35+J36+J37+J38+J39+J40+J41</f>
        <v>170415.60072</v>
      </c>
      <c r="K28" s="19">
        <f t="shared" si="6"/>
        <v>70.64092943713948</v>
      </c>
      <c r="L28" s="20"/>
    </row>
    <row r="29" spans="1:11" ht="30.75" customHeight="1">
      <c r="A29" s="12" t="s">
        <v>32</v>
      </c>
      <c r="B29" s="21" t="s">
        <v>33</v>
      </c>
      <c r="C29" s="13">
        <f>F29+I29</f>
        <v>77683.3771</v>
      </c>
      <c r="D29" s="13">
        <f>G29+J29</f>
        <v>63325.93330999999</v>
      </c>
      <c r="E29" s="22">
        <f t="shared" si="4"/>
        <v>81.51799738119263</v>
      </c>
      <c r="F29" s="13">
        <f>район!C77</f>
        <v>48237.52687</v>
      </c>
      <c r="G29" s="22">
        <f>район!D77</f>
        <v>39451.07502</v>
      </c>
      <c r="H29" s="23">
        <f t="shared" si="5"/>
        <v>81.78502833762712</v>
      </c>
      <c r="I29" s="23">
        <f>Справка!DJ31</f>
        <v>29445.850229999993</v>
      </c>
      <c r="J29" s="23">
        <f>Справка!DK31</f>
        <v>23874.85829</v>
      </c>
      <c r="K29" s="23">
        <f t="shared" si="6"/>
        <v>81.0805532987322</v>
      </c>
    </row>
    <row r="30" spans="1:11" ht="30.75" customHeight="1">
      <c r="A30" s="12" t="s">
        <v>34</v>
      </c>
      <c r="B30" s="21" t="s">
        <v>35</v>
      </c>
      <c r="C30" s="17">
        <f>I30</f>
        <v>2384.6</v>
      </c>
      <c r="D30" s="17">
        <f>J30</f>
        <v>1747.9085600000003</v>
      </c>
      <c r="E30" s="22">
        <f t="shared" si="4"/>
        <v>73.29986412815568</v>
      </c>
      <c r="F30" s="13">
        <f>район!C85</f>
        <v>2384.6</v>
      </c>
      <c r="G30" s="22">
        <f>район!D85</f>
        <v>2188.4</v>
      </c>
      <c r="H30" s="23">
        <f t="shared" si="5"/>
        <v>91.77220498196763</v>
      </c>
      <c r="I30" s="23">
        <f>Справка!DY31</f>
        <v>2384.6</v>
      </c>
      <c r="J30" s="23">
        <f>Справка!DZ31</f>
        <v>1747.9085600000003</v>
      </c>
      <c r="K30" s="23">
        <f t="shared" si="6"/>
        <v>73.29986412815568</v>
      </c>
    </row>
    <row r="31" spans="1:11" ht="33" customHeight="1">
      <c r="A31" s="12" t="s">
        <v>36</v>
      </c>
      <c r="B31" s="21" t="s">
        <v>37</v>
      </c>
      <c r="C31" s="13">
        <f>F31+I31</f>
        <v>6894.65384</v>
      </c>
      <c r="D31" s="13">
        <f>G31+J31</f>
        <v>5988.3598600000005</v>
      </c>
      <c r="E31" s="22">
        <f t="shared" si="4"/>
        <v>86.85511990838398</v>
      </c>
      <c r="F31" s="13">
        <f>район!C87</f>
        <v>6053.4464</v>
      </c>
      <c r="G31" s="22">
        <f>район!D87</f>
        <v>5621.6631800000005</v>
      </c>
      <c r="H31" s="23">
        <f t="shared" si="5"/>
        <v>92.86715052106517</v>
      </c>
      <c r="I31" s="23">
        <f>Справка!EB31</f>
        <v>841.2074399999999</v>
      </c>
      <c r="J31" s="23">
        <f>Справка!EC31</f>
        <v>366.69668</v>
      </c>
      <c r="K31" s="23">
        <f t="shared" si="6"/>
        <v>43.591706701975916</v>
      </c>
    </row>
    <row r="32" spans="1:11" ht="30" customHeight="1">
      <c r="A32" s="12" t="s">
        <v>38</v>
      </c>
      <c r="B32" s="21" t="s">
        <v>39</v>
      </c>
      <c r="C32" s="24">
        <v>101546.05353</v>
      </c>
      <c r="D32" s="24">
        <v>79612.80245</v>
      </c>
      <c r="E32" s="22">
        <f t="shared" si="4"/>
        <v>78.40068587843228</v>
      </c>
      <c r="F32" s="13">
        <f>район!C93</f>
        <v>80848.18899</v>
      </c>
      <c r="G32" s="22">
        <f>район!D93</f>
        <v>63871.230469999995</v>
      </c>
      <c r="H32" s="23">
        <f t="shared" si="5"/>
        <v>79.00143623241844</v>
      </c>
      <c r="I32" s="23">
        <f>Справка!EE31</f>
        <v>47353.95978</v>
      </c>
      <c r="J32" s="23">
        <f>Справка!EF31</f>
        <v>37396.55464</v>
      </c>
      <c r="K32" s="23">
        <f t="shared" si="6"/>
        <v>78.97239177829957</v>
      </c>
    </row>
    <row r="33" spans="1:11" ht="30" customHeight="1">
      <c r="A33" s="12" t="s">
        <v>40</v>
      </c>
      <c r="B33" s="21" t="s">
        <v>41</v>
      </c>
      <c r="C33" s="24">
        <v>138588.42325</v>
      </c>
      <c r="D33" s="24">
        <v>85020.29838</v>
      </c>
      <c r="E33" s="22">
        <f t="shared" si="4"/>
        <v>61.34733074106173</v>
      </c>
      <c r="F33" s="13">
        <f>район!C100</f>
        <v>86308.76234</v>
      </c>
      <c r="G33" s="22">
        <f>район!D100</f>
        <v>46195.112940000006</v>
      </c>
      <c r="H33" s="23">
        <f t="shared" si="5"/>
        <v>53.52308582299155</v>
      </c>
      <c r="I33" s="23">
        <f>Справка!EH31</f>
        <v>128116.75425</v>
      </c>
      <c r="J33" s="23">
        <f>Справка!EI31</f>
        <v>81811.72305999999</v>
      </c>
      <c r="K33" s="23">
        <f t="shared" si="6"/>
        <v>63.857161804424955</v>
      </c>
    </row>
    <row r="34" spans="1:11" ht="30" customHeight="1">
      <c r="A34" s="12" t="s">
        <v>42</v>
      </c>
      <c r="B34" s="21" t="s">
        <v>43</v>
      </c>
      <c r="C34" s="17">
        <f>F34</f>
        <v>50</v>
      </c>
      <c r="D34" s="17">
        <f>G34</f>
        <v>50</v>
      </c>
      <c r="E34" s="22">
        <f t="shared" si="4"/>
        <v>100</v>
      </c>
      <c r="F34" s="13">
        <f>район!C104</f>
        <v>50</v>
      </c>
      <c r="G34" s="22">
        <f>район!D104</f>
        <v>50</v>
      </c>
      <c r="H34" s="23">
        <f t="shared" si="5"/>
        <v>100</v>
      </c>
      <c r="I34" s="22"/>
      <c r="J34" s="22"/>
      <c r="K34" s="23">
        <v>0</v>
      </c>
    </row>
    <row r="35" spans="1:11" ht="30" customHeight="1">
      <c r="A35" s="12" t="s">
        <v>44</v>
      </c>
      <c r="B35" s="21" t="s">
        <v>45</v>
      </c>
      <c r="C35" s="17">
        <f>F35</f>
        <v>703482.22985</v>
      </c>
      <c r="D35" s="17">
        <f>G35</f>
        <v>586118.6897699999</v>
      </c>
      <c r="E35" s="22">
        <f t="shared" si="4"/>
        <v>83.31677260632085</v>
      </c>
      <c r="F35" s="13">
        <f>район!C106</f>
        <v>703482.22985</v>
      </c>
      <c r="G35" s="22">
        <f>район!D106</f>
        <v>586118.6897699999</v>
      </c>
      <c r="H35" s="23">
        <f t="shared" si="5"/>
        <v>83.31677260632085</v>
      </c>
      <c r="I35" s="22"/>
      <c r="J35" s="22"/>
      <c r="K35" s="23">
        <v>0</v>
      </c>
    </row>
    <row r="36" spans="1:12" ht="30" customHeight="1">
      <c r="A36" s="12" t="s">
        <v>46</v>
      </c>
      <c r="B36" s="21" t="s">
        <v>47</v>
      </c>
      <c r="C36" s="24">
        <v>60026.90807</v>
      </c>
      <c r="D36" s="24">
        <v>47255.28234</v>
      </c>
      <c r="E36" s="22">
        <f t="shared" si="4"/>
        <v>78.72349894299661</v>
      </c>
      <c r="F36" s="13">
        <f>район!C112</f>
        <v>53347.001</v>
      </c>
      <c r="G36" s="22">
        <f>район!D112</f>
        <v>43163.41285</v>
      </c>
      <c r="H36" s="23">
        <f t="shared" si="5"/>
        <v>80.91066421896895</v>
      </c>
      <c r="I36" s="23">
        <f>Справка!EK31</f>
        <v>32750.10707</v>
      </c>
      <c r="J36" s="23">
        <f>Справка!EL31</f>
        <v>25033.245489999998</v>
      </c>
      <c r="K36" s="23">
        <f>J36/I36*100</f>
        <v>76.43714091222358</v>
      </c>
      <c r="L36" s="18"/>
    </row>
    <row r="37" spans="1:11" ht="30" customHeight="1">
      <c r="A37" s="12" t="s">
        <v>48</v>
      </c>
      <c r="B37" s="21" t="s">
        <v>49</v>
      </c>
      <c r="C37" s="24">
        <v>41872.73546</v>
      </c>
      <c r="D37" s="24">
        <v>34051.32131</v>
      </c>
      <c r="E37" s="22">
        <f t="shared" si="4"/>
        <v>81.32098592538429</v>
      </c>
      <c r="F37" s="13">
        <f>район!C115</f>
        <v>41867.73546</v>
      </c>
      <c r="G37" s="22">
        <f>район!D115</f>
        <v>34046.32131</v>
      </c>
      <c r="H37" s="23">
        <f t="shared" si="5"/>
        <v>81.31875520835727</v>
      </c>
      <c r="I37" s="23">
        <f>Справка!EN31</f>
        <v>5</v>
      </c>
      <c r="J37" s="23">
        <f>Справка!EO31</f>
        <v>5</v>
      </c>
      <c r="K37" s="23"/>
    </row>
    <row r="38" spans="1:11" ht="30" customHeight="1">
      <c r="A38" s="12" t="s">
        <v>50</v>
      </c>
      <c r="B38" s="21" t="s">
        <v>51</v>
      </c>
      <c r="C38" s="24">
        <v>8844.363</v>
      </c>
      <c r="D38" s="24">
        <v>8059.73525</v>
      </c>
      <c r="E38" s="22">
        <f t="shared" si="4"/>
        <v>91.12849902248472</v>
      </c>
      <c r="F38" s="13">
        <f>район!C120</f>
        <v>8499.828000000001</v>
      </c>
      <c r="G38" s="22">
        <f>район!D120</f>
        <v>7880.121249999999</v>
      </c>
      <c r="H38" s="23">
        <f t="shared" si="5"/>
        <v>92.70918482115165</v>
      </c>
      <c r="I38" s="23">
        <f>Справка!EQ31</f>
        <v>344.535</v>
      </c>
      <c r="J38" s="23">
        <f>Справка!ER31</f>
        <v>179.614</v>
      </c>
      <c r="K38" s="23">
        <f>J38/I38*100</f>
        <v>52.13229425167254</v>
      </c>
    </row>
    <row r="39" spans="1:11" ht="30" customHeight="1">
      <c r="A39" s="12" t="s">
        <v>52</v>
      </c>
      <c r="B39" s="21" t="s">
        <v>53</v>
      </c>
      <c r="C39" s="13">
        <f>F39</f>
        <v>45</v>
      </c>
      <c r="D39" s="25">
        <f>G39</f>
        <v>0</v>
      </c>
      <c r="E39" s="22">
        <f t="shared" si="4"/>
        <v>0</v>
      </c>
      <c r="F39" s="13">
        <f>район!C126</f>
        <v>45</v>
      </c>
      <c r="G39" s="22">
        <f>район!D126</f>
        <v>0</v>
      </c>
      <c r="H39" s="23">
        <f t="shared" si="5"/>
        <v>0</v>
      </c>
      <c r="I39" s="23"/>
      <c r="J39" s="23"/>
      <c r="K39" s="23">
        <v>0</v>
      </c>
    </row>
    <row r="40" spans="1:11" ht="34.5" customHeight="1">
      <c r="A40" s="12" t="s">
        <v>54</v>
      </c>
      <c r="B40" s="21" t="s">
        <v>55</v>
      </c>
      <c r="C40" s="13">
        <f>F40</f>
        <v>0</v>
      </c>
      <c r="D40" s="25">
        <f>G40</f>
        <v>0</v>
      </c>
      <c r="E40" s="22"/>
      <c r="F40" s="13">
        <f>район!C128</f>
        <v>0</v>
      </c>
      <c r="G40" s="22">
        <f>район!D128</f>
        <v>0</v>
      </c>
      <c r="H40" s="23">
        <v>0</v>
      </c>
      <c r="I40" s="23"/>
      <c r="J40" s="26"/>
      <c r="K40" s="23">
        <v>0</v>
      </c>
    </row>
    <row r="41" spans="1:11" ht="30" customHeight="1">
      <c r="A41" s="12" t="s">
        <v>56</v>
      </c>
      <c r="B41" s="21" t="s">
        <v>57</v>
      </c>
      <c r="C41" s="13">
        <v>0</v>
      </c>
      <c r="D41" s="25"/>
      <c r="E41" s="22">
        <v>0</v>
      </c>
      <c r="F41" s="13">
        <f>район!C130</f>
        <v>80764.62195</v>
      </c>
      <c r="G41" s="22">
        <f>район!D130</f>
        <v>69107.46999</v>
      </c>
      <c r="H41" s="23">
        <f>G41/F41*100</f>
        <v>85.566512071069</v>
      </c>
      <c r="I41" s="23">
        <f>Справка!ET31</f>
        <v>0</v>
      </c>
      <c r="J41" s="26">
        <f>Справка!EU31</f>
        <v>0</v>
      </c>
      <c r="K41" s="23"/>
    </row>
    <row r="42" spans="1:11" ht="15.75">
      <c r="A42" s="27"/>
      <c r="B42" s="28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.75" hidden="1">
      <c r="A43" s="27"/>
      <c r="B43" s="28"/>
      <c r="C43" s="29">
        <f>C27-C28</f>
        <v>-56110.755319999764</v>
      </c>
      <c r="D43" s="29">
        <f>D27-D28</f>
        <v>2426.0678899999475</v>
      </c>
      <c r="E43" s="29"/>
      <c r="F43" s="29">
        <f>F27-F28</f>
        <v>-48638.63086999999</v>
      </c>
      <c r="G43" s="29">
        <f>G27-G28</f>
        <v>-4869.115290000103</v>
      </c>
      <c r="H43" s="29"/>
      <c r="I43" s="29">
        <f>I27-I28</f>
        <v>-7472.124450000032</v>
      </c>
      <c r="J43" s="29">
        <f>J27-J28</f>
        <v>7295.183180000022</v>
      </c>
      <c r="K43" s="29"/>
    </row>
    <row r="44" spans="1:11" ht="15.75" hidden="1">
      <c r="A44" s="27"/>
      <c r="B44" s="28"/>
      <c r="C44" s="29">
        <f>C43-F44</f>
        <v>2.6193447411060333E-10</v>
      </c>
      <c r="D44" s="29">
        <f>D43-G44</f>
        <v>2.9103830456733704E-11</v>
      </c>
      <c r="E44" s="29"/>
      <c r="F44" s="29">
        <f>F43+I43</f>
        <v>-56110.755320000026</v>
      </c>
      <c r="G44" s="29">
        <f>G43+J43</f>
        <v>2426.0678899999184</v>
      </c>
      <c r="H44" s="29"/>
      <c r="I44" s="29"/>
      <c r="J44" s="29"/>
      <c r="K44" s="29"/>
    </row>
    <row r="45" spans="1:11" ht="20.25" customHeight="1" hidden="1">
      <c r="A45" s="27"/>
      <c r="B45" s="28"/>
      <c r="C45" s="30"/>
      <c r="D45" s="30"/>
      <c r="E45" s="31"/>
      <c r="F45" s="31">
        <f>C28+F44-C23-C26</f>
        <v>883383.7012699998</v>
      </c>
      <c r="G45" s="31">
        <f>D28+G44-D23-D26</f>
        <v>730721.5161</v>
      </c>
      <c r="H45" s="32"/>
      <c r="I45" s="32"/>
      <c r="J45" s="32"/>
      <c r="K45" s="29"/>
    </row>
    <row r="46" spans="1:11" ht="15.75">
      <c r="A46" s="27"/>
      <c r="B46" s="28"/>
      <c r="C46" s="33"/>
      <c r="D46" s="29"/>
      <c r="E46" s="29"/>
      <c r="F46" s="29"/>
      <c r="G46" s="29"/>
      <c r="H46" s="29"/>
      <c r="I46" s="29"/>
      <c r="J46" s="29"/>
      <c r="K46" s="29"/>
    </row>
    <row r="47" spans="1:11" ht="15.75">
      <c r="A47" s="27"/>
      <c r="B47" s="28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.7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5.75">
      <c r="A49" s="27" t="s">
        <v>58</v>
      </c>
      <c r="B49" s="28"/>
      <c r="C49" s="30"/>
      <c r="D49" s="30"/>
      <c r="E49" s="31"/>
      <c r="F49" s="31"/>
      <c r="G49" s="31"/>
      <c r="H49" s="32"/>
      <c r="I49" s="32"/>
      <c r="J49" s="32"/>
      <c r="K49" s="32"/>
    </row>
    <row r="50" spans="1:11" ht="32.25" customHeight="1">
      <c r="A50" s="27" t="s">
        <v>59</v>
      </c>
      <c r="B50" s="28"/>
      <c r="C50" s="34"/>
      <c r="D50" s="447" t="s">
        <v>60</v>
      </c>
      <c r="E50" s="447"/>
      <c r="F50" s="35"/>
      <c r="G50" s="31"/>
      <c r="H50" s="32"/>
      <c r="I50" s="32"/>
      <c r="J50" s="32"/>
      <c r="K50" s="32"/>
    </row>
    <row r="51" spans="3:7" ht="15.75">
      <c r="C51" s="36"/>
      <c r="D51" s="36"/>
      <c r="F51" s="18"/>
      <c r="G51" s="18"/>
    </row>
    <row r="52" spans="3:10" ht="15.75">
      <c r="C52" s="37"/>
      <c r="D52" s="37"/>
      <c r="F52" s="18"/>
      <c r="G52" s="18"/>
      <c r="I52" s="18"/>
      <c r="J52" s="18"/>
    </row>
    <row r="53" spans="3:7" ht="15.75">
      <c r="C53" s="38"/>
      <c r="D53" s="18"/>
      <c r="F53" s="18"/>
      <c r="G53" s="18"/>
    </row>
    <row r="54" spans="3:4" ht="15.75">
      <c r="C54" s="38"/>
      <c r="D54" s="18"/>
    </row>
  </sheetData>
  <sheetProtection selectLockedCells="1" selectUnlockedCells="1"/>
  <mergeCells count="7">
    <mergeCell ref="D50:E50"/>
    <mergeCell ref="A1:K1"/>
    <mergeCell ref="A2:A3"/>
    <mergeCell ref="B2:B3"/>
    <mergeCell ref="C2:E2"/>
    <mergeCell ref="F2:H2"/>
    <mergeCell ref="I2:K2"/>
  </mergeCells>
  <printOptions/>
  <pageMargins left="0.7083333333333334" right="0.7083333333333334" top="0.3402777777777778" bottom="0.7479166666666667" header="0.5118055555555555" footer="0.5118055555555555"/>
  <pageSetup horizontalDpi="300" verticalDpi="300" orientation="landscape" paperSize="9" scale="62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70" zoomScaleSheetLayoutView="70" zoomScalePageLayoutView="0" workbookViewId="0" topLeftCell="A18">
      <selection activeCell="A35" sqref="A35:B35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00390625" style="138" customWidth="1"/>
    <col min="4" max="4" width="15.00390625" style="138" customWidth="1"/>
    <col min="5" max="5" width="14.140625" style="138" customWidth="1"/>
    <col min="6" max="6" width="10.0039062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8" t="s">
        <v>431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6.75" customHeight="1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2500.12</v>
      </c>
      <c r="D4" s="151">
        <f>D5+D12+D14+D17+D7</f>
        <v>2039.15606</v>
      </c>
      <c r="E4" s="151">
        <f aca="true" t="shared" si="0" ref="E4:E48">SUM(D4/C4*100)</f>
        <v>81.5623274082844</v>
      </c>
      <c r="F4" s="151">
        <f aca="true" t="shared" si="1" ref="F4:F51">SUM(D4-C4)</f>
        <v>-460.96393999999987</v>
      </c>
    </row>
    <row r="5" spans="1:6" s="140" customFormat="1" ht="15.75">
      <c r="A5" s="152">
        <v>1010000000</v>
      </c>
      <c r="B5" s="153" t="s">
        <v>146</v>
      </c>
      <c r="C5" s="151">
        <f>C6</f>
        <v>277.4</v>
      </c>
      <c r="D5" s="151">
        <f>D6</f>
        <v>237.47542</v>
      </c>
      <c r="E5" s="151">
        <f t="shared" si="0"/>
        <v>85.60757750540736</v>
      </c>
      <c r="F5" s="151">
        <f t="shared" si="1"/>
        <v>-39.92457999999996</v>
      </c>
    </row>
    <row r="6" spans="1:6" ht="15.75">
      <c r="A6" s="154">
        <v>1010200001</v>
      </c>
      <c r="B6" s="155" t="s">
        <v>147</v>
      </c>
      <c r="C6" s="156">
        <v>277.4</v>
      </c>
      <c r="D6" s="157">
        <v>237.47542</v>
      </c>
      <c r="E6" s="156">
        <f t="shared" si="0"/>
        <v>85.60757750540736</v>
      </c>
      <c r="F6" s="156">
        <f t="shared" si="1"/>
        <v>-39.92457999999996</v>
      </c>
    </row>
    <row r="7" spans="1:6" ht="31.5">
      <c r="A7" s="149">
        <v>1030000000</v>
      </c>
      <c r="B7" s="158" t="s">
        <v>148</v>
      </c>
      <c r="C7" s="151">
        <f>C8+C10+C9</f>
        <v>479.72</v>
      </c>
      <c r="D7" s="151">
        <f>D8+D9+D10+D11</f>
        <v>491.06516000000005</v>
      </c>
      <c r="E7" s="156">
        <f t="shared" si="0"/>
        <v>102.36495455682481</v>
      </c>
      <c r="F7" s="156">
        <f t="shared" si="1"/>
        <v>11.345160000000021</v>
      </c>
    </row>
    <row r="8" spans="1:6" ht="15.75">
      <c r="A8" s="154">
        <v>1030223001</v>
      </c>
      <c r="B8" s="155" t="s">
        <v>149</v>
      </c>
      <c r="C8" s="156">
        <v>178.94</v>
      </c>
      <c r="D8" s="157">
        <v>225.08344</v>
      </c>
      <c r="E8" s="156">
        <f t="shared" si="0"/>
        <v>125.78710182183971</v>
      </c>
      <c r="F8" s="156">
        <f t="shared" si="1"/>
        <v>46.14344</v>
      </c>
    </row>
    <row r="9" spans="1:6" ht="15.75">
      <c r="A9" s="154">
        <v>1030224001</v>
      </c>
      <c r="B9" s="155" t="s">
        <v>150</v>
      </c>
      <c r="C9" s="156">
        <v>1.92</v>
      </c>
      <c r="D9" s="157">
        <v>1.59653</v>
      </c>
      <c r="E9" s="156">
        <f t="shared" si="0"/>
        <v>83.15260416666666</v>
      </c>
      <c r="F9" s="156">
        <f t="shared" si="1"/>
        <v>-0.3234699999999999</v>
      </c>
    </row>
    <row r="10" spans="1:6" ht="15.75">
      <c r="A10" s="154">
        <v>1030225001</v>
      </c>
      <c r="B10" s="155" t="s">
        <v>151</v>
      </c>
      <c r="C10" s="156">
        <v>298.86</v>
      </c>
      <c r="D10" s="157">
        <v>302.5221</v>
      </c>
      <c r="E10" s="156">
        <f t="shared" si="0"/>
        <v>101.22535635414576</v>
      </c>
      <c r="F10" s="156">
        <f t="shared" si="1"/>
        <v>3.6621000000000095</v>
      </c>
    </row>
    <row r="11" spans="1:6" ht="15.75">
      <c r="A11" s="154">
        <v>1030265001</v>
      </c>
      <c r="B11" s="155" t="s">
        <v>152</v>
      </c>
      <c r="C11" s="156">
        <v>0</v>
      </c>
      <c r="D11" s="157">
        <v>-38.13691</v>
      </c>
      <c r="E11" s="156" t="e">
        <f t="shared" si="0"/>
        <v>#DIV/0!</v>
      </c>
      <c r="F11" s="156">
        <f t="shared" si="1"/>
        <v>-38.13691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15</v>
      </c>
      <c r="D12" s="151">
        <f>SUM(D13:D13)</f>
        <v>5.87145</v>
      </c>
      <c r="E12" s="151">
        <f t="shared" si="0"/>
        <v>39.143</v>
      </c>
      <c r="F12" s="151">
        <f t="shared" si="1"/>
        <v>-9.12855</v>
      </c>
    </row>
    <row r="13" spans="1:6" ht="15.75" customHeight="1">
      <c r="A13" s="154">
        <v>1050300000</v>
      </c>
      <c r="B13" s="159" t="s">
        <v>156</v>
      </c>
      <c r="C13" s="160">
        <v>15</v>
      </c>
      <c r="D13" s="157">
        <v>5.87145</v>
      </c>
      <c r="E13" s="156">
        <f t="shared" si="0"/>
        <v>39.143</v>
      </c>
      <c r="F13" s="156">
        <f t="shared" si="1"/>
        <v>-9.12855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1720</v>
      </c>
      <c r="D14" s="151">
        <f>D15+D16</f>
        <v>1301.4440299999999</v>
      </c>
      <c r="E14" s="151">
        <f t="shared" si="0"/>
        <v>75.66535058139534</v>
      </c>
      <c r="F14" s="151">
        <f t="shared" si="1"/>
        <v>-418.5559700000001</v>
      </c>
    </row>
    <row r="15" spans="1:6" s="140" customFormat="1" ht="15.75" customHeight="1">
      <c r="A15" s="154">
        <v>1060100000</v>
      </c>
      <c r="B15" s="159" t="s">
        <v>159</v>
      </c>
      <c r="C15" s="156">
        <v>350</v>
      </c>
      <c r="D15" s="157">
        <v>227.66924</v>
      </c>
      <c r="E15" s="156">
        <f t="shared" si="0"/>
        <v>65.04835428571428</v>
      </c>
      <c r="F15" s="156">
        <f t="shared" si="1"/>
        <v>-122.33076</v>
      </c>
    </row>
    <row r="16" spans="1:6" ht="15.75" customHeight="1">
      <c r="A16" s="154">
        <v>1060600000</v>
      </c>
      <c r="B16" s="159" t="s">
        <v>162</v>
      </c>
      <c r="C16" s="156">
        <v>1370</v>
      </c>
      <c r="D16" s="157">
        <v>1073.77479</v>
      </c>
      <c r="E16" s="156">
        <f t="shared" si="0"/>
        <v>78.37772189781022</v>
      </c>
      <c r="F16" s="156">
        <f t="shared" si="1"/>
        <v>-296.22521000000006</v>
      </c>
    </row>
    <row r="17" spans="1:6" s="140" customFormat="1" ht="15.75">
      <c r="A17" s="149">
        <v>1080000000</v>
      </c>
      <c r="B17" s="150" t="s">
        <v>165</v>
      </c>
      <c r="C17" s="151">
        <f>C18</f>
        <v>8</v>
      </c>
      <c r="D17" s="151">
        <f>D18</f>
        <v>3.3</v>
      </c>
      <c r="E17" s="151">
        <f t="shared" si="0"/>
        <v>41.25</v>
      </c>
      <c r="F17" s="151">
        <f t="shared" si="1"/>
        <v>-4.7</v>
      </c>
    </row>
    <row r="18" spans="1:6" ht="18" customHeight="1">
      <c r="A18" s="154">
        <v>1080400001</v>
      </c>
      <c r="B18" s="155" t="s">
        <v>167</v>
      </c>
      <c r="C18" s="156">
        <v>8</v>
      </c>
      <c r="D18" s="156">
        <v>3.3</v>
      </c>
      <c r="E18" s="156">
        <f t="shared" si="0"/>
        <v>41.25</v>
      </c>
      <c r="F18" s="156">
        <f t="shared" si="1"/>
        <v>-4.7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</f>
        <v>209</v>
      </c>
      <c r="D25" s="151">
        <f>D26+D29+D31+D36+D34</f>
        <v>282.61525</v>
      </c>
      <c r="E25" s="151">
        <f t="shared" si="0"/>
        <v>135.2226076555024</v>
      </c>
      <c r="F25" s="151">
        <f t="shared" si="1"/>
        <v>73.61525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189</v>
      </c>
      <c r="D26" s="151">
        <f>D27+D28</f>
        <v>188.35796</v>
      </c>
      <c r="E26" s="151">
        <f t="shared" si="0"/>
        <v>99.6602962962963</v>
      </c>
      <c r="F26" s="151">
        <f t="shared" si="1"/>
        <v>-0.6420400000000086</v>
      </c>
    </row>
    <row r="27" spans="1:6" ht="15.75" customHeight="1">
      <c r="A27" s="163">
        <v>1110502510</v>
      </c>
      <c r="B27" s="164" t="s">
        <v>177</v>
      </c>
      <c r="C27" s="160">
        <v>135</v>
      </c>
      <c r="D27" s="160">
        <v>143.35796</v>
      </c>
      <c r="E27" s="156">
        <f t="shared" si="0"/>
        <v>106.19108148148146</v>
      </c>
      <c r="F27" s="156">
        <f t="shared" si="1"/>
        <v>8.357959999999991</v>
      </c>
    </row>
    <row r="28" spans="1:6" ht="17.25" customHeight="1">
      <c r="A28" s="154">
        <v>1110503510</v>
      </c>
      <c r="B28" s="159" t="s">
        <v>178</v>
      </c>
      <c r="C28" s="160">
        <v>54</v>
      </c>
      <c r="D28" s="157">
        <v>45</v>
      </c>
      <c r="E28" s="156">
        <f t="shared" si="0"/>
        <v>83.33333333333334</v>
      </c>
      <c r="F28" s="156">
        <f t="shared" si="1"/>
        <v>-9</v>
      </c>
    </row>
    <row r="29" spans="1:6" s="141" customFormat="1" ht="15" customHeight="1">
      <c r="A29" s="152">
        <v>1130000000</v>
      </c>
      <c r="B29" s="161" t="s">
        <v>185</v>
      </c>
      <c r="C29" s="151">
        <f>C30</f>
        <v>20</v>
      </c>
      <c r="D29" s="151">
        <f>D30</f>
        <v>49.95219</v>
      </c>
      <c r="E29" s="151">
        <f t="shared" si="0"/>
        <v>249.76095000000004</v>
      </c>
      <c r="F29" s="151">
        <f t="shared" si="1"/>
        <v>29.95219</v>
      </c>
    </row>
    <row r="30" spans="1:6" ht="15.75" customHeight="1">
      <c r="A30" s="154">
        <v>1130206005</v>
      </c>
      <c r="B30" s="155" t="s">
        <v>187</v>
      </c>
      <c r="C30" s="156">
        <v>20</v>
      </c>
      <c r="D30" s="157">
        <v>49.95219</v>
      </c>
      <c r="E30" s="156">
        <f t="shared" si="0"/>
        <v>249.76095000000004</v>
      </c>
      <c r="F30" s="156">
        <f t="shared" si="1"/>
        <v>29.95219</v>
      </c>
    </row>
    <row r="31" spans="1:6" ht="15.75" customHeight="1" hidden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0.75" customHeight="1" hidden="1">
      <c r="A32" s="163">
        <v>1140200000</v>
      </c>
      <c r="B32" s="167" t="s">
        <v>324</v>
      </c>
      <c r="C32" s="156"/>
      <c r="D32" s="157"/>
      <c r="E32" s="156" t="e">
        <f t="shared" si="0"/>
        <v>#DIV/0!</v>
      </c>
      <c r="F32" s="156">
        <f t="shared" si="1"/>
        <v>0</v>
      </c>
    </row>
    <row r="33" spans="1:6" ht="22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22.5" customHeight="1">
      <c r="A34" s="154">
        <v>1160000000</v>
      </c>
      <c r="B34" s="158" t="s">
        <v>352</v>
      </c>
      <c r="C34" s="156">
        <v>0</v>
      </c>
      <c r="D34" s="162">
        <f>SUM(D35)</f>
        <v>48.9551</v>
      </c>
      <c r="E34" s="156" t="e">
        <f t="shared" si="0"/>
        <v>#DIV/0!</v>
      </c>
      <c r="F34" s="156">
        <f t="shared" si="1"/>
        <v>48.9551</v>
      </c>
    </row>
    <row r="35" spans="1:6" ht="20.25" customHeight="1">
      <c r="A35" s="154">
        <v>1160701010</v>
      </c>
      <c r="B35" s="155" t="s">
        <v>422</v>
      </c>
      <c r="C35" s="156">
        <v>0</v>
      </c>
      <c r="D35" s="157">
        <v>48.9551</v>
      </c>
      <c r="E35" s="156" t="e">
        <f t="shared" si="0"/>
        <v>#DIV/0!</v>
      </c>
      <c r="F35" s="156">
        <f t="shared" si="1"/>
        <v>48.9551</v>
      </c>
    </row>
    <row r="36" spans="1:6" ht="19.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-4.65</v>
      </c>
      <c r="E36" s="151" t="e">
        <f t="shared" si="0"/>
        <v>#DIV/0!</v>
      </c>
      <c r="F36" s="151">
        <f t="shared" si="1"/>
        <v>-4.65</v>
      </c>
    </row>
    <row r="37" spans="1:6" ht="15.75" customHeight="1">
      <c r="A37" s="154">
        <v>1170105005</v>
      </c>
      <c r="B37" s="155" t="s">
        <v>199</v>
      </c>
      <c r="C37" s="156">
        <v>0</v>
      </c>
      <c r="D37" s="156">
        <v>-4.65</v>
      </c>
      <c r="E37" s="156" t="e">
        <f t="shared" si="0"/>
        <v>#DIV/0!</v>
      </c>
      <c r="F37" s="156">
        <f t="shared" si="1"/>
        <v>-4.65</v>
      </c>
    </row>
    <row r="38" spans="1:6" ht="18.75" customHeight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20.25" customHeight="1">
      <c r="A39" s="149">
        <v>1000000000</v>
      </c>
      <c r="B39" s="150" t="s">
        <v>26</v>
      </c>
      <c r="C39" s="302">
        <f>SUM(C4,C25)</f>
        <v>2709.12</v>
      </c>
      <c r="D39" s="302">
        <f>SUM(D4,D25)</f>
        <v>2321.77131</v>
      </c>
      <c r="E39" s="151">
        <f t="shared" si="0"/>
        <v>85.70204752834869</v>
      </c>
      <c r="F39" s="151">
        <f t="shared" si="1"/>
        <v>-387.3486899999998</v>
      </c>
    </row>
    <row r="40" spans="1:7" s="140" customFormat="1" ht="15.75">
      <c r="A40" s="149">
        <v>2000000000</v>
      </c>
      <c r="B40" s="150" t="s">
        <v>201</v>
      </c>
      <c r="C40" s="151">
        <f>C41+C43+C45+C46+C48+C49+C47+C42+C44</f>
        <v>14151.650099999999</v>
      </c>
      <c r="D40" s="303">
        <f>D41+D43+D45+D46+D48+D49+D42+D47</f>
        <v>13539.96026</v>
      </c>
      <c r="E40" s="151">
        <f t="shared" si="0"/>
        <v>95.67760765933578</v>
      </c>
      <c r="F40" s="151">
        <f t="shared" si="1"/>
        <v>-611.6898399999991</v>
      </c>
      <c r="G40" s="171"/>
    </row>
    <row r="41" spans="1:6" ht="15.75">
      <c r="A41" s="163">
        <v>2021000000</v>
      </c>
      <c r="B41" s="164" t="s">
        <v>202</v>
      </c>
      <c r="C41" s="236">
        <v>3226.8</v>
      </c>
      <c r="D41" s="173">
        <v>2957.922</v>
      </c>
      <c r="E41" s="156">
        <f t="shared" si="0"/>
        <v>91.66734845667534</v>
      </c>
      <c r="F41" s="156">
        <f t="shared" si="1"/>
        <v>-268.87800000000016</v>
      </c>
    </row>
    <row r="42" spans="1:6" ht="17.25" customHeight="1">
      <c r="A42" s="163">
        <v>2021500200</v>
      </c>
      <c r="B42" s="164" t="s">
        <v>205</v>
      </c>
      <c r="C42" s="160"/>
      <c r="D42" s="173">
        <v>0</v>
      </c>
      <c r="E42" s="156" t="e">
        <f t="shared" si="0"/>
        <v>#DIV/0!</v>
      </c>
      <c r="F42" s="156">
        <f t="shared" si="1"/>
        <v>0</v>
      </c>
    </row>
    <row r="43" spans="1:6" ht="19.5" customHeight="1">
      <c r="A43" s="163">
        <v>2022000000</v>
      </c>
      <c r="B43" s="164" t="s">
        <v>206</v>
      </c>
      <c r="C43" s="160">
        <v>9628.309</v>
      </c>
      <c r="D43" s="157">
        <v>9534.39198</v>
      </c>
      <c r="E43" s="156">
        <f t="shared" si="0"/>
        <v>99.02457409707146</v>
      </c>
      <c r="F43" s="156">
        <f t="shared" si="1"/>
        <v>-93.91701999999896</v>
      </c>
    </row>
    <row r="44" spans="1:6" ht="15.75" hidden="1">
      <c r="A44" s="163">
        <v>2022999910</v>
      </c>
      <c r="B44" s="167" t="s">
        <v>327</v>
      </c>
      <c r="C44" s="160">
        <v>0</v>
      </c>
      <c r="D44" s="157">
        <v>0</v>
      </c>
      <c r="E44" s="156" t="e">
        <f t="shared" si="0"/>
        <v>#DIV/0!</v>
      </c>
      <c r="F44" s="156">
        <f t="shared" si="1"/>
        <v>0</v>
      </c>
    </row>
    <row r="45" spans="1:6" ht="17.25" customHeight="1">
      <c r="A45" s="163">
        <v>2023000000</v>
      </c>
      <c r="B45" s="164" t="s">
        <v>207</v>
      </c>
      <c r="C45" s="160">
        <v>206.767</v>
      </c>
      <c r="D45" s="175">
        <v>188.74628</v>
      </c>
      <c r="E45" s="156">
        <f t="shared" si="0"/>
        <v>91.28452799527972</v>
      </c>
      <c r="F45" s="156">
        <f t="shared" si="1"/>
        <v>-18.020719999999983</v>
      </c>
    </row>
    <row r="46" spans="1:6" ht="20.25" customHeight="1">
      <c r="A46" s="163">
        <v>2020400000</v>
      </c>
      <c r="B46" s="164" t="s">
        <v>102</v>
      </c>
      <c r="C46" s="160">
        <v>699.105</v>
      </c>
      <c r="D46" s="176">
        <v>545.3</v>
      </c>
      <c r="E46" s="156">
        <f t="shared" si="0"/>
        <v>77.99972822394346</v>
      </c>
      <c r="F46" s="156">
        <f t="shared" si="1"/>
        <v>-153.80500000000006</v>
      </c>
    </row>
    <row r="47" spans="1:6" ht="20.25" customHeight="1">
      <c r="A47" s="154">
        <v>2070500010</v>
      </c>
      <c r="B47" s="167" t="s">
        <v>344</v>
      </c>
      <c r="C47" s="160">
        <v>390.6691</v>
      </c>
      <c r="D47" s="176">
        <v>313.6</v>
      </c>
      <c r="E47" s="156">
        <f t="shared" si="0"/>
        <v>80.27253755160058</v>
      </c>
      <c r="F47" s="156">
        <f t="shared" si="1"/>
        <v>-77.06909999999999</v>
      </c>
    </row>
    <row r="48" spans="1:6" ht="19.5" customHeight="1" hidden="1">
      <c r="A48" s="163">
        <v>2020900000</v>
      </c>
      <c r="B48" s="167" t="s">
        <v>343</v>
      </c>
      <c r="C48" s="160"/>
      <c r="D48" s="176"/>
      <c r="E48" s="156" t="e">
        <f t="shared" si="0"/>
        <v>#DIV/0!</v>
      </c>
      <c r="F48" s="156">
        <f t="shared" si="1"/>
        <v>0</v>
      </c>
    </row>
    <row r="49" spans="1:6" ht="0.75" customHeight="1" hidden="1">
      <c r="A49" s="154">
        <v>2190500005</v>
      </c>
      <c r="B49" s="159" t="s">
        <v>209</v>
      </c>
      <c r="C49" s="162"/>
      <c r="D49" s="162"/>
      <c r="E49" s="151"/>
      <c r="F49" s="151">
        <f t="shared" si="1"/>
        <v>0</v>
      </c>
    </row>
    <row r="50" spans="1:6" s="140" customFormat="1" ht="3" customHeight="1" hidden="1">
      <c r="A50" s="149">
        <v>3000000000</v>
      </c>
      <c r="B50" s="158" t="s">
        <v>210</v>
      </c>
      <c r="C50" s="304">
        <v>0</v>
      </c>
      <c r="D50" s="162">
        <v>0</v>
      </c>
      <c r="E50" s="151" t="e">
        <f>SUM(D50/C50*100)</f>
        <v>#DIV/0!</v>
      </c>
      <c r="F50" s="151">
        <f t="shared" si="1"/>
        <v>0</v>
      </c>
    </row>
    <row r="51" spans="1:7" s="140" customFormat="1" ht="17.25" customHeight="1">
      <c r="A51" s="149"/>
      <c r="B51" s="150" t="s">
        <v>211</v>
      </c>
      <c r="C51" s="289">
        <f>C39+C40</f>
        <v>16860.770099999998</v>
      </c>
      <c r="D51" s="280">
        <f>D39+D40</f>
        <v>15861.73157</v>
      </c>
      <c r="E51" s="151">
        <f>SUM(D51/C51*100)</f>
        <v>94.07477520851792</v>
      </c>
      <c r="F51" s="151">
        <f t="shared" si="1"/>
        <v>-999.038529999998</v>
      </c>
      <c r="G51" s="187"/>
    </row>
    <row r="52" spans="1:6" s="140" customFormat="1" ht="15.75">
      <c r="A52" s="149"/>
      <c r="B52" s="189" t="s">
        <v>212</v>
      </c>
      <c r="C52" s="271">
        <f>C51-C99</f>
        <v>-1028.964100000001</v>
      </c>
      <c r="D52" s="271">
        <f>D51-D99</f>
        <v>-455.6382599999997</v>
      </c>
      <c r="E52" s="191"/>
      <c r="F52" s="191"/>
    </row>
    <row r="53" spans="1:6" ht="23.25" customHeight="1">
      <c r="A53" s="192"/>
      <c r="B53" s="193"/>
      <c r="C53" s="305"/>
      <c r="D53" s="305"/>
      <c r="E53" s="250"/>
      <c r="F53" s="196"/>
    </row>
    <row r="54" spans="1:6" ht="65.25" customHeight="1">
      <c r="A54" s="197" t="s">
        <v>141</v>
      </c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19.5" customHeight="1">
      <c r="A55" s="246">
        <v>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15.75">
      <c r="A56" s="201" t="s">
        <v>33</v>
      </c>
      <c r="B56" s="202" t="s">
        <v>214</v>
      </c>
      <c r="C56" s="282">
        <f>C57+C58+C59+C60+C61+C63+C62</f>
        <v>1856.818</v>
      </c>
      <c r="D56" s="291">
        <f>D57+D58+D59+D60+D61+D63+D62</f>
        <v>1564.2360899999999</v>
      </c>
      <c r="E56" s="203">
        <f>SUM(D56/C56*100)</f>
        <v>84.24283316943286</v>
      </c>
      <c r="F56" s="203">
        <f>SUM(D56-C56)</f>
        <v>-292.5819100000001</v>
      </c>
    </row>
    <row r="57" spans="1:6" s="140" customFormat="1" ht="0.75" customHeight="1" hidden="1">
      <c r="A57" s="204" t="s">
        <v>215</v>
      </c>
      <c r="B57" s="205" t="s">
        <v>216</v>
      </c>
      <c r="C57" s="284"/>
      <c r="D57" s="284"/>
      <c r="E57" s="206"/>
      <c r="F57" s="206"/>
    </row>
    <row r="58" spans="1:6" ht="18" customHeight="1">
      <c r="A58" s="204" t="s">
        <v>217</v>
      </c>
      <c r="B58" s="207" t="s">
        <v>218</v>
      </c>
      <c r="C58" s="284">
        <v>1726.132</v>
      </c>
      <c r="D58" s="284">
        <v>1533.55009</v>
      </c>
      <c r="E58" s="206">
        <f>SUM(D58/C58*100)</f>
        <v>88.84315278321704</v>
      </c>
      <c r="F58" s="206">
        <f aca="true" t="shared" si="2" ref="F58:F70">SUM(D58-C58)</f>
        <v>-192.5819100000001</v>
      </c>
    </row>
    <row r="59" spans="1:6" ht="16.5" customHeight="1" hidden="1">
      <c r="A59" s="204" t="s">
        <v>219</v>
      </c>
      <c r="B59" s="207" t="s">
        <v>220</v>
      </c>
      <c r="C59" s="284"/>
      <c r="D59" s="284"/>
      <c r="E59" s="206"/>
      <c r="F59" s="206">
        <f t="shared" si="2"/>
        <v>0</v>
      </c>
    </row>
    <row r="60" spans="1:6" ht="31.5" customHeight="1" hidden="1">
      <c r="A60" s="204" t="s">
        <v>221</v>
      </c>
      <c r="B60" s="207" t="s">
        <v>222</v>
      </c>
      <c r="C60" s="284"/>
      <c r="D60" s="284"/>
      <c r="E60" s="206" t="e">
        <f aca="true" t="shared" si="3" ref="E60:E70">SUM(D60/C60*100)</f>
        <v>#DIV/0!</v>
      </c>
      <c r="F60" s="206">
        <f t="shared" si="2"/>
        <v>0</v>
      </c>
    </row>
    <row r="61" spans="1:6" ht="18" customHeight="1">
      <c r="A61" s="204" t="s">
        <v>223</v>
      </c>
      <c r="B61" s="207" t="s">
        <v>224</v>
      </c>
      <c r="C61" s="284"/>
      <c r="D61" s="284">
        <v>0</v>
      </c>
      <c r="E61" s="206" t="e">
        <f t="shared" si="3"/>
        <v>#DIV/0!</v>
      </c>
      <c r="F61" s="206">
        <f t="shared" si="2"/>
        <v>0</v>
      </c>
    </row>
    <row r="62" spans="1:6" ht="15.75" customHeight="1">
      <c r="A62" s="204" t="s">
        <v>225</v>
      </c>
      <c r="B62" s="207" t="s">
        <v>226</v>
      </c>
      <c r="C62" s="294">
        <v>100</v>
      </c>
      <c r="D62" s="294">
        <v>0</v>
      </c>
      <c r="E62" s="206">
        <f t="shared" si="3"/>
        <v>0</v>
      </c>
      <c r="F62" s="206">
        <f t="shared" si="2"/>
        <v>-100</v>
      </c>
    </row>
    <row r="63" spans="1:6" ht="18" customHeight="1">
      <c r="A63" s="204" t="s">
        <v>227</v>
      </c>
      <c r="B63" s="207" t="s">
        <v>228</v>
      </c>
      <c r="C63" s="284">
        <v>30.686</v>
      </c>
      <c r="D63" s="284">
        <v>30.686</v>
      </c>
      <c r="E63" s="206">
        <f t="shared" si="3"/>
        <v>100</v>
      </c>
      <c r="F63" s="206">
        <f t="shared" si="2"/>
        <v>0</v>
      </c>
    </row>
    <row r="64" spans="1:6" s="140" customFormat="1" ht="15.75">
      <c r="A64" s="209" t="s">
        <v>35</v>
      </c>
      <c r="B64" s="210" t="s">
        <v>229</v>
      </c>
      <c r="C64" s="282">
        <f>C65</f>
        <v>206.767</v>
      </c>
      <c r="D64" s="282">
        <f>D65</f>
        <v>152.34089</v>
      </c>
      <c r="E64" s="203">
        <f t="shared" si="3"/>
        <v>73.67756460170143</v>
      </c>
      <c r="F64" s="203">
        <f t="shared" si="2"/>
        <v>-54.426109999999994</v>
      </c>
    </row>
    <row r="65" spans="1:6" ht="15.75">
      <c r="A65" s="211" t="s">
        <v>230</v>
      </c>
      <c r="B65" s="212" t="s">
        <v>231</v>
      </c>
      <c r="C65" s="284">
        <v>206.767</v>
      </c>
      <c r="D65" s="284">
        <v>152.34089</v>
      </c>
      <c r="E65" s="206">
        <f t="shared" si="3"/>
        <v>73.67756460170143</v>
      </c>
      <c r="F65" s="206">
        <f t="shared" si="2"/>
        <v>-54.426109999999994</v>
      </c>
    </row>
    <row r="66" spans="1:6" s="140" customFormat="1" ht="18.75" customHeight="1">
      <c r="A66" s="201" t="s">
        <v>37</v>
      </c>
      <c r="B66" s="202" t="s">
        <v>232</v>
      </c>
      <c r="C66" s="282">
        <f>C70+C69+C68+C67+C71</f>
        <v>18.5</v>
      </c>
      <c r="D66" s="282">
        <f>SUM(D69+D70+D71)</f>
        <v>18.31148</v>
      </c>
      <c r="E66" s="203">
        <f t="shared" si="3"/>
        <v>98.98097297297296</v>
      </c>
      <c r="F66" s="203">
        <f t="shared" si="2"/>
        <v>-0.18852000000000046</v>
      </c>
    </row>
    <row r="67" spans="1:6" ht="15.75" hidden="1">
      <c r="A67" s="204" t="s">
        <v>233</v>
      </c>
      <c r="B67" s="207" t="s">
        <v>234</v>
      </c>
      <c r="C67" s="284"/>
      <c r="D67" s="284"/>
      <c r="E67" s="206" t="e">
        <f t="shared" si="3"/>
        <v>#DIV/0!</v>
      </c>
      <c r="F67" s="206">
        <f t="shared" si="2"/>
        <v>0</v>
      </c>
    </row>
    <row r="68" spans="1:6" ht="15.75" hidden="1">
      <c r="A68" s="213" t="s">
        <v>235</v>
      </c>
      <c r="B68" s="207" t="s">
        <v>317</v>
      </c>
      <c r="C68" s="284"/>
      <c r="D68" s="284"/>
      <c r="E68" s="206" t="e">
        <f t="shared" si="3"/>
        <v>#DIV/0!</v>
      </c>
      <c r="F68" s="206">
        <f t="shared" si="2"/>
        <v>0</v>
      </c>
    </row>
    <row r="69" spans="1:6" ht="15.75" customHeight="1">
      <c r="A69" s="214" t="s">
        <v>237</v>
      </c>
      <c r="B69" s="215" t="s">
        <v>238</v>
      </c>
      <c r="C69" s="284">
        <v>3</v>
      </c>
      <c r="D69" s="284">
        <v>2.81148</v>
      </c>
      <c r="E69" s="206">
        <f t="shared" si="3"/>
        <v>93.716</v>
      </c>
      <c r="F69" s="206">
        <f t="shared" si="2"/>
        <v>-0.18852000000000002</v>
      </c>
    </row>
    <row r="70" spans="1:6" ht="15.75" customHeight="1">
      <c r="A70" s="214" t="s">
        <v>239</v>
      </c>
      <c r="B70" s="215" t="s">
        <v>240</v>
      </c>
      <c r="C70" s="284">
        <v>13.5</v>
      </c>
      <c r="D70" s="284">
        <v>13.5</v>
      </c>
      <c r="E70" s="206">
        <f t="shared" si="3"/>
        <v>100</v>
      </c>
      <c r="F70" s="206">
        <f t="shared" si="2"/>
        <v>0</v>
      </c>
    </row>
    <row r="71" spans="1:6" ht="15.75" customHeight="1">
      <c r="A71" s="214" t="s">
        <v>241</v>
      </c>
      <c r="B71" s="215" t="s">
        <v>345</v>
      </c>
      <c r="C71" s="284">
        <v>2</v>
      </c>
      <c r="D71" s="284">
        <v>2</v>
      </c>
      <c r="E71" s="206"/>
      <c r="F71" s="206"/>
    </row>
    <row r="72" spans="1:6" s="140" customFormat="1" ht="15.75">
      <c r="A72" s="201" t="s">
        <v>39</v>
      </c>
      <c r="B72" s="202" t="s">
        <v>243</v>
      </c>
      <c r="C72" s="252">
        <f>SUM(C73:C76)</f>
        <v>3081.8801</v>
      </c>
      <c r="D72" s="252">
        <f>SUM(D73:D76)</f>
        <v>2939.8210999999997</v>
      </c>
      <c r="E72" s="203">
        <f aca="true" t="shared" si="4" ref="E72:E87">SUM(D72/C72*100)</f>
        <v>95.39050854054965</v>
      </c>
      <c r="F72" s="203">
        <f aca="true" t="shared" si="5" ref="F72:F88">SUM(D72-C72)</f>
        <v>-142.0590000000002</v>
      </c>
    </row>
    <row r="73" spans="1:6" ht="17.25" customHeight="1">
      <c r="A73" s="204" t="s">
        <v>246</v>
      </c>
      <c r="B73" s="207" t="s">
        <v>319</v>
      </c>
      <c r="C73" s="285"/>
      <c r="D73" s="284">
        <v>0</v>
      </c>
      <c r="E73" s="206" t="e">
        <f t="shared" si="4"/>
        <v>#DIV/0!</v>
      </c>
      <c r="F73" s="206">
        <f t="shared" si="5"/>
        <v>0</v>
      </c>
    </row>
    <row r="74" spans="1:7" s="140" customFormat="1" ht="17.25" customHeight="1">
      <c r="A74" s="204" t="s">
        <v>248</v>
      </c>
      <c r="B74" s="207" t="s">
        <v>320</v>
      </c>
      <c r="C74" s="285"/>
      <c r="D74" s="284">
        <v>0</v>
      </c>
      <c r="E74" s="206" t="e">
        <f t="shared" si="4"/>
        <v>#DIV/0!</v>
      </c>
      <c r="F74" s="206">
        <f t="shared" si="5"/>
        <v>0</v>
      </c>
      <c r="G74" s="143"/>
    </row>
    <row r="75" spans="1:6" ht="15.75">
      <c r="A75" s="204" t="s">
        <v>250</v>
      </c>
      <c r="B75" s="207" t="s">
        <v>251</v>
      </c>
      <c r="C75" s="285">
        <v>2861.4881</v>
      </c>
      <c r="D75" s="284">
        <v>2763.1211</v>
      </c>
      <c r="E75" s="206">
        <f t="shared" si="4"/>
        <v>96.56238304817691</v>
      </c>
      <c r="F75" s="206">
        <f t="shared" si="5"/>
        <v>-98.36700000000019</v>
      </c>
    </row>
    <row r="76" spans="1:6" ht="15.75">
      <c r="A76" s="204" t="s">
        <v>252</v>
      </c>
      <c r="B76" s="207" t="s">
        <v>253</v>
      </c>
      <c r="C76" s="285">
        <v>220.392</v>
      </c>
      <c r="D76" s="284">
        <v>176.7</v>
      </c>
      <c r="E76" s="206">
        <f t="shared" si="4"/>
        <v>80.17532396820211</v>
      </c>
      <c r="F76" s="206">
        <f t="shared" si="5"/>
        <v>-43.69200000000001</v>
      </c>
    </row>
    <row r="77" spans="1:6" s="140" customFormat="1" ht="18" customHeight="1">
      <c r="A77" s="201" t="s">
        <v>41</v>
      </c>
      <c r="B77" s="202" t="s">
        <v>254</v>
      </c>
      <c r="C77" s="282">
        <f>SUM(C78:C81)</f>
        <v>10627.1461</v>
      </c>
      <c r="D77" s="282">
        <f>SUM(D78:D81)</f>
        <v>9937.55127</v>
      </c>
      <c r="E77" s="203">
        <f t="shared" si="4"/>
        <v>93.51100640274439</v>
      </c>
      <c r="F77" s="203">
        <f t="shared" si="5"/>
        <v>-689.59483</v>
      </c>
    </row>
    <row r="78" spans="1:6" ht="15.75" hidden="1">
      <c r="A78" s="204" t="s">
        <v>255</v>
      </c>
      <c r="B78" s="218" t="s">
        <v>256</v>
      </c>
      <c r="C78" s="284"/>
      <c r="D78" s="284"/>
      <c r="E78" s="206" t="e">
        <f t="shared" si="4"/>
        <v>#DIV/0!</v>
      </c>
      <c r="F78" s="206">
        <f t="shared" si="5"/>
        <v>0</v>
      </c>
    </row>
    <row r="79" spans="1:6" ht="18" customHeight="1">
      <c r="A79" s="204" t="s">
        <v>257</v>
      </c>
      <c r="B79" s="218" t="s">
        <v>258</v>
      </c>
      <c r="C79" s="284">
        <v>1817.71947</v>
      </c>
      <c r="D79" s="284">
        <v>1552.09151</v>
      </c>
      <c r="E79" s="206">
        <f t="shared" si="4"/>
        <v>85.38674617376465</v>
      </c>
      <c r="F79" s="206">
        <f t="shared" si="5"/>
        <v>-265.62796000000003</v>
      </c>
    </row>
    <row r="80" spans="1:6" ht="16.5" customHeight="1">
      <c r="A80" s="204" t="s">
        <v>259</v>
      </c>
      <c r="B80" s="207" t="s">
        <v>260</v>
      </c>
      <c r="C80" s="284">
        <v>8809.42663</v>
      </c>
      <c r="D80" s="284">
        <v>8385.45976</v>
      </c>
      <c r="E80" s="206">
        <f t="shared" si="4"/>
        <v>95.18735000804473</v>
      </c>
      <c r="F80" s="206">
        <f t="shared" si="5"/>
        <v>-423.9668700000002</v>
      </c>
    </row>
    <row r="81" spans="1:6" ht="31.5" hidden="1">
      <c r="A81" s="204" t="s">
        <v>330</v>
      </c>
      <c r="B81" s="207" t="s">
        <v>353</v>
      </c>
      <c r="C81" s="284">
        <v>0</v>
      </c>
      <c r="D81" s="284">
        <v>0</v>
      </c>
      <c r="E81" s="206" t="e">
        <f t="shared" si="4"/>
        <v>#DIV/0!</v>
      </c>
      <c r="F81" s="206">
        <f t="shared" si="5"/>
        <v>0</v>
      </c>
    </row>
    <row r="82" spans="1:6" s="140" customFormat="1" ht="15.75">
      <c r="A82" s="201" t="s">
        <v>47</v>
      </c>
      <c r="B82" s="202" t="s">
        <v>275</v>
      </c>
      <c r="C82" s="282">
        <f>C83</f>
        <v>2071.553</v>
      </c>
      <c r="D82" s="282">
        <f>SUM(D83)</f>
        <v>1678.039</v>
      </c>
      <c r="E82" s="203">
        <f t="shared" si="4"/>
        <v>81.0039134890587</v>
      </c>
      <c r="F82" s="203">
        <f t="shared" si="5"/>
        <v>-393.5139999999999</v>
      </c>
    </row>
    <row r="83" spans="1:6" ht="16.5" customHeight="1">
      <c r="A83" s="204" t="s">
        <v>276</v>
      </c>
      <c r="B83" s="207" t="s">
        <v>277</v>
      </c>
      <c r="C83" s="284">
        <v>2071.553</v>
      </c>
      <c r="D83" s="284">
        <v>1678.039</v>
      </c>
      <c r="E83" s="206">
        <f t="shared" si="4"/>
        <v>81.0039134890587</v>
      </c>
      <c r="F83" s="206">
        <f t="shared" si="5"/>
        <v>-393.5139999999999</v>
      </c>
    </row>
    <row r="84" spans="1:6" s="140" customFormat="1" ht="18" customHeight="1" hidden="1">
      <c r="A84" s="219">
        <v>1000</v>
      </c>
      <c r="B84" s="202" t="s">
        <v>280</v>
      </c>
      <c r="C84" s="282">
        <f>SUM(C85:C88)</f>
        <v>0</v>
      </c>
      <c r="D84" s="282">
        <f>SUM(D85:D88)</f>
        <v>0</v>
      </c>
      <c r="E84" s="203" t="e">
        <f t="shared" si="4"/>
        <v>#DIV/0!</v>
      </c>
      <c r="F84" s="203">
        <f t="shared" si="5"/>
        <v>0</v>
      </c>
    </row>
    <row r="85" spans="1:6" ht="0.75" customHeight="1" hidden="1">
      <c r="A85" s="220">
        <v>1001</v>
      </c>
      <c r="B85" s="221" t="s">
        <v>281</v>
      </c>
      <c r="C85" s="284"/>
      <c r="D85" s="282">
        <v>0</v>
      </c>
      <c r="E85" s="206" t="e">
        <f t="shared" si="4"/>
        <v>#DIV/0!</v>
      </c>
      <c r="F85" s="206">
        <f t="shared" si="5"/>
        <v>0</v>
      </c>
    </row>
    <row r="86" spans="1:6" ht="18.75" customHeight="1" hidden="1">
      <c r="A86" s="220">
        <v>1003</v>
      </c>
      <c r="B86" s="221" t="s">
        <v>282</v>
      </c>
      <c r="C86" s="284">
        <v>0</v>
      </c>
      <c r="D86" s="282">
        <v>0</v>
      </c>
      <c r="E86" s="206" t="e">
        <f t="shared" si="4"/>
        <v>#DIV/0!</v>
      </c>
      <c r="F86" s="206">
        <f t="shared" si="5"/>
        <v>0</v>
      </c>
    </row>
    <row r="87" spans="1:6" ht="19.5" customHeight="1" hidden="1">
      <c r="A87" s="220">
        <v>1004</v>
      </c>
      <c r="B87" s="221" t="s">
        <v>283</v>
      </c>
      <c r="C87" s="284">
        <v>0</v>
      </c>
      <c r="D87" s="282">
        <v>0</v>
      </c>
      <c r="E87" s="206" t="e">
        <f t="shared" si="4"/>
        <v>#DIV/0!</v>
      </c>
      <c r="F87" s="206">
        <f t="shared" si="5"/>
        <v>0</v>
      </c>
    </row>
    <row r="88" spans="1:6" ht="18" customHeight="1" hidden="1">
      <c r="A88" s="204" t="s">
        <v>284</v>
      </c>
      <c r="B88" s="207" t="s">
        <v>285</v>
      </c>
      <c r="C88" s="284">
        <v>0</v>
      </c>
      <c r="D88" s="284">
        <v>0</v>
      </c>
      <c r="E88" s="206"/>
      <c r="F88" s="206">
        <f t="shared" si="5"/>
        <v>0</v>
      </c>
    </row>
    <row r="89" spans="1:6" ht="15.75" customHeight="1">
      <c r="A89" s="201" t="s">
        <v>51</v>
      </c>
      <c r="B89" s="202" t="s">
        <v>286</v>
      </c>
      <c r="C89" s="282">
        <f>C90+C91+C92+C93+C94</f>
        <v>27.07</v>
      </c>
      <c r="D89" s="282">
        <f>D90+D91+D92+D93+D94</f>
        <v>27.07</v>
      </c>
      <c r="E89" s="206">
        <f aca="true" t="shared" si="6" ref="E89:E99">SUM(D89/C89*100)</f>
        <v>100</v>
      </c>
      <c r="F89" s="191">
        <f>F90+F91+F92+F93+F94</f>
        <v>0</v>
      </c>
    </row>
    <row r="90" spans="1:6" ht="19.5" customHeight="1">
      <c r="A90" s="204" t="s">
        <v>287</v>
      </c>
      <c r="B90" s="207" t="s">
        <v>288</v>
      </c>
      <c r="C90" s="284">
        <v>27.07</v>
      </c>
      <c r="D90" s="284">
        <v>27.07</v>
      </c>
      <c r="E90" s="206">
        <f t="shared" si="6"/>
        <v>100</v>
      </c>
      <c r="F90" s="206">
        <f>SUM(D90-C90)</f>
        <v>0</v>
      </c>
    </row>
    <row r="91" spans="1:6" ht="15" customHeight="1" hidden="1">
      <c r="A91" s="204" t="s">
        <v>289</v>
      </c>
      <c r="B91" s="207" t="s">
        <v>290</v>
      </c>
      <c r="C91" s="284"/>
      <c r="D91" s="284"/>
      <c r="E91" s="206" t="e">
        <f t="shared" si="6"/>
        <v>#DIV/0!</v>
      </c>
      <c r="F91" s="206">
        <f>SUM(D91-C91)</f>
        <v>0</v>
      </c>
    </row>
    <row r="92" spans="1:6" ht="15" customHeight="1" hidden="1">
      <c r="A92" s="204" t="s">
        <v>291</v>
      </c>
      <c r="B92" s="207" t="s">
        <v>292</v>
      </c>
      <c r="C92" s="284"/>
      <c r="D92" s="284"/>
      <c r="E92" s="206" t="e">
        <f t="shared" si="6"/>
        <v>#DIV/0!</v>
      </c>
      <c r="F92" s="206"/>
    </row>
    <row r="93" spans="1:6" ht="15" customHeight="1" hidden="1">
      <c r="A93" s="204" t="s">
        <v>293</v>
      </c>
      <c r="B93" s="207" t="s">
        <v>294</v>
      </c>
      <c r="C93" s="284"/>
      <c r="D93" s="284"/>
      <c r="E93" s="206" t="e">
        <f t="shared" si="6"/>
        <v>#DIV/0!</v>
      </c>
      <c r="F93" s="206"/>
    </row>
    <row r="94" spans="1:6" ht="13.5" customHeight="1" hidden="1">
      <c r="A94" s="204" t="s">
        <v>295</v>
      </c>
      <c r="B94" s="207" t="s">
        <v>296</v>
      </c>
      <c r="C94" s="284"/>
      <c r="D94" s="284"/>
      <c r="E94" s="206" t="e">
        <f t="shared" si="6"/>
        <v>#DIV/0!</v>
      </c>
      <c r="F94" s="206"/>
    </row>
    <row r="95" spans="1:6" s="140" customFormat="1" ht="0.75" customHeight="1" hidden="1">
      <c r="A95" s="219">
        <v>1400</v>
      </c>
      <c r="B95" s="223" t="s">
        <v>303</v>
      </c>
      <c r="C95" s="252">
        <f>C96+C97+C98</f>
        <v>0</v>
      </c>
      <c r="D95" s="252">
        <f>SUM(D96:D98)</f>
        <v>0</v>
      </c>
      <c r="E95" s="203" t="e">
        <f t="shared" si="6"/>
        <v>#DIV/0!</v>
      </c>
      <c r="F95" s="203">
        <f>SUM(D95-C95)</f>
        <v>0</v>
      </c>
    </row>
    <row r="96" spans="1:6" ht="15" customHeight="1" hidden="1">
      <c r="A96" s="220">
        <v>1401</v>
      </c>
      <c r="B96" s="221" t="s">
        <v>304</v>
      </c>
      <c r="C96" s="285"/>
      <c r="D96" s="284"/>
      <c r="E96" s="206" t="e">
        <f t="shared" si="6"/>
        <v>#DIV/0!</v>
      </c>
      <c r="F96" s="206">
        <f>SUM(D96-C96)</f>
        <v>0</v>
      </c>
    </row>
    <row r="97" spans="1:6" ht="57.75" customHeight="1" hidden="1">
      <c r="A97" s="220">
        <v>1402</v>
      </c>
      <c r="B97" s="221" t="s">
        <v>305</v>
      </c>
      <c r="C97" s="285"/>
      <c r="D97" s="284"/>
      <c r="E97" s="206" t="e">
        <f t="shared" si="6"/>
        <v>#DIV/0!</v>
      </c>
      <c r="F97" s="206">
        <f>SUM(D97-C97)</f>
        <v>0</v>
      </c>
    </row>
    <row r="98" spans="1:6" ht="15" customHeight="1" hidden="1">
      <c r="A98" s="220">
        <v>1403</v>
      </c>
      <c r="B98" s="221" t="s">
        <v>306</v>
      </c>
      <c r="C98" s="285">
        <v>0</v>
      </c>
      <c r="D98" s="284">
        <v>0</v>
      </c>
      <c r="E98" s="206" t="e">
        <f t="shared" si="6"/>
        <v>#DIV/0!</v>
      </c>
      <c r="F98" s="206">
        <f>SUM(D98-C98)</f>
        <v>0</v>
      </c>
    </row>
    <row r="99" spans="1:6" s="140" customFormat="1" ht="16.5" customHeight="1">
      <c r="A99" s="219"/>
      <c r="B99" s="224" t="s">
        <v>307</v>
      </c>
      <c r="C99" s="279">
        <f>C56+C64+C66+C72+C77+C82+C84+C89+C95</f>
        <v>17889.7342</v>
      </c>
      <c r="D99" s="279">
        <f>D56+D64+D66+D72+D77+D82+D84+D89+D95</f>
        <v>16317.36983</v>
      </c>
      <c r="E99" s="203">
        <f t="shared" si="6"/>
        <v>91.2108008290028</v>
      </c>
      <c r="F99" s="203">
        <f>SUM(D99-C99)</f>
        <v>-1572.3643699999993</v>
      </c>
    </row>
    <row r="100" spans="3:4" ht="20.25" customHeight="1">
      <c r="C100" s="306"/>
      <c r="D100" s="307"/>
    </row>
    <row r="101" spans="1:4" s="144" customFormat="1" ht="13.5" customHeight="1">
      <c r="A101" s="229" t="s">
        <v>308</v>
      </c>
      <c r="B101" s="229"/>
      <c r="C101" s="255"/>
      <c r="D101" s="255"/>
    </row>
    <row r="102" spans="1:4" s="144" customFormat="1" ht="12.75">
      <c r="A102" s="231" t="s">
        <v>309</v>
      </c>
      <c r="B102" s="231"/>
      <c r="C102" s="299" t="s">
        <v>310</v>
      </c>
      <c r="D102" s="299"/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70" zoomScaleSheetLayoutView="70" zoomScalePageLayoutView="0" workbookViewId="0" topLeftCell="A40">
      <selection activeCell="D89" sqref="D89"/>
    </sheetView>
  </sheetViews>
  <sheetFormatPr defaultColWidth="9.140625" defaultRowHeight="12.75"/>
  <cols>
    <col min="1" max="1" width="18.00390625" style="136" customWidth="1"/>
    <col min="2" max="2" width="57.57421875" style="137" customWidth="1"/>
    <col min="3" max="3" width="16.57421875" style="138" customWidth="1"/>
    <col min="4" max="4" width="16.28125" style="138" customWidth="1"/>
    <col min="5" max="5" width="13.8515625" style="138" customWidth="1"/>
    <col min="6" max="6" width="12.5742187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8" t="s">
        <v>432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1943.65</v>
      </c>
      <c r="D4" s="151">
        <f>D5+D12+D14+D17+D7+D20</f>
        <v>1420.08582</v>
      </c>
      <c r="E4" s="151">
        <f aca="true" t="shared" si="0" ref="E4:E46">SUM(D4/C4*100)</f>
        <v>73.0628364160214</v>
      </c>
      <c r="F4" s="151">
        <f aca="true" t="shared" si="1" ref="F4:F49">SUM(D4-C4)</f>
        <v>-523.5641800000001</v>
      </c>
    </row>
    <row r="5" spans="1:6" s="140" customFormat="1" ht="15.75">
      <c r="A5" s="152">
        <v>1010000000</v>
      </c>
      <c r="B5" s="153" t="s">
        <v>146</v>
      </c>
      <c r="C5" s="151">
        <f>C6</f>
        <v>127.65</v>
      </c>
      <c r="D5" s="151">
        <f>D6</f>
        <v>137.1156</v>
      </c>
      <c r="E5" s="151">
        <f t="shared" si="0"/>
        <v>107.41527614571092</v>
      </c>
      <c r="F5" s="151">
        <f t="shared" si="1"/>
        <v>9.465599999999995</v>
      </c>
    </row>
    <row r="6" spans="1:6" ht="15.75">
      <c r="A6" s="154">
        <v>1010200001</v>
      </c>
      <c r="B6" s="155" t="s">
        <v>147</v>
      </c>
      <c r="C6" s="156">
        <v>127.65</v>
      </c>
      <c r="D6" s="157">
        <v>137.1156</v>
      </c>
      <c r="E6" s="156">
        <f t="shared" si="0"/>
        <v>107.41527614571092</v>
      </c>
      <c r="F6" s="156">
        <f t="shared" si="1"/>
        <v>9.465599999999995</v>
      </c>
    </row>
    <row r="7" spans="1:6" ht="31.5">
      <c r="A7" s="149">
        <v>1030000000</v>
      </c>
      <c r="B7" s="158" t="s">
        <v>148</v>
      </c>
      <c r="C7" s="151">
        <f>C8+C10+C9</f>
        <v>623</v>
      </c>
      <c r="D7" s="151">
        <f>D8+D10+D9+D11</f>
        <v>604.9720699999999</v>
      </c>
      <c r="E7" s="156">
        <f t="shared" si="0"/>
        <v>97.10627126805778</v>
      </c>
      <c r="F7" s="156">
        <f t="shared" si="1"/>
        <v>-18.027930000000083</v>
      </c>
    </row>
    <row r="8" spans="1:6" ht="15.75">
      <c r="A8" s="154">
        <v>1030223001</v>
      </c>
      <c r="B8" s="155" t="s">
        <v>149</v>
      </c>
      <c r="C8" s="156">
        <v>220.44</v>
      </c>
      <c r="D8" s="157">
        <v>277.29355</v>
      </c>
      <c r="E8" s="156">
        <f t="shared" si="0"/>
        <v>125.79094084558156</v>
      </c>
      <c r="F8" s="156">
        <f t="shared" si="1"/>
        <v>56.853549999999984</v>
      </c>
    </row>
    <row r="9" spans="1:6" ht="15.75">
      <c r="A9" s="154">
        <v>1030224001</v>
      </c>
      <c r="B9" s="155" t="s">
        <v>150</v>
      </c>
      <c r="C9" s="156">
        <v>2.36</v>
      </c>
      <c r="D9" s="157">
        <v>1.96691</v>
      </c>
      <c r="E9" s="156">
        <f t="shared" si="0"/>
        <v>83.3436440677966</v>
      </c>
      <c r="F9" s="156">
        <f t="shared" si="1"/>
        <v>-0.39308999999999994</v>
      </c>
    </row>
    <row r="10" spans="1:6" ht="15.75">
      <c r="A10" s="154">
        <v>1030225001</v>
      </c>
      <c r="B10" s="155" t="s">
        <v>151</v>
      </c>
      <c r="C10" s="156">
        <v>400.2</v>
      </c>
      <c r="D10" s="157">
        <v>372.69477</v>
      </c>
      <c r="E10" s="156">
        <f t="shared" si="0"/>
        <v>93.12712893553223</v>
      </c>
      <c r="F10" s="156">
        <f t="shared" si="1"/>
        <v>-27.505229999999983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-46.98316</v>
      </c>
      <c r="E11" s="156" t="e">
        <f t="shared" si="0"/>
        <v>#DIV/0!</v>
      </c>
      <c r="F11" s="156">
        <f t="shared" si="1"/>
        <v>-46.98316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90</v>
      </c>
      <c r="D12" s="151">
        <f>D13</f>
        <v>19.36608</v>
      </c>
      <c r="E12" s="151">
        <f t="shared" si="0"/>
        <v>21.517866666666666</v>
      </c>
      <c r="F12" s="151">
        <f t="shared" si="1"/>
        <v>-70.63392</v>
      </c>
    </row>
    <row r="13" spans="1:6" ht="15.75" customHeight="1">
      <c r="A13" s="154">
        <v>1050300000</v>
      </c>
      <c r="B13" s="159" t="s">
        <v>156</v>
      </c>
      <c r="C13" s="160">
        <v>90</v>
      </c>
      <c r="D13" s="157">
        <v>19.36608</v>
      </c>
      <c r="E13" s="156">
        <f t="shared" si="0"/>
        <v>21.517866666666666</v>
      </c>
      <c r="F13" s="156">
        <f t="shared" si="1"/>
        <v>-70.63392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1099</v>
      </c>
      <c r="D14" s="151">
        <f>D15+D16</f>
        <v>654.8070700000001</v>
      </c>
      <c r="E14" s="151">
        <f t="shared" si="0"/>
        <v>59.58208098271156</v>
      </c>
      <c r="F14" s="151">
        <f t="shared" si="1"/>
        <v>-444.19292999999993</v>
      </c>
    </row>
    <row r="15" spans="1:6" s="140" customFormat="1" ht="15.75" customHeight="1">
      <c r="A15" s="154">
        <v>1060100000</v>
      </c>
      <c r="B15" s="159" t="s">
        <v>159</v>
      </c>
      <c r="C15" s="156">
        <v>180</v>
      </c>
      <c r="D15" s="157">
        <v>152.04068</v>
      </c>
      <c r="E15" s="156">
        <f t="shared" si="0"/>
        <v>84.46704444444445</v>
      </c>
      <c r="F15" s="156">
        <f t="shared" si="1"/>
        <v>-27.95931999999999</v>
      </c>
    </row>
    <row r="16" spans="1:6" ht="15.75" customHeight="1">
      <c r="A16" s="154">
        <v>1060600000</v>
      </c>
      <c r="B16" s="159" t="s">
        <v>162</v>
      </c>
      <c r="C16" s="156">
        <v>919</v>
      </c>
      <c r="D16" s="157">
        <v>502.76639</v>
      </c>
      <c r="E16" s="156">
        <f t="shared" si="0"/>
        <v>54.70798585418933</v>
      </c>
      <c r="F16" s="156">
        <f t="shared" si="1"/>
        <v>-416.23361</v>
      </c>
    </row>
    <row r="17" spans="1:6" s="140" customFormat="1" ht="15.75">
      <c r="A17" s="149">
        <v>1080000000</v>
      </c>
      <c r="B17" s="150" t="s">
        <v>165</v>
      </c>
      <c r="C17" s="151">
        <f>C18+C19</f>
        <v>4</v>
      </c>
      <c r="D17" s="151">
        <f>D18+D19</f>
        <v>3.825</v>
      </c>
      <c r="E17" s="151">
        <f t="shared" si="0"/>
        <v>95.625</v>
      </c>
      <c r="F17" s="151">
        <f t="shared" si="1"/>
        <v>-0.17499999999999982</v>
      </c>
    </row>
    <row r="18" spans="1:6" ht="18" customHeight="1">
      <c r="A18" s="154">
        <v>1080400001</v>
      </c>
      <c r="B18" s="155" t="s">
        <v>167</v>
      </c>
      <c r="C18" s="156">
        <v>4</v>
      </c>
      <c r="D18" s="157">
        <v>3.825</v>
      </c>
      <c r="E18" s="156">
        <f t="shared" si="0"/>
        <v>95.625</v>
      </c>
      <c r="F18" s="156">
        <f t="shared" si="1"/>
        <v>-0.17499999999999982</v>
      </c>
    </row>
    <row r="19" spans="1:6" ht="36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2.2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24.75" customHeight="1" hidden="1">
      <c r="A21" s="154">
        <v>1090100000</v>
      </c>
      <c r="B21" s="155" t="s">
        <v>170</v>
      </c>
      <c r="C21" s="156">
        <v>0</v>
      </c>
      <c r="D21" s="157">
        <v>0</v>
      </c>
      <c r="E21" s="156" t="e">
        <f t="shared" si="0"/>
        <v>#DIV/0!</v>
      </c>
      <c r="F21" s="156">
        <f t="shared" si="1"/>
        <v>0</v>
      </c>
    </row>
    <row r="22" spans="1:6" s="141" customFormat="1" ht="18.75" customHeight="1" hidden="1">
      <c r="A22" s="154">
        <v>1090400000</v>
      </c>
      <c r="B22" s="155" t="s">
        <v>171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18" customHeight="1" hidden="1">
      <c r="A23" s="154">
        <v>1090600000</v>
      </c>
      <c r="B23" s="155" t="s">
        <v>172</v>
      </c>
      <c r="C23" s="156">
        <v>0</v>
      </c>
      <c r="D23" s="157">
        <v>0</v>
      </c>
      <c r="E23" s="156" t="e">
        <f t="shared" si="0"/>
        <v>#DIV/0!</v>
      </c>
      <c r="F23" s="156">
        <f t="shared" si="1"/>
        <v>0</v>
      </c>
    </row>
    <row r="24" spans="1:6" s="141" customFormat="1" ht="28.5" customHeight="1" hidden="1">
      <c r="A24" s="149">
        <v>1090700000</v>
      </c>
      <c r="B24" s="158" t="s">
        <v>173</v>
      </c>
      <c r="C24" s="151">
        <v>0</v>
      </c>
      <c r="D24" s="162">
        <v>0</v>
      </c>
      <c r="E24" s="156" t="e">
        <f t="shared" si="0"/>
        <v>#DIV/0!</v>
      </c>
      <c r="F24" s="156">
        <f t="shared" si="1"/>
        <v>0</v>
      </c>
    </row>
    <row r="25" spans="1:6" s="140" customFormat="1" ht="17.25" customHeight="1">
      <c r="A25" s="149"/>
      <c r="B25" s="150" t="s">
        <v>17</v>
      </c>
      <c r="C25" s="151">
        <f>C26+C29+C31+C36+C34</f>
        <v>259.5</v>
      </c>
      <c r="D25" s="151">
        <f>D26+D29+D31+D36+D34</f>
        <v>222.46505</v>
      </c>
      <c r="E25" s="151">
        <f t="shared" si="0"/>
        <v>85.7283429672447</v>
      </c>
      <c r="F25" s="151">
        <f t="shared" si="1"/>
        <v>-37.03495000000001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249.5</v>
      </c>
      <c r="D26" s="168">
        <f>D27+D28</f>
        <v>193.98928</v>
      </c>
      <c r="E26" s="151">
        <f t="shared" si="0"/>
        <v>77.75121442885772</v>
      </c>
      <c r="F26" s="151">
        <f t="shared" si="1"/>
        <v>-55.51071999999999</v>
      </c>
    </row>
    <row r="27" spans="1:6" ht="15.75">
      <c r="A27" s="163">
        <v>1110502510</v>
      </c>
      <c r="B27" s="164" t="s">
        <v>177</v>
      </c>
      <c r="C27" s="160">
        <v>242.8</v>
      </c>
      <c r="D27" s="157">
        <v>187.78</v>
      </c>
      <c r="E27" s="156">
        <f t="shared" si="0"/>
        <v>77.33937397034596</v>
      </c>
      <c r="F27" s="156">
        <f t="shared" si="1"/>
        <v>-55.02000000000001</v>
      </c>
    </row>
    <row r="28" spans="1:6" ht="18" customHeight="1">
      <c r="A28" s="154">
        <v>1110503510</v>
      </c>
      <c r="B28" s="159" t="s">
        <v>178</v>
      </c>
      <c r="C28" s="160">
        <v>6.7</v>
      </c>
      <c r="D28" s="157">
        <v>6.20928</v>
      </c>
      <c r="E28" s="156">
        <f t="shared" si="0"/>
        <v>92.67582089552238</v>
      </c>
      <c r="F28" s="156">
        <f t="shared" si="1"/>
        <v>-0.4907200000000005</v>
      </c>
    </row>
    <row r="29" spans="1:6" s="141" customFormat="1" ht="29.25">
      <c r="A29" s="152">
        <v>1130000000</v>
      </c>
      <c r="B29" s="161" t="s">
        <v>185</v>
      </c>
      <c r="C29" s="151">
        <f>C30</f>
        <v>10</v>
      </c>
      <c r="D29" s="151">
        <f>D30</f>
        <v>6.41759</v>
      </c>
      <c r="E29" s="151">
        <f t="shared" si="0"/>
        <v>64.1759</v>
      </c>
      <c r="F29" s="151">
        <f t="shared" si="1"/>
        <v>-3.5824100000000003</v>
      </c>
    </row>
    <row r="30" spans="1:6" ht="17.25" customHeight="1">
      <c r="A30" s="154">
        <v>1130206005</v>
      </c>
      <c r="B30" s="155" t="s">
        <v>187</v>
      </c>
      <c r="C30" s="156">
        <v>10</v>
      </c>
      <c r="D30" s="157">
        <v>6.41759</v>
      </c>
      <c r="E30" s="156">
        <f t="shared" si="0"/>
        <v>64.1759</v>
      </c>
      <c r="F30" s="156">
        <f t="shared" si="1"/>
        <v>-3.5824100000000003</v>
      </c>
    </row>
    <row r="31" spans="1:6" ht="28.5" hidden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15.75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5.75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7.25" customHeight="1">
      <c r="A34" s="149">
        <v>1160000000</v>
      </c>
      <c r="B34" s="158" t="s">
        <v>325</v>
      </c>
      <c r="C34" s="151">
        <f>C35</f>
        <v>0</v>
      </c>
      <c r="D34" s="151">
        <f>D35</f>
        <v>22.05818</v>
      </c>
      <c r="E34" s="156" t="e">
        <f t="shared" si="0"/>
        <v>#DIV/0!</v>
      </c>
      <c r="F34" s="156">
        <f t="shared" si="1"/>
        <v>22.05818</v>
      </c>
    </row>
    <row r="35" spans="1:6" ht="37.5" customHeight="1">
      <c r="A35" s="154">
        <v>1160701010</v>
      </c>
      <c r="B35" s="155" t="s">
        <v>354</v>
      </c>
      <c r="C35" s="156">
        <v>0</v>
      </c>
      <c r="D35" s="157">
        <v>22.05818</v>
      </c>
      <c r="E35" s="156" t="e">
        <f t="shared" si="0"/>
        <v>#DIV/0!</v>
      </c>
      <c r="F35" s="156">
        <f t="shared" si="1"/>
        <v>22.05818</v>
      </c>
    </row>
    <row r="36" spans="1:6" ht="17.2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t="shared" si="0"/>
        <v>#DIV/0!</v>
      </c>
      <c r="F36" s="151">
        <f t="shared" si="1"/>
        <v>0</v>
      </c>
    </row>
    <row r="37" spans="1:6" ht="17.25" customHeight="1">
      <c r="A37" s="154">
        <v>1170105005</v>
      </c>
      <c r="B37" s="155" t="s">
        <v>199</v>
      </c>
      <c r="C37" s="156">
        <f>C38</f>
        <v>0</v>
      </c>
      <c r="D37" s="156">
        <v>0</v>
      </c>
      <c r="E37" s="156" t="e">
        <f t="shared" si="0"/>
        <v>#DIV/0!</v>
      </c>
      <c r="F37" s="156">
        <f t="shared" si="1"/>
        <v>0</v>
      </c>
    </row>
    <row r="38" spans="1:6" ht="19.5" customHeight="1" hidden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5" customHeight="1">
      <c r="A39" s="149">
        <v>1000000000</v>
      </c>
      <c r="B39" s="150" t="s">
        <v>26</v>
      </c>
      <c r="C39" s="169">
        <f>SUM(C4,C25)</f>
        <v>2203.15</v>
      </c>
      <c r="D39" s="169">
        <f>SUM(D4,D25)</f>
        <v>1642.55087</v>
      </c>
      <c r="E39" s="151">
        <f t="shared" si="0"/>
        <v>74.55465447200599</v>
      </c>
      <c r="F39" s="151">
        <f t="shared" si="1"/>
        <v>-560.5991300000001</v>
      </c>
    </row>
    <row r="40" spans="1:7" s="140" customFormat="1" ht="15.75">
      <c r="A40" s="149">
        <v>2000000000</v>
      </c>
      <c r="B40" s="150" t="s">
        <v>201</v>
      </c>
      <c r="C40" s="241">
        <f>C41+C42+C43+C44+C48+C49</f>
        <v>19416.87593</v>
      </c>
      <c r="D40" s="241">
        <f>D41+D42+D43+D44+D48+D49+D50</f>
        <v>14136.92149</v>
      </c>
      <c r="E40" s="151">
        <f t="shared" si="0"/>
        <v>72.80739466516229</v>
      </c>
      <c r="F40" s="151">
        <f t="shared" si="1"/>
        <v>-5279.954439999998</v>
      </c>
      <c r="G40" s="171"/>
    </row>
    <row r="41" spans="1:6" ht="15.75">
      <c r="A41" s="163">
        <v>2021000000</v>
      </c>
      <c r="B41" s="164" t="s">
        <v>202</v>
      </c>
      <c r="C41" s="160">
        <v>4637.7</v>
      </c>
      <c r="D41" s="173">
        <v>4251.258</v>
      </c>
      <c r="E41" s="156">
        <f t="shared" si="0"/>
        <v>91.66737822627596</v>
      </c>
      <c r="F41" s="156">
        <f t="shared" si="1"/>
        <v>-386.442</v>
      </c>
    </row>
    <row r="42" spans="1:6" ht="17.25" customHeight="1">
      <c r="A42" s="163">
        <v>2021500200</v>
      </c>
      <c r="B42" s="164" t="s">
        <v>205</v>
      </c>
      <c r="C42" s="160">
        <v>0</v>
      </c>
      <c r="D42" s="173">
        <v>0</v>
      </c>
      <c r="E42" s="156" t="e">
        <f t="shared" si="0"/>
        <v>#DIV/0!</v>
      </c>
      <c r="F42" s="156">
        <f t="shared" si="1"/>
        <v>0</v>
      </c>
    </row>
    <row r="43" spans="1:6" ht="15.75">
      <c r="A43" s="163">
        <v>2022000000</v>
      </c>
      <c r="B43" s="164" t="s">
        <v>206</v>
      </c>
      <c r="C43" s="160">
        <v>12474.90703</v>
      </c>
      <c r="D43" s="157">
        <v>7876.55586</v>
      </c>
      <c r="E43" s="156">
        <f t="shared" si="0"/>
        <v>63.13919487382344</v>
      </c>
      <c r="F43" s="156">
        <f t="shared" si="1"/>
        <v>-4598.35117</v>
      </c>
    </row>
    <row r="44" spans="1:6" ht="18" customHeight="1">
      <c r="A44" s="163">
        <v>2023000000</v>
      </c>
      <c r="B44" s="164" t="s">
        <v>207</v>
      </c>
      <c r="C44" s="160">
        <v>206.767</v>
      </c>
      <c r="D44" s="175">
        <v>188.74628</v>
      </c>
      <c r="E44" s="156">
        <f t="shared" si="0"/>
        <v>91.28452799527972</v>
      </c>
      <c r="F44" s="156">
        <f t="shared" si="1"/>
        <v>-18.020719999999983</v>
      </c>
    </row>
    <row r="45" spans="1:6" ht="0.75" customHeight="1" hidden="1">
      <c r="A45" s="163">
        <v>2020400000</v>
      </c>
      <c r="B45" s="164" t="s">
        <v>102</v>
      </c>
      <c r="C45" s="160"/>
      <c r="D45" s="176"/>
      <c r="E45" s="156" t="e">
        <f t="shared" si="0"/>
        <v>#DIV/0!</v>
      </c>
      <c r="F45" s="156">
        <f t="shared" si="1"/>
        <v>0</v>
      </c>
    </row>
    <row r="46" spans="1:6" ht="18" customHeight="1" hidden="1">
      <c r="A46" s="163">
        <v>2020900000</v>
      </c>
      <c r="B46" s="167" t="s">
        <v>343</v>
      </c>
      <c r="C46" s="160"/>
      <c r="D46" s="176"/>
      <c r="E46" s="156" t="e">
        <f t="shared" si="0"/>
        <v>#DIV/0!</v>
      </c>
      <c r="F46" s="156">
        <f t="shared" si="1"/>
        <v>0</v>
      </c>
    </row>
    <row r="47" spans="1:6" ht="15.75" hidden="1">
      <c r="A47" s="154">
        <v>2190500005</v>
      </c>
      <c r="B47" s="159" t="s">
        <v>209</v>
      </c>
      <c r="C47" s="162"/>
      <c r="D47" s="162"/>
      <c r="E47" s="151"/>
      <c r="F47" s="151">
        <f t="shared" si="1"/>
        <v>0</v>
      </c>
    </row>
    <row r="48" spans="1:6" s="140" customFormat="1" ht="21.75" customHeight="1">
      <c r="A48" s="154">
        <v>2020400000</v>
      </c>
      <c r="B48" s="155" t="s">
        <v>102</v>
      </c>
      <c r="C48" s="160">
        <v>1890.728</v>
      </c>
      <c r="D48" s="157">
        <v>1613.58745</v>
      </c>
      <c r="E48" s="156">
        <f>SUM(D48/C48*100)</f>
        <v>85.3421248323397</v>
      </c>
      <c r="F48" s="156">
        <f t="shared" si="1"/>
        <v>-277.1405500000001</v>
      </c>
    </row>
    <row r="49" spans="1:6" s="140" customFormat="1" ht="18.75" customHeight="1">
      <c r="A49" s="154">
        <v>2070500010</v>
      </c>
      <c r="B49" s="155" t="s">
        <v>355</v>
      </c>
      <c r="C49" s="160">
        <v>206.7739</v>
      </c>
      <c r="D49" s="157">
        <v>206.7739</v>
      </c>
      <c r="E49" s="156">
        <f>SUM(D49/C49*100)</f>
        <v>100</v>
      </c>
      <c r="F49" s="156">
        <f t="shared" si="1"/>
        <v>0</v>
      </c>
    </row>
    <row r="50" spans="1:6" s="140" customFormat="1" ht="18.75" customHeight="1">
      <c r="A50" s="154">
        <v>2190500005</v>
      </c>
      <c r="B50" s="159" t="s">
        <v>209</v>
      </c>
      <c r="C50" s="160">
        <v>0</v>
      </c>
      <c r="D50" s="157">
        <v>0</v>
      </c>
      <c r="E50" s="156"/>
      <c r="F50" s="156"/>
    </row>
    <row r="51" spans="1:7" s="140" customFormat="1" ht="19.5" customHeight="1">
      <c r="A51" s="149"/>
      <c r="B51" s="150" t="s">
        <v>211</v>
      </c>
      <c r="C51" s="289">
        <f>C39+C40</f>
        <v>21620.02593</v>
      </c>
      <c r="D51" s="289">
        <f>SUM(D39,D40)</f>
        <v>15779.47236</v>
      </c>
      <c r="E51" s="151">
        <f>SUM(D51/C51*100)</f>
        <v>72.98544604474488</v>
      </c>
      <c r="F51" s="151">
        <f>SUM(D51-C51)</f>
        <v>-5840.55357</v>
      </c>
      <c r="G51" s="187"/>
    </row>
    <row r="52" spans="1:6" s="140" customFormat="1" ht="15.75">
      <c r="A52" s="149"/>
      <c r="B52" s="189" t="s">
        <v>212</v>
      </c>
      <c r="C52" s="289">
        <f>C51-C98</f>
        <v>131.80258999999933</v>
      </c>
      <c r="D52" s="289">
        <f>D51-D98</f>
        <v>679.3389700000007</v>
      </c>
      <c r="E52" s="191"/>
      <c r="F52" s="191"/>
    </row>
    <row r="53" spans="1:6" ht="15.75">
      <c r="A53" s="192"/>
      <c r="B53" s="193"/>
      <c r="C53" s="194"/>
      <c r="D53" s="194"/>
      <c r="E53" s="195"/>
      <c r="F53" s="196"/>
    </row>
    <row r="54" spans="1:6" ht="60" customHeight="1">
      <c r="A54" s="197" t="s">
        <v>141</v>
      </c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15.75">
      <c r="A55" s="246">
        <v>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29.25" customHeight="1">
      <c r="A56" s="201" t="s">
        <v>33</v>
      </c>
      <c r="B56" s="202" t="s">
        <v>214</v>
      </c>
      <c r="C56" s="282">
        <f>C57+C58+C59+C60+C61+C63+C62</f>
        <v>1713.616</v>
      </c>
      <c r="D56" s="300">
        <f>D57+D58+D59+D60+D61+D63+D62</f>
        <v>1435.14865</v>
      </c>
      <c r="E56" s="203">
        <f>SUM(D56/C56*100)</f>
        <v>83.74972280837714</v>
      </c>
      <c r="F56" s="203">
        <f>SUM(D56-C56)</f>
        <v>-278.4673499999999</v>
      </c>
    </row>
    <row r="57" spans="1:6" s="140" customFormat="1" ht="31.5" hidden="1">
      <c r="A57" s="204" t="s">
        <v>215</v>
      </c>
      <c r="B57" s="205" t="s">
        <v>216</v>
      </c>
      <c r="C57" s="284"/>
      <c r="D57" s="284"/>
      <c r="E57" s="206"/>
      <c r="F57" s="206"/>
    </row>
    <row r="58" spans="1:6" ht="15.75">
      <c r="A58" s="204" t="s">
        <v>217</v>
      </c>
      <c r="B58" s="207" t="s">
        <v>218</v>
      </c>
      <c r="C58" s="284">
        <v>1592.1</v>
      </c>
      <c r="D58" s="284">
        <v>1414.31265</v>
      </c>
      <c r="E58" s="206">
        <f>SUM(D58/C58*100)</f>
        <v>88.83315432447712</v>
      </c>
      <c r="F58" s="206">
        <f aca="true" t="shared" si="2" ref="F58:F70">SUM(D58-C58)</f>
        <v>-177.78734999999983</v>
      </c>
    </row>
    <row r="59" spans="1:6" ht="0.75" customHeight="1" hidden="1">
      <c r="A59" s="204" t="s">
        <v>219</v>
      </c>
      <c r="B59" s="207" t="s">
        <v>220</v>
      </c>
      <c r="C59" s="284"/>
      <c r="D59" s="284"/>
      <c r="E59" s="206"/>
      <c r="F59" s="206">
        <f t="shared" si="2"/>
        <v>0</v>
      </c>
    </row>
    <row r="60" spans="1:6" ht="31.5" customHeight="1" hidden="1">
      <c r="A60" s="204" t="s">
        <v>221</v>
      </c>
      <c r="B60" s="207" t="s">
        <v>222</v>
      </c>
      <c r="C60" s="284"/>
      <c r="D60" s="284"/>
      <c r="E60" s="206" t="e">
        <f aca="true" t="shared" si="3" ref="E60:E70">SUM(D60/C60*100)</f>
        <v>#DIV/0!</v>
      </c>
      <c r="F60" s="206">
        <f t="shared" si="2"/>
        <v>0</v>
      </c>
    </row>
    <row r="61" spans="1:6" ht="15.75" customHeight="1">
      <c r="A61" s="204" t="s">
        <v>223</v>
      </c>
      <c r="B61" s="207" t="s">
        <v>224</v>
      </c>
      <c r="C61" s="284"/>
      <c r="D61" s="284">
        <v>0</v>
      </c>
      <c r="E61" s="206" t="e">
        <f t="shared" si="3"/>
        <v>#DIV/0!</v>
      </c>
      <c r="F61" s="206">
        <f t="shared" si="2"/>
        <v>0</v>
      </c>
    </row>
    <row r="62" spans="1:6" ht="15.75" customHeight="1">
      <c r="A62" s="204" t="s">
        <v>225</v>
      </c>
      <c r="B62" s="207" t="s">
        <v>226</v>
      </c>
      <c r="C62" s="294">
        <v>100</v>
      </c>
      <c r="D62" s="294">
        <v>0</v>
      </c>
      <c r="E62" s="206">
        <f t="shared" si="3"/>
        <v>0</v>
      </c>
      <c r="F62" s="206">
        <f t="shared" si="2"/>
        <v>-100</v>
      </c>
    </row>
    <row r="63" spans="1:6" ht="18.75" customHeight="1">
      <c r="A63" s="204" t="s">
        <v>227</v>
      </c>
      <c r="B63" s="207" t="s">
        <v>228</v>
      </c>
      <c r="C63" s="284">
        <v>21.516</v>
      </c>
      <c r="D63" s="284">
        <v>20.836</v>
      </c>
      <c r="E63" s="206">
        <f t="shared" si="3"/>
        <v>96.83956125673917</v>
      </c>
      <c r="F63" s="206">
        <f t="shared" si="2"/>
        <v>-0.6799999999999997</v>
      </c>
    </row>
    <row r="64" spans="1:6" s="140" customFormat="1" ht="15.75">
      <c r="A64" s="209" t="s">
        <v>35</v>
      </c>
      <c r="B64" s="210" t="s">
        <v>229</v>
      </c>
      <c r="C64" s="282">
        <f>C65</f>
        <v>206.767</v>
      </c>
      <c r="D64" s="282">
        <f>D65</f>
        <v>129.99485</v>
      </c>
      <c r="E64" s="203">
        <f t="shared" si="3"/>
        <v>62.87021139736999</v>
      </c>
      <c r="F64" s="203">
        <f t="shared" si="2"/>
        <v>-76.77214999999998</v>
      </c>
    </row>
    <row r="65" spans="1:6" ht="15.75">
      <c r="A65" s="211" t="s">
        <v>230</v>
      </c>
      <c r="B65" s="212" t="s">
        <v>231</v>
      </c>
      <c r="C65" s="284">
        <v>206.767</v>
      </c>
      <c r="D65" s="284">
        <v>129.99485</v>
      </c>
      <c r="E65" s="203">
        <f t="shared" si="3"/>
        <v>62.87021139736999</v>
      </c>
      <c r="F65" s="206">
        <f t="shared" si="2"/>
        <v>-76.77214999999998</v>
      </c>
    </row>
    <row r="66" spans="1:6" s="140" customFormat="1" ht="18" customHeight="1">
      <c r="A66" s="201" t="s">
        <v>37</v>
      </c>
      <c r="B66" s="202" t="s">
        <v>232</v>
      </c>
      <c r="C66" s="282">
        <f>C69+C70+C71</f>
        <v>118.31148</v>
      </c>
      <c r="D66" s="282">
        <f>D69+D70+D71</f>
        <v>80.31148</v>
      </c>
      <c r="E66" s="203">
        <f t="shared" si="3"/>
        <v>67.88139240587641</v>
      </c>
      <c r="F66" s="203">
        <f t="shared" si="2"/>
        <v>-38</v>
      </c>
    </row>
    <row r="67" spans="1:6" ht="15.75" hidden="1">
      <c r="A67" s="204" t="s">
        <v>233</v>
      </c>
      <c r="B67" s="207" t="s">
        <v>234</v>
      </c>
      <c r="C67" s="284"/>
      <c r="D67" s="284"/>
      <c r="E67" s="203" t="e">
        <f t="shared" si="3"/>
        <v>#DIV/0!</v>
      </c>
      <c r="F67" s="203">
        <f t="shared" si="2"/>
        <v>0</v>
      </c>
    </row>
    <row r="68" spans="1:6" ht="15.75" hidden="1">
      <c r="A68" s="213" t="s">
        <v>235</v>
      </c>
      <c r="B68" s="207" t="s">
        <v>317</v>
      </c>
      <c r="C68" s="284"/>
      <c r="D68" s="284"/>
      <c r="E68" s="203" t="e">
        <f t="shared" si="3"/>
        <v>#DIV/0!</v>
      </c>
      <c r="F68" s="203">
        <f t="shared" si="2"/>
        <v>0</v>
      </c>
    </row>
    <row r="69" spans="1:6" ht="17.25" customHeight="1">
      <c r="A69" s="214" t="s">
        <v>237</v>
      </c>
      <c r="B69" s="215" t="s">
        <v>238</v>
      </c>
      <c r="C69" s="284">
        <v>2.81148</v>
      </c>
      <c r="D69" s="284">
        <v>2.81148</v>
      </c>
      <c r="E69" s="203">
        <f t="shared" si="3"/>
        <v>100</v>
      </c>
      <c r="F69" s="203">
        <f t="shared" si="2"/>
        <v>0</v>
      </c>
    </row>
    <row r="70" spans="1:6" ht="15.75" customHeight="1">
      <c r="A70" s="214" t="s">
        <v>239</v>
      </c>
      <c r="B70" s="215" t="s">
        <v>240</v>
      </c>
      <c r="C70" s="284">
        <v>113.5</v>
      </c>
      <c r="D70" s="284">
        <v>75.5</v>
      </c>
      <c r="E70" s="203">
        <f t="shared" si="3"/>
        <v>66.51982378854625</v>
      </c>
      <c r="F70" s="203">
        <f t="shared" si="2"/>
        <v>-38</v>
      </c>
    </row>
    <row r="71" spans="1:6" ht="15.75" customHeight="1">
      <c r="A71" s="214" t="s">
        <v>241</v>
      </c>
      <c r="B71" s="215" t="s">
        <v>345</v>
      </c>
      <c r="C71" s="284">
        <v>2</v>
      </c>
      <c r="D71" s="284">
        <v>2</v>
      </c>
      <c r="E71" s="203"/>
      <c r="F71" s="203"/>
    </row>
    <row r="72" spans="1:6" s="140" customFormat="1" ht="16.5" customHeight="1">
      <c r="A72" s="201" t="s">
        <v>39</v>
      </c>
      <c r="B72" s="202" t="s">
        <v>243</v>
      </c>
      <c r="C72" s="252">
        <f>C73+C74+C75+C76</f>
        <v>4475.33805</v>
      </c>
      <c r="D72" s="252">
        <f>SUM(D73:D76)</f>
        <v>4046.1106800000002</v>
      </c>
      <c r="E72" s="203">
        <f aca="true" t="shared" si="4" ref="E72:E86">SUM(D72/C72*100)</f>
        <v>90.40905144584552</v>
      </c>
      <c r="F72" s="203">
        <f aca="true" t="shared" si="5" ref="F72:F87">SUM(D72-C72)</f>
        <v>-429.22737000000006</v>
      </c>
    </row>
    <row r="73" spans="1:6" ht="15" customHeight="1">
      <c r="A73" s="204" t="s">
        <v>246</v>
      </c>
      <c r="B73" s="207" t="s">
        <v>319</v>
      </c>
      <c r="C73" s="285"/>
      <c r="D73" s="284">
        <v>0</v>
      </c>
      <c r="E73" s="206" t="e">
        <f t="shared" si="4"/>
        <v>#DIV/0!</v>
      </c>
      <c r="F73" s="206">
        <f t="shared" si="5"/>
        <v>0</v>
      </c>
    </row>
    <row r="74" spans="1:7" s="140" customFormat="1" ht="15" customHeight="1">
      <c r="A74" s="204" t="s">
        <v>248</v>
      </c>
      <c r="B74" s="207" t="s">
        <v>320</v>
      </c>
      <c r="C74" s="285"/>
      <c r="D74" s="284"/>
      <c r="E74" s="206" t="e">
        <f t="shared" si="4"/>
        <v>#DIV/0!</v>
      </c>
      <c r="F74" s="206">
        <f t="shared" si="5"/>
        <v>0</v>
      </c>
      <c r="G74" s="143"/>
    </row>
    <row r="75" spans="1:6" ht="15.75">
      <c r="A75" s="204" t="s">
        <v>250</v>
      </c>
      <c r="B75" s="207" t="s">
        <v>251</v>
      </c>
      <c r="C75" s="285">
        <v>3188.75973</v>
      </c>
      <c r="D75" s="284">
        <v>2920.04228</v>
      </c>
      <c r="E75" s="206">
        <f t="shared" si="4"/>
        <v>91.57297906543745</v>
      </c>
      <c r="F75" s="206">
        <f t="shared" si="5"/>
        <v>-268.7174500000001</v>
      </c>
    </row>
    <row r="76" spans="1:6" ht="15.75">
      <c r="A76" s="204" t="s">
        <v>252</v>
      </c>
      <c r="B76" s="207" t="s">
        <v>253</v>
      </c>
      <c r="C76" s="285">
        <v>1286.57832</v>
      </c>
      <c r="D76" s="284">
        <v>1126.0684</v>
      </c>
      <c r="E76" s="206">
        <f t="shared" si="4"/>
        <v>87.52427912822284</v>
      </c>
      <c r="F76" s="206">
        <f t="shared" si="5"/>
        <v>-160.50991999999997</v>
      </c>
    </row>
    <row r="77" spans="1:6" s="140" customFormat="1" ht="18" customHeight="1">
      <c r="A77" s="201" t="s">
        <v>41</v>
      </c>
      <c r="B77" s="202" t="s">
        <v>254</v>
      </c>
      <c r="C77" s="282">
        <f>SUM(C78:C80)</f>
        <v>12376.61781</v>
      </c>
      <c r="D77" s="282">
        <f>SUM(D78:D80)</f>
        <v>7236.68166</v>
      </c>
      <c r="E77" s="203">
        <f t="shared" si="4"/>
        <v>58.47059165188846</v>
      </c>
      <c r="F77" s="203">
        <f t="shared" si="5"/>
        <v>-5139.9361499999995</v>
      </c>
    </row>
    <row r="78" spans="1:6" ht="14.25" customHeight="1" hidden="1">
      <c r="A78" s="204" t="s">
        <v>255</v>
      </c>
      <c r="B78" s="218" t="s">
        <v>256</v>
      </c>
      <c r="C78" s="284">
        <v>0</v>
      </c>
      <c r="D78" s="284">
        <v>0</v>
      </c>
      <c r="E78" s="203" t="e">
        <f t="shared" si="4"/>
        <v>#DIV/0!</v>
      </c>
      <c r="F78" s="203">
        <f t="shared" si="5"/>
        <v>0</v>
      </c>
    </row>
    <row r="79" spans="1:6" ht="15" customHeight="1">
      <c r="A79" s="204" t="s">
        <v>257</v>
      </c>
      <c r="B79" s="218" t="s">
        <v>258</v>
      </c>
      <c r="C79" s="284">
        <v>8271.42309</v>
      </c>
      <c r="D79" s="284">
        <v>3427.01325</v>
      </c>
      <c r="E79" s="203">
        <f t="shared" si="4"/>
        <v>41.4319665758991</v>
      </c>
      <c r="F79" s="203">
        <f t="shared" si="5"/>
        <v>-4844.40984</v>
      </c>
    </row>
    <row r="80" spans="1:6" ht="15.75">
      <c r="A80" s="204" t="s">
        <v>259</v>
      </c>
      <c r="B80" s="207" t="s">
        <v>260</v>
      </c>
      <c r="C80" s="284">
        <v>4105.19472</v>
      </c>
      <c r="D80" s="284">
        <v>3809.66841</v>
      </c>
      <c r="E80" s="206">
        <f t="shared" si="4"/>
        <v>92.8011621821437</v>
      </c>
      <c r="F80" s="206">
        <f t="shared" si="5"/>
        <v>-295.5263100000002</v>
      </c>
    </row>
    <row r="81" spans="1:6" s="140" customFormat="1" ht="15.75">
      <c r="A81" s="201" t="s">
        <v>47</v>
      </c>
      <c r="B81" s="202" t="s">
        <v>275</v>
      </c>
      <c r="C81" s="282">
        <f>C82</f>
        <v>2547.573</v>
      </c>
      <c r="D81" s="282">
        <f>D82</f>
        <v>2140.80107</v>
      </c>
      <c r="E81" s="203">
        <f t="shared" si="4"/>
        <v>84.03296274532663</v>
      </c>
      <c r="F81" s="203">
        <f t="shared" si="5"/>
        <v>-406.7719299999999</v>
      </c>
    </row>
    <row r="82" spans="1:6" ht="15.75" customHeight="1">
      <c r="A82" s="204" t="s">
        <v>276</v>
      </c>
      <c r="B82" s="207" t="s">
        <v>277</v>
      </c>
      <c r="C82" s="284">
        <v>2547.573</v>
      </c>
      <c r="D82" s="284">
        <v>2140.80107</v>
      </c>
      <c r="E82" s="206">
        <f t="shared" si="4"/>
        <v>84.03296274532663</v>
      </c>
      <c r="F82" s="206">
        <f t="shared" si="5"/>
        <v>-406.7719299999999</v>
      </c>
    </row>
    <row r="83" spans="1:6" s="140" customFormat="1" ht="1.5" customHeight="1" hidden="1">
      <c r="A83" s="219">
        <v>1000</v>
      </c>
      <c r="B83" s="202" t="s">
        <v>280</v>
      </c>
      <c r="C83" s="282">
        <f>SUM(C84:C87)</f>
        <v>0</v>
      </c>
      <c r="D83" s="282">
        <f>SUM(D84:D87)</f>
        <v>0</v>
      </c>
      <c r="E83" s="203" t="e">
        <f t="shared" si="4"/>
        <v>#DIV/0!</v>
      </c>
      <c r="F83" s="203">
        <f t="shared" si="5"/>
        <v>0</v>
      </c>
    </row>
    <row r="84" spans="1:6" ht="17.25" customHeight="1" hidden="1">
      <c r="A84" s="220">
        <v>1001</v>
      </c>
      <c r="B84" s="221" t="s">
        <v>281</v>
      </c>
      <c r="C84" s="284"/>
      <c r="D84" s="284"/>
      <c r="E84" s="206" t="e">
        <f t="shared" si="4"/>
        <v>#DIV/0!</v>
      </c>
      <c r="F84" s="206">
        <f t="shared" si="5"/>
        <v>0</v>
      </c>
    </row>
    <row r="85" spans="1:6" ht="15.75" customHeight="1" hidden="1">
      <c r="A85" s="220">
        <v>1003</v>
      </c>
      <c r="B85" s="221" t="s">
        <v>282</v>
      </c>
      <c r="C85" s="284">
        <v>0</v>
      </c>
      <c r="D85" s="284">
        <v>0</v>
      </c>
      <c r="E85" s="206" t="e">
        <f t="shared" si="4"/>
        <v>#DIV/0!</v>
      </c>
      <c r="F85" s="206">
        <f t="shared" si="5"/>
        <v>0</v>
      </c>
    </row>
    <row r="86" spans="1:6" ht="17.25" customHeight="1" hidden="1">
      <c r="A86" s="220">
        <v>1004</v>
      </c>
      <c r="B86" s="221" t="s">
        <v>283</v>
      </c>
      <c r="C86" s="284"/>
      <c r="D86" s="286"/>
      <c r="E86" s="206" t="e">
        <f t="shared" si="4"/>
        <v>#DIV/0!</v>
      </c>
      <c r="F86" s="206">
        <f t="shared" si="5"/>
        <v>0</v>
      </c>
    </row>
    <row r="87" spans="1:6" ht="17.25" customHeight="1" hidden="1">
      <c r="A87" s="204" t="s">
        <v>284</v>
      </c>
      <c r="B87" s="207" t="s">
        <v>285</v>
      </c>
      <c r="C87" s="284">
        <v>0</v>
      </c>
      <c r="D87" s="284">
        <v>0</v>
      </c>
      <c r="E87" s="206"/>
      <c r="F87" s="206">
        <f t="shared" si="5"/>
        <v>0</v>
      </c>
    </row>
    <row r="88" spans="1:6" ht="15.75">
      <c r="A88" s="201" t="s">
        <v>51</v>
      </c>
      <c r="B88" s="202" t="s">
        <v>286</v>
      </c>
      <c r="C88" s="282">
        <f>C89+C90+C91+C92+C93</f>
        <v>50</v>
      </c>
      <c r="D88" s="282">
        <f>D89+D90+D91+D92+D93</f>
        <v>31.085</v>
      </c>
      <c r="E88" s="206">
        <f aca="true" t="shared" si="6" ref="E88:E98">SUM(D88/C88*100)</f>
        <v>62.17</v>
      </c>
      <c r="F88" s="191">
        <f>F89+F90+F91+F92+F93</f>
        <v>-18.915</v>
      </c>
    </row>
    <row r="89" spans="1:6" ht="18.75" customHeight="1">
      <c r="A89" s="204" t="s">
        <v>287</v>
      </c>
      <c r="B89" s="207" t="s">
        <v>288</v>
      </c>
      <c r="C89" s="284">
        <v>50</v>
      </c>
      <c r="D89" s="284">
        <v>31.085</v>
      </c>
      <c r="E89" s="206">
        <f t="shared" si="6"/>
        <v>62.17</v>
      </c>
      <c r="F89" s="206">
        <f>SUM(D89-C89)</f>
        <v>-18.915</v>
      </c>
    </row>
    <row r="90" spans="1:6" ht="15.75" customHeight="1" hidden="1">
      <c r="A90" s="204" t="s">
        <v>289</v>
      </c>
      <c r="B90" s="207" t="s">
        <v>290</v>
      </c>
      <c r="C90" s="284"/>
      <c r="D90" s="284"/>
      <c r="E90" s="206" t="e">
        <f t="shared" si="6"/>
        <v>#DIV/0!</v>
      </c>
      <c r="F90" s="206">
        <f>SUM(D90-C90)</f>
        <v>0</v>
      </c>
    </row>
    <row r="91" spans="1:6" ht="15.75" customHeight="1" hidden="1">
      <c r="A91" s="204" t="s">
        <v>291</v>
      </c>
      <c r="B91" s="207" t="s">
        <v>292</v>
      </c>
      <c r="C91" s="284"/>
      <c r="D91" s="284"/>
      <c r="E91" s="206" t="e">
        <f t="shared" si="6"/>
        <v>#DIV/0!</v>
      </c>
      <c r="F91" s="206"/>
    </row>
    <row r="92" spans="1:6" ht="15.75" customHeight="1" hidden="1">
      <c r="A92" s="204" t="s">
        <v>293</v>
      </c>
      <c r="B92" s="207" t="s">
        <v>294</v>
      </c>
      <c r="C92" s="284"/>
      <c r="D92" s="284"/>
      <c r="E92" s="206" t="e">
        <f t="shared" si="6"/>
        <v>#DIV/0!</v>
      </c>
      <c r="F92" s="206"/>
    </row>
    <row r="93" spans="1:6" ht="15.75" customHeight="1" hidden="1">
      <c r="A93" s="204" t="s">
        <v>295</v>
      </c>
      <c r="B93" s="207" t="s">
        <v>296</v>
      </c>
      <c r="C93" s="284"/>
      <c r="D93" s="284"/>
      <c r="E93" s="206" t="e">
        <f t="shared" si="6"/>
        <v>#DIV/0!</v>
      </c>
      <c r="F93" s="206"/>
    </row>
    <row r="94" spans="1:6" s="140" customFormat="1" ht="16.5" customHeight="1" hidden="1">
      <c r="A94" s="219">
        <v>1400</v>
      </c>
      <c r="B94" s="223" t="s">
        <v>303</v>
      </c>
      <c r="C94" s="252">
        <f>C95+C96+C97</f>
        <v>0</v>
      </c>
      <c r="D94" s="252">
        <f>SUM(D95:D97)</f>
        <v>0</v>
      </c>
      <c r="E94" s="203" t="e">
        <f t="shared" si="6"/>
        <v>#DIV/0!</v>
      </c>
      <c r="F94" s="203">
        <f>SUM(D94-C94)</f>
        <v>0</v>
      </c>
    </row>
    <row r="95" spans="1:6" ht="0.75" customHeight="1" hidden="1">
      <c r="A95" s="220">
        <v>1401</v>
      </c>
      <c r="B95" s="221" t="s">
        <v>304</v>
      </c>
      <c r="C95" s="285"/>
      <c r="D95" s="284"/>
      <c r="E95" s="206" t="e">
        <f t="shared" si="6"/>
        <v>#DIV/0!</v>
      </c>
      <c r="F95" s="206">
        <f>SUM(D95-C95)</f>
        <v>0</v>
      </c>
    </row>
    <row r="96" spans="1:6" ht="19.5" customHeight="1" hidden="1">
      <c r="A96" s="220">
        <v>1402</v>
      </c>
      <c r="B96" s="221" t="s">
        <v>305</v>
      </c>
      <c r="C96" s="285"/>
      <c r="D96" s="284"/>
      <c r="E96" s="206" t="e">
        <f t="shared" si="6"/>
        <v>#DIV/0!</v>
      </c>
      <c r="F96" s="206">
        <f>SUM(D96-C96)</f>
        <v>0</v>
      </c>
    </row>
    <row r="97" spans="1:6" ht="18" customHeight="1" hidden="1">
      <c r="A97" s="220">
        <v>1403</v>
      </c>
      <c r="B97" s="221" t="s">
        <v>306</v>
      </c>
      <c r="C97" s="285"/>
      <c r="D97" s="284"/>
      <c r="E97" s="206" t="e">
        <f t="shared" si="6"/>
        <v>#DIV/0!</v>
      </c>
      <c r="F97" s="206">
        <f>SUM(D97-C97)</f>
        <v>0</v>
      </c>
    </row>
    <row r="98" spans="1:7" s="140" customFormat="1" ht="15.75" customHeight="1">
      <c r="A98" s="219"/>
      <c r="B98" s="224" t="s">
        <v>307</v>
      </c>
      <c r="C98" s="279">
        <f>C56+C64+C66+C72+C77+C81+C83+C88+C94</f>
        <v>21488.22334</v>
      </c>
      <c r="D98" s="279">
        <f>D56+D64+D66+D72+D77+D81+D83+D88+D94</f>
        <v>15100.133389999999</v>
      </c>
      <c r="E98" s="203">
        <f t="shared" si="6"/>
        <v>70.2716699797667</v>
      </c>
      <c r="F98" s="203">
        <f>SUM(D98-C98)</f>
        <v>-6388.089950000001</v>
      </c>
      <c r="G98" s="187"/>
    </row>
    <row r="99" spans="3:4" ht="0.75" customHeight="1">
      <c r="C99" s="227"/>
      <c r="D99" s="228"/>
    </row>
    <row r="100" spans="1:4" s="144" customFormat="1" ht="16.5" customHeight="1">
      <c r="A100" s="229" t="s">
        <v>308</v>
      </c>
      <c r="B100" s="229"/>
      <c r="C100" s="230"/>
      <c r="D100" s="230"/>
    </row>
    <row r="101" spans="1:3" s="144" customFormat="1" ht="20.25" customHeight="1">
      <c r="A101" s="231" t="s">
        <v>309</v>
      </c>
      <c r="B101" s="231"/>
      <c r="C101" s="144" t="s">
        <v>310</v>
      </c>
    </row>
    <row r="102" ht="13.5" customHeight="1">
      <c r="C102" s="265"/>
    </row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70" zoomScaleSheetLayoutView="70" zoomScalePageLayoutView="0" workbookViewId="0" topLeftCell="A25">
      <selection activeCell="A37" sqref="A37:IV37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28125" style="138" customWidth="1"/>
    <col min="4" max="4" width="16.57421875" style="138" customWidth="1"/>
    <col min="5" max="5" width="10.28125" style="138" customWidth="1"/>
    <col min="6" max="6" width="12.140625" style="138" customWidth="1"/>
    <col min="7" max="7" width="15.421875" style="139" customWidth="1"/>
    <col min="8" max="8" width="12.00390625" style="139" customWidth="1"/>
    <col min="9" max="16384" width="9.140625" style="139" customWidth="1"/>
  </cols>
  <sheetData>
    <row r="1" spans="1:6" ht="12.75" customHeight="1">
      <c r="A1" s="468" t="s">
        <v>433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C5+C12+C14+C17+C20+C7</f>
        <v>1516.44</v>
      </c>
      <c r="D4" s="151">
        <f>D5+D12+D14+D17+D20+D7</f>
        <v>1575.09635</v>
      </c>
      <c r="E4" s="151">
        <f aca="true" t="shared" si="0" ref="E4:E51">SUM(D4/C4*100)</f>
        <v>103.86802972751971</v>
      </c>
      <c r="F4" s="151">
        <f aca="true" t="shared" si="1" ref="F4:F51">SUM(D4-C4)</f>
        <v>58.656349999999975</v>
      </c>
    </row>
    <row r="5" spans="1:6" s="140" customFormat="1" ht="15.75">
      <c r="A5" s="152">
        <v>1010000000</v>
      </c>
      <c r="B5" s="153" t="s">
        <v>146</v>
      </c>
      <c r="C5" s="151">
        <f>C6</f>
        <v>112.95</v>
      </c>
      <c r="D5" s="151">
        <f>D6</f>
        <v>126.90042</v>
      </c>
      <c r="E5" s="151">
        <f t="shared" si="0"/>
        <v>112.35096945551129</v>
      </c>
      <c r="F5" s="151">
        <f t="shared" si="1"/>
        <v>13.950419999999994</v>
      </c>
    </row>
    <row r="6" spans="1:6" ht="15.75">
      <c r="A6" s="154">
        <v>1010200001</v>
      </c>
      <c r="B6" s="155" t="s">
        <v>147</v>
      </c>
      <c r="C6" s="156">
        <v>112.95</v>
      </c>
      <c r="D6" s="157">
        <v>126.90042</v>
      </c>
      <c r="E6" s="156">
        <f t="shared" si="0"/>
        <v>112.35096945551129</v>
      </c>
      <c r="F6" s="156">
        <f t="shared" si="1"/>
        <v>13.950419999999994</v>
      </c>
    </row>
    <row r="7" spans="1:6" ht="31.5">
      <c r="A7" s="149">
        <v>1030000000</v>
      </c>
      <c r="B7" s="158" t="s">
        <v>148</v>
      </c>
      <c r="C7" s="151">
        <f>C8+C10+C9</f>
        <v>818.49</v>
      </c>
      <c r="D7" s="151">
        <f>D8+D10+D9+D11</f>
        <v>837.84826</v>
      </c>
      <c r="E7" s="151">
        <f t="shared" si="0"/>
        <v>102.36511869418075</v>
      </c>
      <c r="F7" s="151">
        <f t="shared" si="1"/>
        <v>19.358259999999973</v>
      </c>
    </row>
    <row r="8" spans="1:6" ht="15.75">
      <c r="A8" s="154">
        <v>1030223001</v>
      </c>
      <c r="B8" s="155" t="s">
        <v>149</v>
      </c>
      <c r="C8" s="156">
        <v>305.3</v>
      </c>
      <c r="D8" s="157">
        <v>384.03413</v>
      </c>
      <c r="E8" s="156">
        <f t="shared" si="0"/>
        <v>125.7891025221094</v>
      </c>
      <c r="F8" s="156">
        <f t="shared" si="1"/>
        <v>78.73413</v>
      </c>
    </row>
    <row r="9" spans="1:6" ht="15.75">
      <c r="A9" s="154">
        <v>1030224001</v>
      </c>
      <c r="B9" s="155" t="s">
        <v>150</v>
      </c>
      <c r="C9" s="156">
        <v>3.27</v>
      </c>
      <c r="D9" s="157">
        <v>2.72398</v>
      </c>
      <c r="E9" s="156">
        <f t="shared" si="0"/>
        <v>83.30214067278288</v>
      </c>
      <c r="F9" s="156">
        <f t="shared" si="1"/>
        <v>-0.54602</v>
      </c>
    </row>
    <row r="10" spans="1:6" ht="15.75">
      <c r="A10" s="154">
        <v>1030225001</v>
      </c>
      <c r="B10" s="155" t="s">
        <v>151</v>
      </c>
      <c r="C10" s="156">
        <v>509.92</v>
      </c>
      <c r="D10" s="157">
        <v>516.15888</v>
      </c>
      <c r="E10" s="156">
        <f t="shared" si="0"/>
        <v>101.22350172576088</v>
      </c>
      <c r="F10" s="156">
        <f t="shared" si="1"/>
        <v>6.238879999999938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-65.06873</v>
      </c>
      <c r="E11" s="156" t="e">
        <f t="shared" si="0"/>
        <v>#DIV/0!</v>
      </c>
      <c r="F11" s="156">
        <f t="shared" si="1"/>
        <v>-65.06873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35</v>
      </c>
      <c r="D12" s="151">
        <f>SUM(D13:D13)</f>
        <v>6.28594</v>
      </c>
      <c r="E12" s="151">
        <f t="shared" si="0"/>
        <v>17.95982857142857</v>
      </c>
      <c r="F12" s="151">
        <f t="shared" si="1"/>
        <v>-28.71406</v>
      </c>
    </row>
    <row r="13" spans="1:6" ht="15.75" customHeight="1">
      <c r="A13" s="154">
        <v>1050300000</v>
      </c>
      <c r="B13" s="159" t="s">
        <v>156</v>
      </c>
      <c r="C13" s="160">
        <v>35</v>
      </c>
      <c r="D13" s="157">
        <v>6.28594</v>
      </c>
      <c r="E13" s="156">
        <f t="shared" si="0"/>
        <v>17.95982857142857</v>
      </c>
      <c r="F13" s="156">
        <f t="shared" si="1"/>
        <v>-28.71406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542</v>
      </c>
      <c r="D14" s="151">
        <f>D15+D16</f>
        <v>600.86173</v>
      </c>
      <c r="E14" s="151">
        <f t="shared" si="0"/>
        <v>110.86009778597786</v>
      </c>
      <c r="F14" s="151">
        <f t="shared" si="1"/>
        <v>58.861729999999966</v>
      </c>
    </row>
    <row r="15" spans="1:6" s="140" customFormat="1" ht="15.75" customHeight="1">
      <c r="A15" s="154">
        <v>1060100000</v>
      </c>
      <c r="B15" s="159" t="s">
        <v>159</v>
      </c>
      <c r="C15" s="156">
        <v>160</v>
      </c>
      <c r="D15" s="157">
        <v>212.98</v>
      </c>
      <c r="E15" s="156">
        <f t="shared" si="0"/>
        <v>133.11249999999998</v>
      </c>
      <c r="F15" s="156">
        <f t="shared" si="1"/>
        <v>52.97999999999999</v>
      </c>
    </row>
    <row r="16" spans="1:6" ht="15.75" customHeight="1">
      <c r="A16" s="154">
        <v>1060600000</v>
      </c>
      <c r="B16" s="159" t="s">
        <v>162</v>
      </c>
      <c r="C16" s="156">
        <v>382</v>
      </c>
      <c r="D16" s="157">
        <v>387.88173</v>
      </c>
      <c r="E16" s="156">
        <f t="shared" si="0"/>
        <v>101.53971989528796</v>
      </c>
      <c r="F16" s="156">
        <f t="shared" si="1"/>
        <v>5.881730000000005</v>
      </c>
    </row>
    <row r="17" spans="1:6" s="140" customFormat="1" ht="15.75">
      <c r="A17" s="149">
        <v>1080000000</v>
      </c>
      <c r="B17" s="150" t="s">
        <v>165</v>
      </c>
      <c r="C17" s="151">
        <f>C18</f>
        <v>8</v>
      </c>
      <c r="D17" s="151">
        <f>D18</f>
        <v>3.2</v>
      </c>
      <c r="E17" s="151">
        <f t="shared" si="0"/>
        <v>40</v>
      </c>
      <c r="F17" s="151">
        <f t="shared" si="1"/>
        <v>-4.8</v>
      </c>
    </row>
    <row r="18" spans="1:6" ht="17.25" customHeight="1">
      <c r="A18" s="154">
        <v>1080400001</v>
      </c>
      <c r="B18" s="155" t="s">
        <v>167</v>
      </c>
      <c r="C18" s="156">
        <v>8</v>
      </c>
      <c r="D18" s="157">
        <v>3.2</v>
      </c>
      <c r="E18" s="156">
        <f t="shared" si="0"/>
        <v>40</v>
      </c>
      <c r="F18" s="156">
        <f t="shared" si="1"/>
        <v>-4.8</v>
      </c>
    </row>
    <row r="19" spans="1:6" ht="15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3.7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22.5" customHeight="1" hidden="1">
      <c r="A21" s="154">
        <v>1090100000</v>
      </c>
      <c r="B21" s="155" t="s">
        <v>170</v>
      </c>
      <c r="C21" s="156">
        <v>0</v>
      </c>
      <c r="D21" s="157">
        <v>0</v>
      </c>
      <c r="E21" s="156" t="e">
        <f t="shared" si="0"/>
        <v>#DIV/0!</v>
      </c>
      <c r="F21" s="156">
        <f t="shared" si="1"/>
        <v>0</v>
      </c>
    </row>
    <row r="22" spans="1:6" s="141" customFormat="1" ht="29.25" customHeight="1" hidden="1">
      <c r="A22" s="154">
        <v>1090400000</v>
      </c>
      <c r="B22" s="155" t="s">
        <v>341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26.25" customHeight="1" hidden="1">
      <c r="A23" s="154">
        <v>1090600000</v>
      </c>
      <c r="B23" s="155" t="s">
        <v>172</v>
      </c>
      <c r="C23" s="156">
        <v>0</v>
      </c>
      <c r="D23" s="157">
        <v>0</v>
      </c>
      <c r="E23" s="156" t="e">
        <f t="shared" si="0"/>
        <v>#DIV/0!</v>
      </c>
      <c r="F23" s="156">
        <f t="shared" si="1"/>
        <v>0</v>
      </c>
    </row>
    <row r="24" spans="1:6" s="141" customFormat="1" ht="18" customHeight="1" hidden="1">
      <c r="A24" s="154">
        <v>1090700000</v>
      </c>
      <c r="B24" s="155" t="s">
        <v>356</v>
      </c>
      <c r="C24" s="156">
        <v>0</v>
      </c>
      <c r="D24" s="157">
        <v>0</v>
      </c>
      <c r="E24" s="156" t="e">
        <f t="shared" si="0"/>
        <v>#DIV/0!</v>
      </c>
      <c r="F24" s="156">
        <f t="shared" si="1"/>
        <v>0</v>
      </c>
    </row>
    <row r="25" spans="1:6" s="140" customFormat="1" ht="15.75" customHeight="1">
      <c r="A25" s="149"/>
      <c r="B25" s="150" t="s">
        <v>17</v>
      </c>
      <c r="C25" s="151">
        <f>C26+C29+C32+C37+C35</f>
        <v>627</v>
      </c>
      <c r="D25" s="151">
        <f>D26+D29+D32+D37+D35</f>
        <v>677.22991</v>
      </c>
      <c r="E25" s="151">
        <f t="shared" si="0"/>
        <v>108.01114992025518</v>
      </c>
      <c r="F25" s="151">
        <f t="shared" si="1"/>
        <v>50.22991000000002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527</v>
      </c>
      <c r="D26" s="151">
        <f>D27+D28</f>
        <v>574.96762</v>
      </c>
      <c r="E26" s="151">
        <f t="shared" si="0"/>
        <v>109.10201518026565</v>
      </c>
      <c r="F26" s="151">
        <f t="shared" si="1"/>
        <v>47.96762000000001</v>
      </c>
    </row>
    <row r="27" spans="1:6" ht="15.75">
      <c r="A27" s="163">
        <v>1110502510</v>
      </c>
      <c r="B27" s="164" t="s">
        <v>177</v>
      </c>
      <c r="C27" s="160">
        <v>450</v>
      </c>
      <c r="D27" s="157">
        <v>516.10164</v>
      </c>
      <c r="E27" s="156">
        <f t="shared" si="0"/>
        <v>114.68925333333333</v>
      </c>
      <c r="F27" s="156">
        <f t="shared" si="1"/>
        <v>66.10163999999997</v>
      </c>
    </row>
    <row r="28" spans="1:6" ht="18" customHeight="1">
      <c r="A28" s="154">
        <v>1110503505</v>
      </c>
      <c r="B28" s="159" t="s">
        <v>178</v>
      </c>
      <c r="C28" s="160">
        <v>77</v>
      </c>
      <c r="D28" s="157">
        <v>58.86598</v>
      </c>
      <c r="E28" s="156">
        <f t="shared" si="0"/>
        <v>76.44932467532468</v>
      </c>
      <c r="F28" s="156">
        <f t="shared" si="1"/>
        <v>-18.13402</v>
      </c>
    </row>
    <row r="29" spans="1:6" s="141" customFormat="1" ht="18" customHeight="1">
      <c r="A29" s="152">
        <v>1130000000</v>
      </c>
      <c r="B29" s="161" t="s">
        <v>185</v>
      </c>
      <c r="C29" s="151">
        <f>C30+C31</f>
        <v>100</v>
      </c>
      <c r="D29" s="151">
        <f>D30+D31</f>
        <v>101.11766</v>
      </c>
      <c r="E29" s="151">
        <f t="shared" si="0"/>
        <v>101.11766</v>
      </c>
      <c r="F29" s="151">
        <f t="shared" si="1"/>
        <v>1.1176600000000008</v>
      </c>
    </row>
    <row r="30" spans="1:6" ht="15.75" customHeight="1">
      <c r="A30" s="154">
        <v>1130206510</v>
      </c>
      <c r="B30" s="155" t="s">
        <v>357</v>
      </c>
      <c r="C30" s="156">
        <v>100</v>
      </c>
      <c r="D30" s="287">
        <v>101.11766</v>
      </c>
      <c r="E30" s="156">
        <f t="shared" si="0"/>
        <v>101.11766</v>
      </c>
      <c r="F30" s="156">
        <f t="shared" si="1"/>
        <v>1.1176600000000008</v>
      </c>
    </row>
    <row r="31" spans="1:6" ht="17.25" customHeight="1">
      <c r="A31" s="154">
        <v>1130299510</v>
      </c>
      <c r="B31" s="155" t="s">
        <v>358</v>
      </c>
      <c r="C31" s="156">
        <v>0</v>
      </c>
      <c r="D31" s="287">
        <v>0</v>
      </c>
      <c r="E31" s="156" t="e">
        <f t="shared" si="0"/>
        <v>#DIV/0!</v>
      </c>
      <c r="F31" s="156">
        <f t="shared" si="1"/>
        <v>0</v>
      </c>
    </row>
    <row r="32" spans="1:6" ht="18" customHeight="1" hidden="1">
      <c r="A32" s="165">
        <v>1140000000</v>
      </c>
      <c r="B32" s="166" t="s">
        <v>188</v>
      </c>
      <c r="C32" s="151">
        <f>C33+C34</f>
        <v>0</v>
      </c>
      <c r="D32" s="151">
        <f>D33+D34</f>
        <v>0</v>
      </c>
      <c r="E32" s="151" t="e">
        <f t="shared" si="0"/>
        <v>#DIV/0!</v>
      </c>
      <c r="F32" s="151">
        <f t="shared" si="1"/>
        <v>0</v>
      </c>
    </row>
    <row r="33" spans="1:6" ht="18" customHeight="1" hidden="1">
      <c r="A33" s="163">
        <v>1140200000</v>
      </c>
      <c r="B33" s="167" t="s">
        <v>324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21.75" customHeight="1" hidden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15.75" customHeight="1">
      <c r="A35" s="149">
        <v>1160000000</v>
      </c>
      <c r="B35" s="158" t="s">
        <v>325</v>
      </c>
      <c r="C35" s="162">
        <f>C36</f>
        <v>0</v>
      </c>
      <c r="D35" s="162">
        <f>D36</f>
        <v>1.14463</v>
      </c>
      <c r="E35" s="151" t="e">
        <f t="shared" si="0"/>
        <v>#DIV/0!</v>
      </c>
      <c r="F35" s="151">
        <f t="shared" si="1"/>
        <v>1.14463</v>
      </c>
    </row>
    <row r="36" spans="1:6" ht="24.75" customHeight="1">
      <c r="A36" s="154">
        <v>1160709010</v>
      </c>
      <c r="B36" s="155" t="s">
        <v>342</v>
      </c>
      <c r="C36" s="156">
        <v>0</v>
      </c>
      <c r="D36" s="157">
        <v>1.14463</v>
      </c>
      <c r="E36" s="156" t="e">
        <f t="shared" si="0"/>
        <v>#DIV/0!</v>
      </c>
      <c r="F36" s="156">
        <f t="shared" si="1"/>
        <v>1.14463</v>
      </c>
    </row>
    <row r="37" spans="1:6" ht="15.75" customHeight="1">
      <c r="A37" s="149"/>
      <c r="B37" s="158" t="s">
        <v>198</v>
      </c>
      <c r="C37" s="151">
        <f>C38+C39</f>
        <v>0</v>
      </c>
      <c r="D37" s="151">
        <f>D38+D39</f>
        <v>0</v>
      </c>
      <c r="E37" s="151" t="e">
        <f t="shared" si="0"/>
        <v>#DIV/0!</v>
      </c>
      <c r="F37" s="151">
        <f t="shared" si="1"/>
        <v>0</v>
      </c>
    </row>
    <row r="38" spans="1:6" ht="16.5" customHeight="1">
      <c r="A38" s="154">
        <v>1170105005</v>
      </c>
      <c r="B38" s="155" t="s">
        <v>199</v>
      </c>
      <c r="C38" s="156">
        <v>0</v>
      </c>
      <c r="D38" s="156">
        <v>0</v>
      </c>
      <c r="E38" s="156" t="e">
        <f t="shared" si="0"/>
        <v>#DIV/0!</v>
      </c>
      <c r="F38" s="156">
        <f t="shared" si="1"/>
        <v>0</v>
      </c>
    </row>
    <row r="39" spans="1:6" ht="16.5" customHeight="1" hidden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0"/>
        <v>#DIV/0!</v>
      </c>
      <c r="F39" s="156">
        <f t="shared" si="1"/>
        <v>0</v>
      </c>
    </row>
    <row r="40" spans="1:6" s="140" customFormat="1" ht="15" customHeight="1">
      <c r="A40" s="149">
        <v>1000000000</v>
      </c>
      <c r="B40" s="150" t="s">
        <v>26</v>
      </c>
      <c r="C40" s="169">
        <f>SUM(C4,C25)</f>
        <v>2143.44</v>
      </c>
      <c r="D40" s="169">
        <f>D4+D25</f>
        <v>2252.32626</v>
      </c>
      <c r="E40" s="151">
        <f t="shared" si="0"/>
        <v>105.07997704624341</v>
      </c>
      <c r="F40" s="151">
        <f t="shared" si="1"/>
        <v>108.88625999999977</v>
      </c>
    </row>
    <row r="41" spans="1:7" s="140" customFormat="1" ht="15.75">
      <c r="A41" s="149">
        <v>2000000000</v>
      </c>
      <c r="B41" s="150" t="s">
        <v>201</v>
      </c>
      <c r="C41" s="241">
        <f>C42+C43+C44+C45+C46+C48</f>
        <v>6896.746299999999</v>
      </c>
      <c r="D41" s="241">
        <f>D42+D43+D44+D45+D46+D48+D49</f>
        <v>3977.26754</v>
      </c>
      <c r="E41" s="151">
        <f t="shared" si="0"/>
        <v>57.6687522926572</v>
      </c>
      <c r="F41" s="151">
        <f t="shared" si="1"/>
        <v>-2919.478759999999</v>
      </c>
      <c r="G41" s="171"/>
    </row>
    <row r="42" spans="1:6" ht="15.75">
      <c r="A42" s="163">
        <v>2021000000</v>
      </c>
      <c r="B42" s="164" t="s">
        <v>202</v>
      </c>
      <c r="C42" s="236">
        <v>2494.2</v>
      </c>
      <c r="D42" s="236">
        <v>2286.361</v>
      </c>
      <c r="E42" s="156">
        <f t="shared" si="0"/>
        <v>91.66710768984044</v>
      </c>
      <c r="F42" s="156">
        <f t="shared" si="1"/>
        <v>-207.83899999999994</v>
      </c>
    </row>
    <row r="43" spans="1:6" ht="15.75" customHeight="1">
      <c r="A43" s="163">
        <v>2021500200</v>
      </c>
      <c r="B43" s="164" t="s">
        <v>205</v>
      </c>
      <c r="C43" s="236"/>
      <c r="D43" s="173">
        <v>0</v>
      </c>
      <c r="E43" s="156" t="e">
        <f t="shared" si="0"/>
        <v>#DIV/0!</v>
      </c>
      <c r="F43" s="156">
        <f t="shared" si="1"/>
        <v>0</v>
      </c>
    </row>
    <row r="44" spans="1:6" ht="15.75">
      <c r="A44" s="163">
        <v>2022000000</v>
      </c>
      <c r="B44" s="164" t="s">
        <v>206</v>
      </c>
      <c r="C44" s="236">
        <v>3362.0408</v>
      </c>
      <c r="D44" s="157">
        <v>1207.7452</v>
      </c>
      <c r="E44" s="156">
        <f t="shared" si="0"/>
        <v>35.92297868604093</v>
      </c>
      <c r="F44" s="156">
        <f t="shared" si="1"/>
        <v>-2154.2956000000004</v>
      </c>
    </row>
    <row r="45" spans="1:6" ht="18" customHeight="1">
      <c r="A45" s="163">
        <v>2023000000</v>
      </c>
      <c r="B45" s="164" t="s">
        <v>207</v>
      </c>
      <c r="C45" s="160">
        <v>110.166</v>
      </c>
      <c r="D45" s="175">
        <v>112.19434</v>
      </c>
      <c r="E45" s="156">
        <f t="shared" si="0"/>
        <v>101.84116696621462</v>
      </c>
      <c r="F45" s="156">
        <f t="shared" si="1"/>
        <v>2.02834</v>
      </c>
    </row>
    <row r="46" spans="1:6" ht="17.25" customHeight="1">
      <c r="A46" s="163">
        <v>2020400000</v>
      </c>
      <c r="B46" s="164" t="s">
        <v>102</v>
      </c>
      <c r="C46" s="160">
        <v>573.895</v>
      </c>
      <c r="D46" s="176">
        <v>142.517</v>
      </c>
      <c r="E46" s="156">
        <f t="shared" si="0"/>
        <v>24.833288319291857</v>
      </c>
      <c r="F46" s="156">
        <f t="shared" si="1"/>
        <v>-431.378</v>
      </c>
    </row>
    <row r="47" spans="1:6" ht="17.25" customHeight="1">
      <c r="A47" s="163">
        <v>2020900000</v>
      </c>
      <c r="B47" s="167" t="s">
        <v>329</v>
      </c>
      <c r="C47" s="160">
        <v>0</v>
      </c>
      <c r="D47" s="176">
        <v>0</v>
      </c>
      <c r="E47" s="156" t="e">
        <f t="shared" si="0"/>
        <v>#DIV/0!</v>
      </c>
      <c r="F47" s="156">
        <f t="shared" si="1"/>
        <v>0</v>
      </c>
    </row>
    <row r="48" spans="1:6" ht="19.5" customHeight="1">
      <c r="A48" s="163">
        <v>2070500010</v>
      </c>
      <c r="B48" s="155" t="s">
        <v>355</v>
      </c>
      <c r="C48" s="160">
        <v>356.4445</v>
      </c>
      <c r="D48" s="176">
        <v>228.45</v>
      </c>
      <c r="E48" s="156">
        <f t="shared" si="0"/>
        <v>64.09132417529236</v>
      </c>
      <c r="F48" s="156">
        <f t="shared" si="1"/>
        <v>-127.99450000000002</v>
      </c>
    </row>
    <row r="49" spans="1:6" ht="19.5" customHeight="1">
      <c r="A49" s="154">
        <v>2190500005</v>
      </c>
      <c r="B49" s="159" t="s">
        <v>209</v>
      </c>
      <c r="C49" s="160">
        <v>0</v>
      </c>
      <c r="D49" s="176">
        <v>0</v>
      </c>
      <c r="E49" s="156" t="e">
        <f t="shared" si="0"/>
        <v>#DIV/0!</v>
      </c>
      <c r="F49" s="156">
        <f t="shared" si="1"/>
        <v>0</v>
      </c>
    </row>
    <row r="50" spans="1:6" s="140" customFormat="1" ht="0.75" customHeight="1" hidden="1">
      <c r="A50" s="149">
        <v>3000000000</v>
      </c>
      <c r="B50" s="158" t="s">
        <v>210</v>
      </c>
      <c r="C50" s="261">
        <v>0</v>
      </c>
      <c r="D50" s="162">
        <v>0</v>
      </c>
      <c r="E50" s="151" t="e">
        <f t="shared" si="0"/>
        <v>#DIV/0!</v>
      </c>
      <c r="F50" s="151">
        <f t="shared" si="1"/>
        <v>0</v>
      </c>
    </row>
    <row r="51" spans="1:8" s="140" customFormat="1" ht="19.5" customHeight="1">
      <c r="A51" s="149"/>
      <c r="B51" s="150" t="s">
        <v>211</v>
      </c>
      <c r="C51" s="289">
        <f>C40+C41</f>
        <v>9040.1863</v>
      </c>
      <c r="D51" s="289">
        <f>D40+D41</f>
        <v>6229.5938</v>
      </c>
      <c r="E51" s="271">
        <f t="shared" si="0"/>
        <v>68.91001571505224</v>
      </c>
      <c r="F51" s="271">
        <f t="shared" si="1"/>
        <v>-2810.5924999999997</v>
      </c>
      <c r="G51" s="187">
        <f>7662.29943-C51</f>
        <v>-1377.8868699999994</v>
      </c>
      <c r="H51" s="187">
        <f>1130.4405-D51</f>
        <v>-5099.1533</v>
      </c>
    </row>
    <row r="52" spans="1:6" s="140" customFormat="1" ht="15.75">
      <c r="A52" s="149"/>
      <c r="B52" s="189" t="s">
        <v>212</v>
      </c>
      <c r="C52" s="271">
        <f>C51-C98</f>
        <v>-579.0656700000018</v>
      </c>
      <c r="D52" s="271">
        <f>D51-D98</f>
        <v>61.837029999999686</v>
      </c>
      <c r="E52" s="290"/>
      <c r="F52" s="290"/>
    </row>
    <row r="53" spans="1:6" ht="15.75">
      <c r="A53" s="192"/>
      <c r="B53" s="193"/>
      <c r="C53" s="194"/>
      <c r="D53" s="194"/>
      <c r="E53" s="195"/>
      <c r="F53" s="244"/>
    </row>
    <row r="54" spans="1:6" ht="45" customHeight="1">
      <c r="A54" s="197" t="s">
        <v>141</v>
      </c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15.75">
      <c r="A55" s="246">
        <v>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18" customHeight="1">
      <c r="A56" s="201" t="s">
        <v>33</v>
      </c>
      <c r="B56" s="202" t="s">
        <v>214</v>
      </c>
      <c r="C56" s="282">
        <f>C57+C58+C59+C60+C61+C63+C62</f>
        <v>1348.7340000000002</v>
      </c>
      <c r="D56" s="291">
        <f>D57+D58+D59+D60+D61+D63+D62</f>
        <v>1189.11803</v>
      </c>
      <c r="E56" s="203">
        <f>SUM(D56/C56*100)</f>
        <v>88.16549668059082</v>
      </c>
      <c r="F56" s="203">
        <f>SUM(D56-C56)</f>
        <v>-159.61597000000006</v>
      </c>
    </row>
    <row r="57" spans="1:6" s="140" customFormat="1" ht="20.25" customHeight="1" hidden="1">
      <c r="A57" s="204" t="s">
        <v>215</v>
      </c>
      <c r="B57" s="205" t="s">
        <v>216</v>
      </c>
      <c r="C57" s="284"/>
      <c r="D57" s="284"/>
      <c r="E57" s="206"/>
      <c r="F57" s="206"/>
    </row>
    <row r="58" spans="1:6" ht="18.75" customHeight="1">
      <c r="A58" s="204" t="s">
        <v>217</v>
      </c>
      <c r="B58" s="207" t="s">
        <v>218</v>
      </c>
      <c r="C58" s="284">
        <v>1287.5</v>
      </c>
      <c r="D58" s="284">
        <v>1152.88403</v>
      </c>
      <c r="E58" s="206">
        <f>SUM(D58/C58*100)</f>
        <v>89.54439067961164</v>
      </c>
      <c r="F58" s="206">
        <f aca="true" t="shared" si="2" ref="F58:F90">SUM(D58-C58)</f>
        <v>-134.61597000000006</v>
      </c>
    </row>
    <row r="59" spans="1:6" ht="0.75" customHeight="1" hidden="1">
      <c r="A59" s="204" t="s">
        <v>219</v>
      </c>
      <c r="B59" s="207" t="s">
        <v>220</v>
      </c>
      <c r="C59" s="284"/>
      <c r="D59" s="284"/>
      <c r="E59" s="206"/>
      <c r="F59" s="206">
        <f t="shared" si="2"/>
        <v>0</v>
      </c>
    </row>
    <row r="60" spans="1:6" ht="31.5" customHeight="1" hidden="1">
      <c r="A60" s="204" t="s">
        <v>221</v>
      </c>
      <c r="B60" s="207" t="s">
        <v>222</v>
      </c>
      <c r="C60" s="284"/>
      <c r="D60" s="284"/>
      <c r="E60" s="206" t="e">
        <f aca="true" t="shared" si="3" ref="E60:E87">SUM(D60/C60*100)</f>
        <v>#DIV/0!</v>
      </c>
      <c r="F60" s="206">
        <f t="shared" si="2"/>
        <v>0</v>
      </c>
    </row>
    <row r="61" spans="1:6" ht="15" customHeight="1">
      <c r="A61" s="204" t="s">
        <v>223</v>
      </c>
      <c r="B61" s="207" t="s">
        <v>224</v>
      </c>
      <c r="C61" s="284">
        <v>8.9</v>
      </c>
      <c r="D61" s="284">
        <v>8.9</v>
      </c>
      <c r="E61" s="206">
        <f t="shared" si="3"/>
        <v>100</v>
      </c>
      <c r="F61" s="206">
        <f t="shared" si="2"/>
        <v>0</v>
      </c>
    </row>
    <row r="62" spans="1:6" ht="18" customHeight="1">
      <c r="A62" s="204" t="s">
        <v>225</v>
      </c>
      <c r="B62" s="207" t="s">
        <v>226</v>
      </c>
      <c r="C62" s="294">
        <v>25</v>
      </c>
      <c r="D62" s="294">
        <v>0</v>
      </c>
      <c r="E62" s="206">
        <f t="shared" si="3"/>
        <v>0</v>
      </c>
      <c r="F62" s="206">
        <f t="shared" si="2"/>
        <v>-25</v>
      </c>
    </row>
    <row r="63" spans="1:6" ht="15.75" customHeight="1">
      <c r="A63" s="204" t="s">
        <v>227</v>
      </c>
      <c r="B63" s="207" t="s">
        <v>228</v>
      </c>
      <c r="C63" s="284">
        <v>27.334</v>
      </c>
      <c r="D63" s="284">
        <v>27.334</v>
      </c>
      <c r="E63" s="206">
        <f t="shared" si="3"/>
        <v>100</v>
      </c>
      <c r="F63" s="206">
        <f t="shared" si="2"/>
        <v>0</v>
      </c>
    </row>
    <row r="64" spans="1:6" s="140" customFormat="1" ht="15.75">
      <c r="A64" s="209" t="s">
        <v>35</v>
      </c>
      <c r="B64" s="210" t="s">
        <v>229</v>
      </c>
      <c r="C64" s="282">
        <f>C65</f>
        <v>110.166</v>
      </c>
      <c r="D64" s="282">
        <f>D65</f>
        <v>98.61886</v>
      </c>
      <c r="E64" s="203">
        <f t="shared" si="3"/>
        <v>89.51841766062124</v>
      </c>
      <c r="F64" s="203">
        <f t="shared" si="2"/>
        <v>-11.547139999999999</v>
      </c>
    </row>
    <row r="65" spans="1:6" ht="15.75">
      <c r="A65" s="211" t="s">
        <v>230</v>
      </c>
      <c r="B65" s="212" t="s">
        <v>231</v>
      </c>
      <c r="C65" s="284">
        <v>110.166</v>
      </c>
      <c r="D65" s="284">
        <v>98.61886</v>
      </c>
      <c r="E65" s="206">
        <f t="shared" si="3"/>
        <v>89.51841766062124</v>
      </c>
      <c r="F65" s="206">
        <f t="shared" si="2"/>
        <v>-11.547139999999999</v>
      </c>
    </row>
    <row r="66" spans="1:6" s="140" customFormat="1" ht="15" customHeight="1">
      <c r="A66" s="201" t="s">
        <v>37</v>
      </c>
      <c r="B66" s="202" t="s">
        <v>232</v>
      </c>
      <c r="C66" s="282">
        <f>C69+C70+C71</f>
        <v>19.06148</v>
      </c>
      <c r="D66" s="282">
        <f>D69+D70+D71</f>
        <v>19.06148</v>
      </c>
      <c r="E66" s="203">
        <f t="shared" si="3"/>
        <v>100</v>
      </c>
      <c r="F66" s="203">
        <f t="shared" si="2"/>
        <v>0</v>
      </c>
    </row>
    <row r="67" spans="1:6" ht="15.75" hidden="1">
      <c r="A67" s="204" t="s">
        <v>233</v>
      </c>
      <c r="B67" s="207" t="s">
        <v>234</v>
      </c>
      <c r="C67" s="284"/>
      <c r="D67" s="284"/>
      <c r="E67" s="203" t="e">
        <f t="shared" si="3"/>
        <v>#DIV/0!</v>
      </c>
      <c r="F67" s="203">
        <f t="shared" si="2"/>
        <v>0</v>
      </c>
    </row>
    <row r="68" spans="1:6" ht="15.75" hidden="1">
      <c r="A68" s="213" t="s">
        <v>235</v>
      </c>
      <c r="B68" s="207" t="s">
        <v>317</v>
      </c>
      <c r="C68" s="284"/>
      <c r="D68" s="284"/>
      <c r="E68" s="203" t="e">
        <f t="shared" si="3"/>
        <v>#DIV/0!</v>
      </c>
      <c r="F68" s="203">
        <f t="shared" si="2"/>
        <v>0</v>
      </c>
    </row>
    <row r="69" spans="1:6" ht="17.25" customHeight="1">
      <c r="A69" s="214" t="s">
        <v>237</v>
      </c>
      <c r="B69" s="215" t="s">
        <v>238</v>
      </c>
      <c r="C69" s="284">
        <v>2.81148</v>
      </c>
      <c r="D69" s="284">
        <v>2.81148</v>
      </c>
      <c r="E69" s="203">
        <f t="shared" si="3"/>
        <v>100</v>
      </c>
      <c r="F69" s="203">
        <f t="shared" si="2"/>
        <v>0</v>
      </c>
    </row>
    <row r="70" spans="1:6" ht="15.75" customHeight="1">
      <c r="A70" s="214" t="s">
        <v>239</v>
      </c>
      <c r="B70" s="215" t="s">
        <v>240</v>
      </c>
      <c r="C70" s="284">
        <v>14.25</v>
      </c>
      <c r="D70" s="284">
        <v>14.25</v>
      </c>
      <c r="E70" s="203">
        <f t="shared" si="3"/>
        <v>100</v>
      </c>
      <c r="F70" s="203">
        <f t="shared" si="2"/>
        <v>0</v>
      </c>
    </row>
    <row r="71" spans="1:6" ht="15.75" customHeight="1">
      <c r="A71" s="214" t="s">
        <v>241</v>
      </c>
      <c r="B71" s="215" t="s">
        <v>345</v>
      </c>
      <c r="C71" s="284">
        <v>2</v>
      </c>
      <c r="D71" s="284">
        <v>2</v>
      </c>
      <c r="E71" s="203">
        <f t="shared" si="3"/>
        <v>100</v>
      </c>
      <c r="F71" s="203">
        <f t="shared" si="2"/>
        <v>0</v>
      </c>
    </row>
    <row r="72" spans="1:6" s="140" customFormat="1" ht="18.75" customHeight="1">
      <c r="A72" s="201" t="s">
        <v>39</v>
      </c>
      <c r="B72" s="202" t="s">
        <v>243</v>
      </c>
      <c r="C72" s="252">
        <f>SUM(C73:C77)</f>
        <v>4339.74477</v>
      </c>
      <c r="D72" s="252">
        <f>SUM(D73:D77)</f>
        <v>2406.56261</v>
      </c>
      <c r="E72" s="203">
        <f t="shared" si="3"/>
        <v>55.45401256396928</v>
      </c>
      <c r="F72" s="203">
        <f t="shared" si="2"/>
        <v>-1933.1821600000003</v>
      </c>
    </row>
    <row r="73" spans="1:6" ht="15" customHeight="1">
      <c r="A73" s="204" t="s">
        <v>246</v>
      </c>
      <c r="B73" s="207" t="s">
        <v>319</v>
      </c>
      <c r="C73" s="285"/>
      <c r="D73" s="284">
        <v>0</v>
      </c>
      <c r="E73" s="206" t="e">
        <f t="shared" si="3"/>
        <v>#DIV/0!</v>
      </c>
      <c r="F73" s="206">
        <f t="shared" si="2"/>
        <v>0</v>
      </c>
    </row>
    <row r="74" spans="1:7" s="140" customFormat="1" ht="17.25" customHeight="1">
      <c r="A74" s="204" t="s">
        <v>248</v>
      </c>
      <c r="B74" s="207" t="s">
        <v>320</v>
      </c>
      <c r="C74" s="285">
        <v>0</v>
      </c>
      <c r="D74" s="284">
        <v>0</v>
      </c>
      <c r="E74" s="206" t="e">
        <f t="shared" si="3"/>
        <v>#DIV/0!</v>
      </c>
      <c r="F74" s="206">
        <f t="shared" si="2"/>
        <v>0</v>
      </c>
      <c r="G74" s="143"/>
    </row>
    <row r="75" spans="1:7" s="140" customFormat="1" ht="15" customHeight="1" hidden="1">
      <c r="A75" s="204" t="s">
        <v>248</v>
      </c>
      <c r="B75" s="207" t="s">
        <v>320</v>
      </c>
      <c r="C75" s="285">
        <v>0</v>
      </c>
      <c r="D75" s="284">
        <v>0</v>
      </c>
      <c r="E75" s="206" t="e">
        <f t="shared" si="3"/>
        <v>#DIV/0!</v>
      </c>
      <c r="F75" s="206">
        <f t="shared" si="2"/>
        <v>0</v>
      </c>
      <c r="G75" s="143"/>
    </row>
    <row r="76" spans="1:6" ht="15.75">
      <c r="A76" s="204" t="s">
        <v>250</v>
      </c>
      <c r="B76" s="207" t="s">
        <v>251</v>
      </c>
      <c r="C76" s="285">
        <v>4153.02625</v>
      </c>
      <c r="D76" s="284">
        <v>2379.56261</v>
      </c>
      <c r="E76" s="206">
        <f t="shared" si="3"/>
        <v>57.29707607795641</v>
      </c>
      <c r="F76" s="206">
        <f t="shared" si="2"/>
        <v>-1773.46364</v>
      </c>
    </row>
    <row r="77" spans="1:6" ht="15.75">
      <c r="A77" s="204" t="s">
        <v>252</v>
      </c>
      <c r="B77" s="207" t="s">
        <v>253</v>
      </c>
      <c r="C77" s="285">
        <v>186.71852</v>
      </c>
      <c r="D77" s="284">
        <v>27</v>
      </c>
      <c r="E77" s="206">
        <f t="shared" si="3"/>
        <v>14.460268858172181</v>
      </c>
      <c r="F77" s="206">
        <f t="shared" si="2"/>
        <v>-159.71852</v>
      </c>
    </row>
    <row r="78" spans="1:6" s="140" customFormat="1" ht="17.25" customHeight="1">
      <c r="A78" s="201" t="s">
        <v>41</v>
      </c>
      <c r="B78" s="202" t="s">
        <v>254</v>
      </c>
      <c r="C78" s="282">
        <f>SUM(C79:C81)</f>
        <v>2471.44572</v>
      </c>
      <c r="D78" s="282">
        <f>SUM(D79:D81)</f>
        <v>1373.14579</v>
      </c>
      <c r="E78" s="203">
        <f t="shared" si="3"/>
        <v>55.56042679343166</v>
      </c>
      <c r="F78" s="203">
        <f t="shared" si="2"/>
        <v>-1098.2999300000001</v>
      </c>
    </row>
    <row r="79" spans="1:6" ht="15.75" hidden="1">
      <c r="A79" s="204" t="s">
        <v>255</v>
      </c>
      <c r="B79" s="218" t="s">
        <v>256</v>
      </c>
      <c r="C79" s="284"/>
      <c r="D79" s="284"/>
      <c r="E79" s="206" t="e">
        <f t="shared" si="3"/>
        <v>#DIV/0!</v>
      </c>
      <c r="F79" s="206">
        <f t="shared" si="2"/>
        <v>0</v>
      </c>
    </row>
    <row r="80" spans="1:6" ht="15.75" customHeight="1">
      <c r="A80" s="204" t="s">
        <v>257</v>
      </c>
      <c r="B80" s="218" t="s">
        <v>258</v>
      </c>
      <c r="C80" s="284">
        <v>1891.01872</v>
      </c>
      <c r="D80" s="284">
        <v>993.41771</v>
      </c>
      <c r="E80" s="206">
        <f t="shared" si="3"/>
        <v>52.53346778079489</v>
      </c>
      <c r="F80" s="206">
        <f t="shared" si="2"/>
        <v>-897.60101</v>
      </c>
    </row>
    <row r="81" spans="1:6" ht="15.75">
      <c r="A81" s="204" t="s">
        <v>259</v>
      </c>
      <c r="B81" s="207" t="s">
        <v>260</v>
      </c>
      <c r="C81" s="284">
        <v>580.427</v>
      </c>
      <c r="D81" s="284">
        <v>379.72808</v>
      </c>
      <c r="E81" s="206">
        <f t="shared" si="3"/>
        <v>65.42219435002161</v>
      </c>
      <c r="F81" s="206">
        <f t="shared" si="2"/>
        <v>-200.69892000000004</v>
      </c>
    </row>
    <row r="82" spans="1:6" s="140" customFormat="1" ht="32.25" customHeight="1">
      <c r="A82" s="201" t="s">
        <v>47</v>
      </c>
      <c r="B82" s="202" t="s">
        <v>275</v>
      </c>
      <c r="C82" s="282">
        <f>C83</f>
        <v>1328.1</v>
      </c>
      <c r="D82" s="282">
        <f>D83</f>
        <v>1081.25</v>
      </c>
      <c r="E82" s="203">
        <f t="shared" si="3"/>
        <v>81.41329719147656</v>
      </c>
      <c r="F82" s="203">
        <f t="shared" si="2"/>
        <v>-246.8499999999999</v>
      </c>
    </row>
    <row r="83" spans="1:6" ht="14.25" customHeight="1">
      <c r="A83" s="204" t="s">
        <v>276</v>
      </c>
      <c r="B83" s="207" t="s">
        <v>277</v>
      </c>
      <c r="C83" s="284">
        <v>1328.1</v>
      </c>
      <c r="D83" s="284">
        <v>1081.25</v>
      </c>
      <c r="E83" s="206">
        <f t="shared" si="3"/>
        <v>81.41329719147656</v>
      </c>
      <c r="F83" s="206">
        <f t="shared" si="2"/>
        <v>-246.8499999999999</v>
      </c>
    </row>
    <row r="84" spans="1:6" s="140" customFormat="1" ht="18.75" customHeight="1" hidden="1">
      <c r="A84" s="219">
        <v>1000</v>
      </c>
      <c r="B84" s="202" t="s">
        <v>280</v>
      </c>
      <c r="C84" s="282">
        <f>SUM(C85:C88)</f>
        <v>0</v>
      </c>
      <c r="D84" s="282">
        <f>SUM(D85:D88)</f>
        <v>0</v>
      </c>
      <c r="E84" s="203" t="e">
        <f t="shared" si="3"/>
        <v>#DIV/0!</v>
      </c>
      <c r="F84" s="203">
        <f t="shared" si="2"/>
        <v>0</v>
      </c>
    </row>
    <row r="85" spans="1:6" ht="1.5" customHeight="1" hidden="1">
      <c r="A85" s="220">
        <v>1001</v>
      </c>
      <c r="B85" s="221" t="s">
        <v>281</v>
      </c>
      <c r="C85" s="284">
        <v>0</v>
      </c>
      <c r="D85" s="284">
        <v>0</v>
      </c>
      <c r="E85" s="206" t="e">
        <f t="shared" si="3"/>
        <v>#DIV/0!</v>
      </c>
      <c r="F85" s="206">
        <f t="shared" si="2"/>
        <v>0</v>
      </c>
    </row>
    <row r="86" spans="1:6" ht="15.75" customHeight="1" hidden="1">
      <c r="A86" s="220">
        <v>1003</v>
      </c>
      <c r="B86" s="221" t="s">
        <v>282</v>
      </c>
      <c r="C86" s="284">
        <v>0</v>
      </c>
      <c r="D86" s="284">
        <v>0</v>
      </c>
      <c r="E86" s="206" t="e">
        <f t="shared" si="3"/>
        <v>#DIV/0!</v>
      </c>
      <c r="F86" s="206">
        <f t="shared" si="2"/>
        <v>0</v>
      </c>
    </row>
    <row r="87" spans="1:6" ht="16.5" customHeight="1" hidden="1">
      <c r="A87" s="220">
        <v>1004</v>
      </c>
      <c r="B87" s="221" t="s">
        <v>283</v>
      </c>
      <c r="C87" s="284"/>
      <c r="D87" s="286"/>
      <c r="E87" s="206" t="e">
        <f t="shared" si="3"/>
        <v>#DIV/0!</v>
      </c>
      <c r="F87" s="206">
        <f t="shared" si="2"/>
        <v>0</v>
      </c>
    </row>
    <row r="88" spans="1:6" ht="15" customHeight="1" hidden="1">
      <c r="A88" s="204" t="s">
        <v>284</v>
      </c>
      <c r="B88" s="207" t="s">
        <v>285</v>
      </c>
      <c r="C88" s="284">
        <v>0</v>
      </c>
      <c r="D88" s="284">
        <v>0</v>
      </c>
      <c r="E88" s="206"/>
      <c r="F88" s="206">
        <f t="shared" si="2"/>
        <v>0</v>
      </c>
    </row>
    <row r="89" spans="1:6" ht="16.5" customHeight="1" hidden="1">
      <c r="A89" s="204" t="s">
        <v>287</v>
      </c>
      <c r="B89" s="207" t="s">
        <v>288</v>
      </c>
      <c r="C89" s="284"/>
      <c r="D89" s="284">
        <v>0</v>
      </c>
      <c r="E89" s="206" t="e">
        <f aca="true" t="shared" si="4" ref="E89:E98">SUM(D89/C89*100)</f>
        <v>#DIV/0!</v>
      </c>
      <c r="F89" s="206">
        <f t="shared" si="2"/>
        <v>0</v>
      </c>
    </row>
    <row r="90" spans="1:6" ht="18.75" customHeight="1" hidden="1">
      <c r="A90" s="204" t="s">
        <v>289</v>
      </c>
      <c r="B90" s="207" t="s">
        <v>290</v>
      </c>
      <c r="C90" s="284"/>
      <c r="D90" s="284"/>
      <c r="E90" s="206" t="e">
        <f t="shared" si="4"/>
        <v>#DIV/0!</v>
      </c>
      <c r="F90" s="206">
        <f t="shared" si="2"/>
        <v>0</v>
      </c>
    </row>
    <row r="91" spans="1:6" ht="15" customHeight="1" hidden="1">
      <c r="A91" s="204" t="s">
        <v>291</v>
      </c>
      <c r="B91" s="207" t="s">
        <v>292</v>
      </c>
      <c r="C91" s="284"/>
      <c r="D91" s="284"/>
      <c r="E91" s="206" t="e">
        <f t="shared" si="4"/>
        <v>#DIV/0!</v>
      </c>
      <c r="F91" s="206"/>
    </row>
    <row r="92" spans="1:6" ht="14.25" customHeight="1" hidden="1">
      <c r="A92" s="204" t="s">
        <v>293</v>
      </c>
      <c r="B92" s="207" t="s">
        <v>294</v>
      </c>
      <c r="C92" s="284"/>
      <c r="D92" s="284"/>
      <c r="E92" s="206" t="e">
        <f t="shared" si="4"/>
        <v>#DIV/0!</v>
      </c>
      <c r="F92" s="206"/>
    </row>
    <row r="93" spans="1:6" ht="18" customHeight="1" hidden="1">
      <c r="A93" s="204" t="s">
        <v>295</v>
      </c>
      <c r="B93" s="207" t="s">
        <v>296</v>
      </c>
      <c r="C93" s="284"/>
      <c r="D93" s="284"/>
      <c r="E93" s="206" t="e">
        <f t="shared" si="4"/>
        <v>#DIV/0!</v>
      </c>
      <c r="F93" s="206"/>
    </row>
    <row r="94" spans="1:6" s="140" customFormat="1" ht="22.5" customHeight="1" hidden="1">
      <c r="A94" s="219">
        <v>1400</v>
      </c>
      <c r="B94" s="223" t="s">
        <v>303</v>
      </c>
      <c r="C94" s="252"/>
      <c r="D94" s="252">
        <v>0</v>
      </c>
      <c r="E94" s="203" t="e">
        <f t="shared" si="4"/>
        <v>#DIV/0!</v>
      </c>
      <c r="F94" s="203">
        <f>SUM(D94-C94)</f>
        <v>0</v>
      </c>
    </row>
    <row r="95" spans="1:6" ht="30" customHeight="1" hidden="1">
      <c r="A95" s="220">
        <v>1401</v>
      </c>
      <c r="B95" s="221" t="s">
        <v>304</v>
      </c>
      <c r="C95" s="285"/>
      <c r="D95" s="284"/>
      <c r="E95" s="206" t="e">
        <f t="shared" si="4"/>
        <v>#DIV/0!</v>
      </c>
      <c r="F95" s="206">
        <f>SUM(D95-C95)</f>
        <v>0</v>
      </c>
    </row>
    <row r="96" spans="1:6" ht="18" customHeight="1">
      <c r="A96" s="201" t="s">
        <v>51</v>
      </c>
      <c r="B96" s="202" t="s">
        <v>286</v>
      </c>
      <c r="C96" s="252">
        <f>C97</f>
        <v>2</v>
      </c>
      <c r="D96" s="282">
        <f>D97</f>
        <v>0</v>
      </c>
      <c r="E96" s="203">
        <f t="shared" si="4"/>
        <v>0</v>
      </c>
      <c r="F96" s="203">
        <f>SUM(D96-C96)</f>
        <v>-2</v>
      </c>
    </row>
    <row r="97" spans="1:6" ht="18" customHeight="1">
      <c r="A97" s="204" t="s">
        <v>287</v>
      </c>
      <c r="B97" s="207" t="s">
        <v>288</v>
      </c>
      <c r="C97" s="285">
        <v>2</v>
      </c>
      <c r="D97" s="284">
        <v>0</v>
      </c>
      <c r="E97" s="206">
        <f t="shared" si="4"/>
        <v>0</v>
      </c>
      <c r="F97" s="206">
        <f>SUM(D97-C97)</f>
        <v>-2</v>
      </c>
    </row>
    <row r="98" spans="1:8" s="140" customFormat="1" ht="15.75">
      <c r="A98" s="219"/>
      <c r="B98" s="224" t="s">
        <v>307</v>
      </c>
      <c r="C98" s="279">
        <f>C56+C64+C66+C72+C78+C82+C96+C84</f>
        <v>9619.251970000001</v>
      </c>
      <c r="D98" s="279">
        <f>D56+D64+D66+D72+D78+D82+D96+D84</f>
        <v>6167.75677</v>
      </c>
      <c r="E98" s="203">
        <f t="shared" si="4"/>
        <v>64.1188814809682</v>
      </c>
      <c r="F98" s="203">
        <f>SUM(D98-C98)</f>
        <v>-3451.495200000001</v>
      </c>
      <c r="G98" s="187">
        <f>8096.52307-C98</f>
        <v>-1522.728900000001</v>
      </c>
      <c r="H98" s="187">
        <f>899.25122-D98</f>
        <v>-5268.50555</v>
      </c>
    </row>
    <row r="99" spans="3:4" ht="16.5" customHeight="1">
      <c r="C99" s="227"/>
      <c r="D99" s="228"/>
    </row>
    <row r="100" spans="1:4" s="144" customFormat="1" ht="20.25" customHeight="1">
      <c r="A100" s="229" t="s">
        <v>308</v>
      </c>
      <c r="B100" s="229"/>
      <c r="C100" s="266"/>
      <c r="D100" s="255" t="s">
        <v>359</v>
      </c>
    </row>
    <row r="101" spans="1:3" s="144" customFormat="1" ht="13.5" customHeight="1">
      <c r="A101" s="231" t="s">
        <v>309</v>
      </c>
      <c r="B101" s="231"/>
      <c r="C101" s="144" t="s">
        <v>310</v>
      </c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SheetLayoutView="70" zoomScalePageLayoutView="0" workbookViewId="0" topLeftCell="A15">
      <selection activeCell="C76" sqref="C76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00390625" style="138" customWidth="1"/>
    <col min="4" max="4" width="16.00390625" style="138" customWidth="1"/>
    <col min="5" max="5" width="10.28125" style="138" customWidth="1"/>
    <col min="6" max="6" width="9.421875" style="138" customWidth="1"/>
    <col min="7" max="7" width="15.57421875" style="139" customWidth="1"/>
    <col min="8" max="8" width="13.00390625" style="139" customWidth="1"/>
    <col min="9" max="16384" width="9.140625" style="139" customWidth="1"/>
  </cols>
  <sheetData>
    <row r="1" spans="1:6" ht="12.75" customHeight="1">
      <c r="A1" s="468" t="s">
        <v>434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1266.3600000000001</v>
      </c>
      <c r="D4" s="151">
        <f>D5+D12+D14+D17+D7</f>
        <v>1013.76379</v>
      </c>
      <c r="E4" s="151">
        <f aca="true" t="shared" si="0" ref="E4:E33">SUM(D4/C4*100)</f>
        <v>80.053364761995</v>
      </c>
      <c r="F4" s="151">
        <f aca="true" t="shared" si="1" ref="F4:F33">SUM(D4-C4)</f>
        <v>-252.59621000000016</v>
      </c>
    </row>
    <row r="5" spans="1:6" s="140" customFormat="1" ht="15.75">
      <c r="A5" s="152">
        <v>1010000000</v>
      </c>
      <c r="B5" s="153" t="s">
        <v>146</v>
      </c>
      <c r="C5" s="151">
        <f>C6</f>
        <v>255.5</v>
      </c>
      <c r="D5" s="151">
        <f>D6</f>
        <v>82.75245</v>
      </c>
      <c r="E5" s="151">
        <f t="shared" si="0"/>
        <v>32.38843444227006</v>
      </c>
      <c r="F5" s="151">
        <f t="shared" si="1"/>
        <v>-172.74755</v>
      </c>
    </row>
    <row r="6" spans="1:6" ht="15.75">
      <c r="A6" s="154">
        <v>1010200001</v>
      </c>
      <c r="B6" s="155" t="s">
        <v>147</v>
      </c>
      <c r="C6" s="156">
        <v>255.5</v>
      </c>
      <c r="D6" s="157">
        <v>82.75245</v>
      </c>
      <c r="E6" s="156">
        <f t="shared" si="0"/>
        <v>32.38843444227006</v>
      </c>
      <c r="F6" s="156">
        <f t="shared" si="1"/>
        <v>-172.74755</v>
      </c>
    </row>
    <row r="7" spans="1:6" ht="31.5">
      <c r="A7" s="149">
        <v>1030000000</v>
      </c>
      <c r="B7" s="158" t="s">
        <v>148</v>
      </c>
      <c r="C7" s="151">
        <f>C8+C10+C9</f>
        <v>375.86</v>
      </c>
      <c r="D7" s="151">
        <f>D8+D10+D9+D11</f>
        <v>384.75206000000003</v>
      </c>
      <c r="E7" s="151">
        <f t="shared" si="0"/>
        <v>102.3657904538924</v>
      </c>
      <c r="F7" s="151">
        <f t="shared" si="1"/>
        <v>8.892060000000015</v>
      </c>
    </row>
    <row r="8" spans="1:6" ht="15.75">
      <c r="A8" s="154">
        <v>1030223001</v>
      </c>
      <c r="B8" s="155" t="s">
        <v>149</v>
      </c>
      <c r="C8" s="156">
        <v>140.2</v>
      </c>
      <c r="D8" s="157">
        <v>176.35405</v>
      </c>
      <c r="E8" s="156">
        <f t="shared" si="0"/>
        <v>125.78748216833098</v>
      </c>
      <c r="F8" s="156">
        <f t="shared" si="1"/>
        <v>36.15405000000001</v>
      </c>
    </row>
    <row r="9" spans="1:6" ht="15.75">
      <c r="A9" s="154">
        <v>1030224001</v>
      </c>
      <c r="B9" s="155" t="s">
        <v>150</v>
      </c>
      <c r="C9" s="156">
        <v>1.5</v>
      </c>
      <c r="D9" s="157">
        <v>1.25092</v>
      </c>
      <c r="E9" s="156">
        <f t="shared" si="0"/>
        <v>83.39466666666667</v>
      </c>
      <c r="F9" s="156">
        <f t="shared" si="1"/>
        <v>-0.24907999999999997</v>
      </c>
    </row>
    <row r="10" spans="1:6" ht="15.75">
      <c r="A10" s="154">
        <v>1030225001</v>
      </c>
      <c r="B10" s="155" t="s">
        <v>151</v>
      </c>
      <c r="C10" s="156">
        <v>234.16</v>
      </c>
      <c r="D10" s="157">
        <v>237.02766</v>
      </c>
      <c r="E10" s="156">
        <f t="shared" si="0"/>
        <v>101.22465835326273</v>
      </c>
      <c r="F10" s="156">
        <f t="shared" si="1"/>
        <v>2.8676600000000008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-29.88057</v>
      </c>
      <c r="E11" s="156" t="e">
        <f t="shared" si="0"/>
        <v>#DIV/0!</v>
      </c>
      <c r="F11" s="156">
        <f t="shared" si="1"/>
        <v>-29.88057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9.17129</v>
      </c>
      <c r="E12" s="151">
        <f t="shared" si="0"/>
        <v>91.7129</v>
      </c>
      <c r="F12" s="151">
        <f t="shared" si="1"/>
        <v>-0.8287099999999992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9.17129</v>
      </c>
      <c r="E13" s="156">
        <f t="shared" si="0"/>
        <v>91.7129</v>
      </c>
      <c r="F13" s="156">
        <f t="shared" si="1"/>
        <v>-0.8287099999999992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620</v>
      </c>
      <c r="D14" s="151">
        <f>D15+D16</f>
        <v>534.68799</v>
      </c>
      <c r="E14" s="151">
        <f t="shared" si="0"/>
        <v>86.23999838709678</v>
      </c>
      <c r="F14" s="151">
        <f t="shared" si="1"/>
        <v>-85.31200999999999</v>
      </c>
    </row>
    <row r="15" spans="1:6" s="140" customFormat="1" ht="15.75" customHeight="1">
      <c r="A15" s="154">
        <v>1060100000</v>
      </c>
      <c r="B15" s="159" t="s">
        <v>159</v>
      </c>
      <c r="C15" s="156">
        <v>230</v>
      </c>
      <c r="D15" s="157">
        <v>262.69587</v>
      </c>
      <c r="E15" s="156">
        <f t="shared" si="0"/>
        <v>114.21559565217392</v>
      </c>
      <c r="F15" s="156">
        <f t="shared" si="1"/>
        <v>32.69587000000001</v>
      </c>
    </row>
    <row r="16" spans="1:6" ht="15.75" customHeight="1">
      <c r="A16" s="154">
        <v>1060600000</v>
      </c>
      <c r="B16" s="159" t="s">
        <v>162</v>
      </c>
      <c r="C16" s="156">
        <v>390</v>
      </c>
      <c r="D16" s="157">
        <v>271.99212</v>
      </c>
      <c r="E16" s="156">
        <f t="shared" si="0"/>
        <v>69.74156923076923</v>
      </c>
      <c r="F16" s="156">
        <f t="shared" si="1"/>
        <v>-118.00788</v>
      </c>
    </row>
    <row r="17" spans="1:6" s="140" customFormat="1" ht="15.75">
      <c r="A17" s="149">
        <v>1080000000</v>
      </c>
      <c r="B17" s="150" t="s">
        <v>165</v>
      </c>
      <c r="C17" s="151">
        <f>C18</f>
        <v>5</v>
      </c>
      <c r="D17" s="151">
        <f>D18</f>
        <v>2.4</v>
      </c>
      <c r="E17" s="151">
        <f t="shared" si="0"/>
        <v>48</v>
      </c>
      <c r="F17" s="151">
        <f t="shared" si="1"/>
        <v>-2.6</v>
      </c>
    </row>
    <row r="18" spans="1:6" ht="18" customHeight="1">
      <c r="A18" s="154">
        <v>1080400001</v>
      </c>
      <c r="B18" s="155" t="s">
        <v>167</v>
      </c>
      <c r="C18" s="156">
        <v>5</v>
      </c>
      <c r="D18" s="157">
        <v>2.4</v>
      </c>
      <c r="E18" s="156">
        <f t="shared" si="0"/>
        <v>48</v>
      </c>
      <c r="F18" s="156">
        <f t="shared" si="1"/>
        <v>-2.6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7.7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0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3.5" customHeight="1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2.2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</f>
        <v>51.5</v>
      </c>
      <c r="D25" s="151">
        <f>D27+D29+D36+D34</f>
        <v>55.12879</v>
      </c>
      <c r="E25" s="151">
        <f t="shared" si="0"/>
        <v>107.04619417475729</v>
      </c>
      <c r="F25" s="151">
        <f t="shared" si="1"/>
        <v>3.628790000000002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51.5</v>
      </c>
      <c r="D26" s="151">
        <f>D27</f>
        <v>47.1976</v>
      </c>
      <c r="E26" s="151">
        <f t="shared" si="0"/>
        <v>91.64582524271844</v>
      </c>
      <c r="F26" s="151">
        <f t="shared" si="1"/>
        <v>-4.302399999999999</v>
      </c>
    </row>
    <row r="27" spans="1:6" ht="39.75" customHeight="1">
      <c r="A27" s="163">
        <v>1110502510</v>
      </c>
      <c r="B27" s="164" t="s">
        <v>177</v>
      </c>
      <c r="C27" s="160">
        <v>51.5</v>
      </c>
      <c r="D27" s="157">
        <v>47.1976</v>
      </c>
      <c r="E27" s="156">
        <f t="shared" si="0"/>
        <v>91.64582524271844</v>
      </c>
      <c r="F27" s="156">
        <f t="shared" si="1"/>
        <v>-4.302399999999999</v>
      </c>
    </row>
    <row r="28" spans="1:6" ht="0.75" customHeight="1" hidden="1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30.75" customHeight="1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21.75" customHeight="1">
      <c r="A30" s="154">
        <v>1130305005</v>
      </c>
      <c r="B30" s="155" t="s">
        <v>333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19.5" customHeight="1">
      <c r="A31" s="165">
        <v>1140000000</v>
      </c>
      <c r="B31" s="166" t="s">
        <v>188</v>
      </c>
      <c r="C31" s="151">
        <f>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20.25" customHeight="1">
      <c r="A32" s="163">
        <v>1140200000</v>
      </c>
      <c r="B32" s="167" t="s">
        <v>324</v>
      </c>
      <c r="C32" s="156"/>
      <c r="D32" s="157"/>
      <c r="E32" s="156" t="e">
        <f t="shared" si="0"/>
        <v>#DIV/0!</v>
      </c>
      <c r="F32" s="156">
        <f t="shared" si="1"/>
        <v>0</v>
      </c>
    </row>
    <row r="33" spans="1:6" ht="20.2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s="140" customFormat="1" ht="20.25" customHeight="1">
      <c r="A34" s="149">
        <v>1160000000</v>
      </c>
      <c r="B34" s="158" t="s">
        <v>360</v>
      </c>
      <c r="C34" s="151"/>
      <c r="D34" s="162">
        <f>SUM(D35)</f>
        <v>7.93119</v>
      </c>
      <c r="E34" s="151"/>
      <c r="F34" s="151"/>
    </row>
    <row r="35" spans="1:6" ht="20.25" customHeight="1">
      <c r="A35" s="154">
        <v>1160701010</v>
      </c>
      <c r="B35" s="155" t="s">
        <v>361</v>
      </c>
      <c r="C35" s="156"/>
      <c r="D35" s="157">
        <v>7.93119</v>
      </c>
      <c r="E35" s="156"/>
      <c r="F35" s="156"/>
    </row>
    <row r="36" spans="1:6" ht="18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aca="true" t="shared" si="2" ref="E36:E47">SUM(D36/C36*100)</f>
        <v>#DIV/0!</v>
      </c>
      <c r="F36" s="151">
        <f aca="true" t="shared" si="3" ref="F36:F49">SUM(D36-C36)</f>
        <v>0</v>
      </c>
    </row>
    <row r="37" spans="1:6" ht="19.5" customHeight="1">
      <c r="A37" s="154">
        <v>1170105005</v>
      </c>
      <c r="B37" s="155" t="s">
        <v>199</v>
      </c>
      <c r="C37" s="156">
        <v>0</v>
      </c>
      <c r="D37" s="156">
        <v>0</v>
      </c>
      <c r="E37" s="156" t="e">
        <f t="shared" si="2"/>
        <v>#DIV/0!</v>
      </c>
      <c r="F37" s="156">
        <f t="shared" si="3"/>
        <v>0</v>
      </c>
    </row>
    <row r="38" spans="1:6" ht="21.75" customHeight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2"/>
        <v>#DIV/0!</v>
      </c>
      <c r="F38" s="156">
        <f t="shared" si="3"/>
        <v>0</v>
      </c>
    </row>
    <row r="39" spans="1:6" s="140" customFormat="1" ht="18.75" customHeight="1">
      <c r="A39" s="149">
        <v>1000000000</v>
      </c>
      <c r="B39" s="150" t="s">
        <v>26</v>
      </c>
      <c r="C39" s="169">
        <f>SUM(C4,C25)</f>
        <v>1317.8600000000001</v>
      </c>
      <c r="D39" s="169">
        <f>D4+D25</f>
        <v>1068.89258</v>
      </c>
      <c r="E39" s="151">
        <f t="shared" si="2"/>
        <v>81.10820420985536</v>
      </c>
      <c r="F39" s="151">
        <f t="shared" si="3"/>
        <v>-248.96742000000017</v>
      </c>
    </row>
    <row r="40" spans="1:7" s="140" customFormat="1" ht="15.75">
      <c r="A40" s="149">
        <v>2000000000</v>
      </c>
      <c r="B40" s="150" t="s">
        <v>201</v>
      </c>
      <c r="C40" s="151">
        <f>C41+C43+C44+C45+C46+C47</f>
        <v>7249.765579999999</v>
      </c>
      <c r="D40" s="241">
        <f>D41+D43+D44+D45+D47+D46</f>
        <v>6990.03982</v>
      </c>
      <c r="E40" s="151">
        <f t="shared" si="2"/>
        <v>96.41745988702715</v>
      </c>
      <c r="F40" s="151">
        <f t="shared" si="3"/>
        <v>-259.72575999999935</v>
      </c>
      <c r="G40" s="171"/>
    </row>
    <row r="41" spans="1:6" ht="14.25" customHeight="1">
      <c r="A41" s="163">
        <v>2021000000</v>
      </c>
      <c r="B41" s="164" t="s">
        <v>202</v>
      </c>
      <c r="C41" s="236">
        <v>2155.1</v>
      </c>
      <c r="D41" s="236">
        <v>1975.523</v>
      </c>
      <c r="E41" s="156">
        <f t="shared" si="2"/>
        <v>91.6673472228667</v>
      </c>
      <c r="F41" s="156">
        <f t="shared" si="3"/>
        <v>-179.577</v>
      </c>
    </row>
    <row r="42" spans="1:6" ht="15.75" customHeight="1" hidden="1">
      <c r="A42" s="163">
        <v>2020100310</v>
      </c>
      <c r="B42" s="164" t="s">
        <v>205</v>
      </c>
      <c r="C42" s="236"/>
      <c r="D42" s="173">
        <v>0</v>
      </c>
      <c r="E42" s="156" t="e">
        <f t="shared" si="2"/>
        <v>#DIV/0!</v>
      </c>
      <c r="F42" s="156">
        <f t="shared" si="3"/>
        <v>0</v>
      </c>
    </row>
    <row r="43" spans="1:6" ht="15.75" customHeight="1">
      <c r="A43" s="163">
        <v>2021500200</v>
      </c>
      <c r="B43" s="164" t="s">
        <v>205</v>
      </c>
      <c r="C43" s="236"/>
      <c r="D43" s="173">
        <v>0</v>
      </c>
      <c r="E43" s="156" t="e">
        <f t="shared" si="2"/>
        <v>#DIV/0!</v>
      </c>
      <c r="F43" s="156">
        <f t="shared" si="3"/>
        <v>0</v>
      </c>
    </row>
    <row r="44" spans="1:6" ht="15.75">
      <c r="A44" s="163">
        <v>2022000000</v>
      </c>
      <c r="B44" s="164" t="s">
        <v>206</v>
      </c>
      <c r="C44" s="236">
        <v>3515.25758</v>
      </c>
      <c r="D44" s="157">
        <v>3864.38639</v>
      </c>
      <c r="E44" s="156">
        <f t="shared" si="2"/>
        <v>109.93181301951707</v>
      </c>
      <c r="F44" s="156">
        <f t="shared" si="3"/>
        <v>349.12881000000016</v>
      </c>
    </row>
    <row r="45" spans="1:6" ht="17.25" customHeight="1">
      <c r="A45" s="163">
        <v>2023000000</v>
      </c>
      <c r="B45" s="164" t="s">
        <v>207</v>
      </c>
      <c r="C45" s="160">
        <v>103.383</v>
      </c>
      <c r="D45" s="175">
        <v>94.3725</v>
      </c>
      <c r="E45" s="156">
        <f t="shared" si="2"/>
        <v>91.28435042511825</v>
      </c>
      <c r="F45" s="156">
        <f t="shared" si="3"/>
        <v>-9.010499999999993</v>
      </c>
    </row>
    <row r="46" spans="1:6" ht="14.25" customHeight="1">
      <c r="A46" s="163">
        <v>2020400000</v>
      </c>
      <c r="B46" s="164" t="s">
        <v>102</v>
      </c>
      <c r="C46" s="160">
        <v>976.072</v>
      </c>
      <c r="D46" s="176">
        <v>548.54748</v>
      </c>
      <c r="E46" s="156">
        <f t="shared" si="2"/>
        <v>56.19948938193083</v>
      </c>
      <c r="F46" s="156">
        <f t="shared" si="3"/>
        <v>-427.52452000000005</v>
      </c>
    </row>
    <row r="47" spans="1:6" ht="14.25" customHeight="1">
      <c r="A47" s="163">
        <v>2070500010</v>
      </c>
      <c r="B47" s="155" t="s">
        <v>355</v>
      </c>
      <c r="C47" s="160">
        <v>499.953</v>
      </c>
      <c r="D47" s="176">
        <v>507.21045</v>
      </c>
      <c r="E47" s="156">
        <f t="shared" si="2"/>
        <v>101.45162645288657</v>
      </c>
      <c r="F47" s="156">
        <f t="shared" si="3"/>
        <v>7.257450000000006</v>
      </c>
    </row>
    <row r="48" spans="1:6" ht="14.25" customHeight="1" hidden="1">
      <c r="A48" s="154">
        <v>2190500005</v>
      </c>
      <c r="B48" s="159" t="s">
        <v>209</v>
      </c>
      <c r="C48" s="162"/>
      <c r="D48" s="162"/>
      <c r="E48" s="151"/>
      <c r="F48" s="151">
        <f t="shared" si="3"/>
        <v>0</v>
      </c>
    </row>
    <row r="49" spans="1:6" s="140" customFormat="1" ht="16.5" customHeight="1" hidden="1">
      <c r="A49" s="149">
        <v>3000000000</v>
      </c>
      <c r="B49" s="158" t="s">
        <v>210</v>
      </c>
      <c r="C49" s="261">
        <v>0</v>
      </c>
      <c r="D49" s="162">
        <v>0</v>
      </c>
      <c r="E49" s="151" t="e">
        <f>SUM(D49/C49*100)</f>
        <v>#DIV/0!</v>
      </c>
      <c r="F49" s="151">
        <f t="shared" si="3"/>
        <v>0</v>
      </c>
    </row>
    <row r="50" spans="1:6" s="140" customFormat="1" ht="21" customHeight="1" hidden="1">
      <c r="A50" s="149">
        <v>2190500010</v>
      </c>
      <c r="B50" s="158" t="s">
        <v>362</v>
      </c>
      <c r="C50" s="261">
        <v>0</v>
      </c>
      <c r="D50" s="162">
        <v>0</v>
      </c>
      <c r="E50" s="151"/>
      <c r="F50" s="151"/>
    </row>
    <row r="51" spans="1:8" s="140" customFormat="1" ht="16.5" customHeight="1">
      <c r="A51" s="149"/>
      <c r="B51" s="150" t="s">
        <v>211</v>
      </c>
      <c r="C51" s="308">
        <f>C39+C40</f>
        <v>8567.62558</v>
      </c>
      <c r="D51" s="308">
        <f>D39+D40</f>
        <v>8058.9324</v>
      </c>
      <c r="E51" s="151">
        <f>SUM(D51/C51*100)</f>
        <v>94.0626119191357</v>
      </c>
      <c r="F51" s="151">
        <f>SUM(D51-C51)</f>
        <v>-508.6931800000002</v>
      </c>
      <c r="G51" s="187"/>
      <c r="H51" s="309"/>
    </row>
    <row r="52" spans="1:6" s="140" customFormat="1" ht="15.75" customHeight="1">
      <c r="A52" s="149"/>
      <c r="B52" s="189" t="s">
        <v>212</v>
      </c>
      <c r="C52" s="170">
        <f>C51-C98</f>
        <v>-252.34785999999986</v>
      </c>
      <c r="D52" s="170">
        <f>D51-D98</f>
        <v>-70.82161999999971</v>
      </c>
      <c r="E52" s="191"/>
      <c r="F52" s="191"/>
    </row>
    <row r="53" spans="1:6" ht="15.75">
      <c r="A53" s="192"/>
      <c r="B53" s="193"/>
      <c r="C53" s="243"/>
      <c r="D53" s="263"/>
      <c r="E53" s="195"/>
      <c r="F53" s="244"/>
    </row>
    <row r="54" spans="1:6" ht="32.25" customHeight="1">
      <c r="A54" s="197" t="s">
        <v>141</v>
      </c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15.75">
      <c r="A55" s="246">
        <v>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16.5" customHeight="1">
      <c r="A56" s="201" t="s">
        <v>33</v>
      </c>
      <c r="B56" s="202" t="s">
        <v>214</v>
      </c>
      <c r="C56" s="282">
        <f>C57+C58+C59+C60+C61+C63+C62</f>
        <v>1301.994</v>
      </c>
      <c r="D56" s="291">
        <f>D58+D63</f>
        <v>1173.51692</v>
      </c>
      <c r="E56" s="203">
        <f>SUM(D56/C56*100)</f>
        <v>90.13228325168934</v>
      </c>
      <c r="F56" s="203">
        <f>SUM(D56-C56)</f>
        <v>-128.4770799999999</v>
      </c>
    </row>
    <row r="57" spans="1:6" s="140" customFormat="1" ht="17.25" customHeight="1" hidden="1">
      <c r="A57" s="204" t="s">
        <v>215</v>
      </c>
      <c r="B57" s="205" t="s">
        <v>216</v>
      </c>
      <c r="C57" s="284"/>
      <c r="D57" s="284"/>
      <c r="E57" s="206"/>
      <c r="F57" s="206"/>
    </row>
    <row r="58" spans="1:6" ht="19.5" customHeight="1">
      <c r="A58" s="204" t="s">
        <v>217</v>
      </c>
      <c r="B58" s="207" t="s">
        <v>218</v>
      </c>
      <c r="C58" s="284">
        <v>1242</v>
      </c>
      <c r="D58" s="284">
        <v>1162.02292</v>
      </c>
      <c r="E58" s="206">
        <f>SUM(D58/C58*100)</f>
        <v>93.56062157809984</v>
      </c>
      <c r="F58" s="206">
        <f aca="true" t="shared" si="4" ref="F58:F70">SUM(D58-C58)</f>
        <v>-79.97707999999989</v>
      </c>
    </row>
    <row r="59" spans="1:6" ht="0.75" customHeight="1" hidden="1">
      <c r="A59" s="204" t="s">
        <v>219</v>
      </c>
      <c r="B59" s="207" t="s">
        <v>220</v>
      </c>
      <c r="C59" s="284"/>
      <c r="D59" s="284"/>
      <c r="E59" s="206"/>
      <c r="F59" s="206">
        <f t="shared" si="4"/>
        <v>0</v>
      </c>
    </row>
    <row r="60" spans="1:6" ht="17.25" customHeight="1" hidden="1">
      <c r="A60" s="204" t="s">
        <v>221</v>
      </c>
      <c r="B60" s="207" t="s">
        <v>222</v>
      </c>
      <c r="C60" s="284"/>
      <c r="D60" s="284"/>
      <c r="E60" s="206" t="e">
        <f aca="true" t="shared" si="5" ref="E60:E70">SUM(D60/C60*100)</f>
        <v>#DIV/0!</v>
      </c>
      <c r="F60" s="206">
        <f t="shared" si="4"/>
        <v>0</v>
      </c>
    </row>
    <row r="61" spans="1:6" ht="17.25" customHeight="1" hidden="1">
      <c r="A61" s="204" t="s">
        <v>223</v>
      </c>
      <c r="B61" s="207" t="s">
        <v>224</v>
      </c>
      <c r="C61" s="284"/>
      <c r="D61" s="284">
        <v>0</v>
      </c>
      <c r="E61" s="206" t="e">
        <f t="shared" si="5"/>
        <v>#DIV/0!</v>
      </c>
      <c r="F61" s="206">
        <f t="shared" si="4"/>
        <v>0</v>
      </c>
    </row>
    <row r="62" spans="1:6" ht="15.75" customHeight="1">
      <c r="A62" s="204" t="s">
        <v>225</v>
      </c>
      <c r="B62" s="207" t="s">
        <v>226</v>
      </c>
      <c r="C62" s="294">
        <v>48.5</v>
      </c>
      <c r="D62" s="294">
        <v>0</v>
      </c>
      <c r="E62" s="206">
        <f t="shared" si="5"/>
        <v>0</v>
      </c>
      <c r="F62" s="206">
        <f t="shared" si="4"/>
        <v>-48.5</v>
      </c>
    </row>
    <row r="63" spans="1:6" ht="17.25" customHeight="1">
      <c r="A63" s="204" t="s">
        <v>227</v>
      </c>
      <c r="B63" s="207" t="s">
        <v>228</v>
      </c>
      <c r="C63" s="284">
        <v>11.494</v>
      </c>
      <c r="D63" s="284">
        <v>11.494</v>
      </c>
      <c r="E63" s="206">
        <f t="shared" si="5"/>
        <v>100</v>
      </c>
      <c r="F63" s="206">
        <f t="shared" si="4"/>
        <v>0</v>
      </c>
    </row>
    <row r="64" spans="1:6" s="140" customFormat="1" ht="17.25" customHeight="1">
      <c r="A64" s="209" t="s">
        <v>35</v>
      </c>
      <c r="B64" s="210" t="s">
        <v>229</v>
      </c>
      <c r="C64" s="282">
        <f>C65</f>
        <v>103.383</v>
      </c>
      <c r="D64" s="282">
        <f>D65</f>
        <v>76.99225</v>
      </c>
      <c r="E64" s="203">
        <f t="shared" si="5"/>
        <v>74.4728340249364</v>
      </c>
      <c r="F64" s="203">
        <f t="shared" si="4"/>
        <v>-26.390749999999997</v>
      </c>
    </row>
    <row r="65" spans="1:6" ht="17.25" customHeight="1">
      <c r="A65" s="211" t="s">
        <v>230</v>
      </c>
      <c r="B65" s="212" t="s">
        <v>231</v>
      </c>
      <c r="C65" s="284">
        <v>103.383</v>
      </c>
      <c r="D65" s="284">
        <v>76.99225</v>
      </c>
      <c r="E65" s="206">
        <f t="shared" si="5"/>
        <v>74.4728340249364</v>
      </c>
      <c r="F65" s="206">
        <f t="shared" si="4"/>
        <v>-26.390749999999997</v>
      </c>
    </row>
    <row r="66" spans="1:6" s="140" customFormat="1" ht="17.25" customHeight="1">
      <c r="A66" s="201" t="s">
        <v>37</v>
      </c>
      <c r="B66" s="202" t="s">
        <v>232</v>
      </c>
      <c r="C66" s="282">
        <f>C69+C70+C71</f>
        <v>15</v>
      </c>
      <c r="D66" s="282">
        <f>SUM(D69+D70+D71)</f>
        <v>6.3114799999999995</v>
      </c>
      <c r="E66" s="203">
        <f t="shared" si="5"/>
        <v>42.07653333333333</v>
      </c>
      <c r="F66" s="203">
        <f t="shared" si="4"/>
        <v>-8.68852</v>
      </c>
    </row>
    <row r="67" spans="1:6" ht="17.25" customHeight="1" hidden="1">
      <c r="A67" s="204" t="s">
        <v>233</v>
      </c>
      <c r="B67" s="207" t="s">
        <v>234</v>
      </c>
      <c r="C67" s="284"/>
      <c r="D67" s="284"/>
      <c r="E67" s="203" t="e">
        <f t="shared" si="5"/>
        <v>#DIV/0!</v>
      </c>
      <c r="F67" s="203">
        <f t="shared" si="4"/>
        <v>0</v>
      </c>
    </row>
    <row r="68" spans="1:6" ht="17.25" customHeight="1" hidden="1">
      <c r="A68" s="213" t="s">
        <v>235</v>
      </c>
      <c r="B68" s="207" t="s">
        <v>317</v>
      </c>
      <c r="C68" s="284"/>
      <c r="D68" s="284"/>
      <c r="E68" s="203" t="e">
        <f t="shared" si="5"/>
        <v>#DIV/0!</v>
      </c>
      <c r="F68" s="203">
        <f t="shared" si="4"/>
        <v>0</v>
      </c>
    </row>
    <row r="69" spans="1:6" ht="18" customHeight="1">
      <c r="A69" s="214" t="s">
        <v>237</v>
      </c>
      <c r="B69" s="215" t="s">
        <v>238</v>
      </c>
      <c r="C69" s="284">
        <v>3</v>
      </c>
      <c r="D69" s="284">
        <v>2.81148</v>
      </c>
      <c r="E69" s="203">
        <f t="shared" si="5"/>
        <v>93.716</v>
      </c>
      <c r="F69" s="203">
        <f t="shared" si="4"/>
        <v>-0.18852000000000002</v>
      </c>
    </row>
    <row r="70" spans="1:6" ht="18" customHeight="1">
      <c r="A70" s="214" t="s">
        <v>239</v>
      </c>
      <c r="B70" s="215" t="s">
        <v>240</v>
      </c>
      <c r="C70" s="284">
        <v>10</v>
      </c>
      <c r="D70" s="284">
        <v>3.5</v>
      </c>
      <c r="E70" s="206">
        <f t="shared" si="5"/>
        <v>35</v>
      </c>
      <c r="F70" s="206">
        <f t="shared" si="4"/>
        <v>-6.5</v>
      </c>
    </row>
    <row r="71" spans="1:6" ht="18" customHeight="1">
      <c r="A71" s="214" t="s">
        <v>241</v>
      </c>
      <c r="B71" s="215" t="s">
        <v>363</v>
      </c>
      <c r="C71" s="284">
        <v>2</v>
      </c>
      <c r="D71" s="284">
        <v>0</v>
      </c>
      <c r="E71" s="206"/>
      <c r="F71" s="206"/>
    </row>
    <row r="72" spans="1:6" s="140" customFormat="1" ht="15.75" customHeight="1">
      <c r="A72" s="201" t="s">
        <v>39</v>
      </c>
      <c r="B72" s="202" t="s">
        <v>243</v>
      </c>
      <c r="C72" s="252">
        <f>SUM(C73:C76)</f>
        <v>2740.2709</v>
      </c>
      <c r="D72" s="252">
        <f>D73+D74+D75+D76</f>
        <v>2663.61228</v>
      </c>
      <c r="E72" s="203">
        <f aca="true" t="shared" si="6" ref="E72:E86">SUM(D72/C72*100)</f>
        <v>97.20251672927665</v>
      </c>
      <c r="F72" s="203">
        <f aca="true" t="shared" si="7" ref="F72:F87">SUM(D72-C72)</f>
        <v>-76.65862000000016</v>
      </c>
    </row>
    <row r="73" spans="1:6" ht="16.5" customHeight="1">
      <c r="A73" s="204" t="s">
        <v>246</v>
      </c>
      <c r="B73" s="207" t="s">
        <v>319</v>
      </c>
      <c r="C73" s="285"/>
      <c r="D73" s="284">
        <v>0</v>
      </c>
      <c r="E73" s="206" t="e">
        <f t="shared" si="6"/>
        <v>#DIV/0!</v>
      </c>
      <c r="F73" s="206">
        <f t="shared" si="7"/>
        <v>0</v>
      </c>
    </row>
    <row r="74" spans="1:7" s="140" customFormat="1" ht="19.5" customHeight="1">
      <c r="A74" s="204" t="s">
        <v>248</v>
      </c>
      <c r="B74" s="207" t="s">
        <v>320</v>
      </c>
      <c r="C74" s="285">
        <v>24.457</v>
      </c>
      <c r="D74" s="284">
        <v>23.2</v>
      </c>
      <c r="E74" s="206">
        <f t="shared" si="6"/>
        <v>94.8603671750419</v>
      </c>
      <c r="F74" s="206">
        <f t="shared" si="7"/>
        <v>-1.2570000000000014</v>
      </c>
      <c r="G74" s="143"/>
    </row>
    <row r="75" spans="1:6" ht="17.25" customHeight="1">
      <c r="A75" s="204" t="s">
        <v>250</v>
      </c>
      <c r="B75" s="207" t="s">
        <v>251</v>
      </c>
      <c r="C75" s="285">
        <v>2699.4139</v>
      </c>
      <c r="D75" s="284">
        <v>2624.01228</v>
      </c>
      <c r="E75" s="206">
        <f t="shared" si="6"/>
        <v>97.20674106331008</v>
      </c>
      <c r="F75" s="206">
        <f t="shared" si="7"/>
        <v>-75.4016200000001</v>
      </c>
    </row>
    <row r="76" spans="1:6" ht="15.75" customHeight="1">
      <c r="A76" s="204" t="s">
        <v>252</v>
      </c>
      <c r="B76" s="207" t="s">
        <v>253</v>
      </c>
      <c r="C76" s="285">
        <v>16.4</v>
      </c>
      <c r="D76" s="284">
        <v>16.4</v>
      </c>
      <c r="E76" s="206">
        <f t="shared" si="6"/>
        <v>100</v>
      </c>
      <c r="F76" s="206">
        <f t="shared" si="7"/>
        <v>0</v>
      </c>
    </row>
    <row r="77" spans="1:6" s="140" customFormat="1" ht="16.5" customHeight="1">
      <c r="A77" s="201" t="s">
        <v>41</v>
      </c>
      <c r="B77" s="202" t="s">
        <v>254</v>
      </c>
      <c r="C77" s="282">
        <f>SUM(C78:C80)</f>
        <v>3676.5255399999996</v>
      </c>
      <c r="D77" s="282">
        <f>SUM(D80+D79)</f>
        <v>3383.9798199999996</v>
      </c>
      <c r="E77" s="203">
        <f t="shared" si="6"/>
        <v>92.04287535018729</v>
      </c>
      <c r="F77" s="203">
        <f t="shared" si="7"/>
        <v>-292.5457200000001</v>
      </c>
    </row>
    <row r="78" spans="1:6" ht="15.75" customHeight="1" hidden="1">
      <c r="A78" s="204" t="s">
        <v>255</v>
      </c>
      <c r="B78" s="218" t="s">
        <v>256</v>
      </c>
      <c r="C78" s="284">
        <v>0</v>
      </c>
      <c r="D78" s="284">
        <v>0</v>
      </c>
      <c r="E78" s="206" t="e">
        <f t="shared" si="6"/>
        <v>#DIV/0!</v>
      </c>
      <c r="F78" s="206">
        <f t="shared" si="7"/>
        <v>0</v>
      </c>
    </row>
    <row r="79" spans="1:6" ht="20.25" customHeight="1">
      <c r="A79" s="204" t="s">
        <v>257</v>
      </c>
      <c r="B79" s="218" t="s">
        <v>258</v>
      </c>
      <c r="C79" s="284">
        <v>2500.06474</v>
      </c>
      <c r="D79" s="284">
        <v>2439.03133</v>
      </c>
      <c r="E79" s="206">
        <f t="shared" si="6"/>
        <v>97.55872681921028</v>
      </c>
      <c r="F79" s="206">
        <f t="shared" si="7"/>
        <v>-61.03341</v>
      </c>
    </row>
    <row r="80" spans="1:6" ht="17.25" customHeight="1">
      <c r="A80" s="204" t="s">
        <v>259</v>
      </c>
      <c r="B80" s="207" t="s">
        <v>260</v>
      </c>
      <c r="C80" s="284">
        <v>1176.4608</v>
      </c>
      <c r="D80" s="284">
        <v>944.94849</v>
      </c>
      <c r="E80" s="206">
        <f t="shared" si="6"/>
        <v>80.32128992313216</v>
      </c>
      <c r="F80" s="206">
        <f t="shared" si="7"/>
        <v>-231.51231000000007</v>
      </c>
    </row>
    <row r="81" spans="1:6" s="140" customFormat="1" ht="17.25" customHeight="1">
      <c r="A81" s="201" t="s">
        <v>47</v>
      </c>
      <c r="B81" s="202" t="s">
        <v>275</v>
      </c>
      <c r="C81" s="282">
        <f>C82</f>
        <v>952.8</v>
      </c>
      <c r="D81" s="282">
        <f>D82</f>
        <v>795.34127</v>
      </c>
      <c r="E81" s="203">
        <f t="shared" si="6"/>
        <v>83.47410474391268</v>
      </c>
      <c r="F81" s="203">
        <f t="shared" si="7"/>
        <v>-157.45872999999995</v>
      </c>
    </row>
    <row r="82" spans="1:6" ht="15" customHeight="1">
      <c r="A82" s="204" t="s">
        <v>276</v>
      </c>
      <c r="B82" s="207" t="s">
        <v>277</v>
      </c>
      <c r="C82" s="284">
        <v>952.8</v>
      </c>
      <c r="D82" s="284">
        <v>795.34127</v>
      </c>
      <c r="E82" s="206">
        <f t="shared" si="6"/>
        <v>83.47410474391268</v>
      </c>
      <c r="F82" s="206">
        <f t="shared" si="7"/>
        <v>-157.45872999999995</v>
      </c>
    </row>
    <row r="83" spans="1:6" s="140" customFormat="1" ht="0.75" customHeight="1" hidden="1">
      <c r="A83" s="219">
        <v>1000</v>
      </c>
      <c r="B83" s="202" t="s">
        <v>280</v>
      </c>
      <c r="C83" s="282">
        <f>SUM(C84:C87)</f>
        <v>0</v>
      </c>
      <c r="D83" s="282">
        <f>SUM(D84:D87)</f>
        <v>0</v>
      </c>
      <c r="E83" s="203" t="e">
        <f t="shared" si="6"/>
        <v>#DIV/0!</v>
      </c>
      <c r="F83" s="203">
        <f t="shared" si="7"/>
        <v>0</v>
      </c>
    </row>
    <row r="84" spans="1:6" ht="0.75" customHeight="1" hidden="1">
      <c r="A84" s="220">
        <v>1001</v>
      </c>
      <c r="B84" s="221" t="s">
        <v>281</v>
      </c>
      <c r="C84" s="284"/>
      <c r="D84" s="284"/>
      <c r="E84" s="206" t="e">
        <f t="shared" si="6"/>
        <v>#DIV/0!</v>
      </c>
      <c r="F84" s="206">
        <f t="shared" si="7"/>
        <v>0</v>
      </c>
    </row>
    <row r="85" spans="1:6" ht="17.25" customHeight="1" hidden="1">
      <c r="A85" s="220">
        <v>1003</v>
      </c>
      <c r="B85" s="221" t="s">
        <v>282</v>
      </c>
      <c r="C85" s="284">
        <v>0</v>
      </c>
      <c r="D85" s="284">
        <v>0</v>
      </c>
      <c r="E85" s="206" t="e">
        <f t="shared" si="6"/>
        <v>#DIV/0!</v>
      </c>
      <c r="F85" s="206">
        <f t="shared" si="7"/>
        <v>0</v>
      </c>
    </row>
    <row r="86" spans="1:6" ht="17.25" customHeight="1" hidden="1">
      <c r="A86" s="220">
        <v>1004</v>
      </c>
      <c r="B86" s="221" t="s">
        <v>283</v>
      </c>
      <c r="C86" s="284"/>
      <c r="D86" s="286"/>
      <c r="E86" s="206" t="e">
        <f t="shared" si="6"/>
        <v>#DIV/0!</v>
      </c>
      <c r="F86" s="206">
        <f t="shared" si="7"/>
        <v>0</v>
      </c>
    </row>
    <row r="87" spans="1:6" ht="17.25" customHeight="1" hidden="1">
      <c r="A87" s="204" t="s">
        <v>284</v>
      </c>
      <c r="B87" s="207" t="s">
        <v>285</v>
      </c>
      <c r="C87" s="284">
        <v>0</v>
      </c>
      <c r="D87" s="284">
        <v>0</v>
      </c>
      <c r="E87" s="206"/>
      <c r="F87" s="206">
        <f t="shared" si="7"/>
        <v>0</v>
      </c>
    </row>
    <row r="88" spans="1:6" ht="17.25" customHeight="1">
      <c r="A88" s="201" t="s">
        <v>51</v>
      </c>
      <c r="B88" s="202" t="s">
        <v>286</v>
      </c>
      <c r="C88" s="282">
        <f>C89+C90+C91+C92+C93</f>
        <v>30</v>
      </c>
      <c r="D88" s="282">
        <f>D89+D90+D91+D92+D93</f>
        <v>30</v>
      </c>
      <c r="E88" s="206">
        <f aca="true" t="shared" si="8" ref="E88:E98">SUM(D88/C88*100)</f>
        <v>100</v>
      </c>
      <c r="F88" s="191">
        <f>F89+F90+F91+F92+F93</f>
        <v>0</v>
      </c>
    </row>
    <row r="89" spans="1:6" ht="17.25" customHeight="1">
      <c r="A89" s="204" t="s">
        <v>287</v>
      </c>
      <c r="B89" s="207" t="s">
        <v>288</v>
      </c>
      <c r="C89" s="284">
        <v>30</v>
      </c>
      <c r="D89" s="284">
        <v>30</v>
      </c>
      <c r="E89" s="206">
        <f t="shared" si="8"/>
        <v>100</v>
      </c>
      <c r="F89" s="206">
        <f>SUM(D89-C89)</f>
        <v>0</v>
      </c>
    </row>
    <row r="90" spans="1:6" ht="15.75" customHeight="1" hidden="1">
      <c r="A90" s="204" t="s">
        <v>289</v>
      </c>
      <c r="B90" s="207" t="s">
        <v>290</v>
      </c>
      <c r="C90" s="284"/>
      <c r="D90" s="284"/>
      <c r="E90" s="206" t="e">
        <f t="shared" si="8"/>
        <v>#DIV/0!</v>
      </c>
      <c r="F90" s="206">
        <f>SUM(D90-C90)</f>
        <v>0</v>
      </c>
    </row>
    <row r="91" spans="1:6" ht="15.75" customHeight="1" hidden="1">
      <c r="A91" s="204" t="s">
        <v>291</v>
      </c>
      <c r="B91" s="207" t="s">
        <v>292</v>
      </c>
      <c r="C91" s="284"/>
      <c r="D91" s="284"/>
      <c r="E91" s="206" t="e">
        <f t="shared" si="8"/>
        <v>#DIV/0!</v>
      </c>
      <c r="F91" s="206"/>
    </row>
    <row r="92" spans="1:6" ht="15.75" customHeight="1" hidden="1">
      <c r="A92" s="204" t="s">
        <v>293</v>
      </c>
      <c r="B92" s="207" t="s">
        <v>294</v>
      </c>
      <c r="C92" s="284"/>
      <c r="D92" s="284"/>
      <c r="E92" s="206" t="e">
        <f t="shared" si="8"/>
        <v>#DIV/0!</v>
      </c>
      <c r="F92" s="206"/>
    </row>
    <row r="93" spans="1:6" ht="15.75" customHeight="1" hidden="1">
      <c r="A93" s="204" t="s">
        <v>295</v>
      </c>
      <c r="B93" s="207" t="s">
        <v>296</v>
      </c>
      <c r="C93" s="284"/>
      <c r="D93" s="284"/>
      <c r="E93" s="206" t="e">
        <f t="shared" si="8"/>
        <v>#DIV/0!</v>
      </c>
      <c r="F93" s="206"/>
    </row>
    <row r="94" spans="1:6" s="140" customFormat="1" ht="15.75" customHeight="1" hidden="1">
      <c r="A94" s="219">
        <v>1400</v>
      </c>
      <c r="B94" s="223" t="s">
        <v>303</v>
      </c>
      <c r="C94" s="252">
        <f>C95+C96+C97</f>
        <v>0</v>
      </c>
      <c r="D94" s="252">
        <f>SUM(D95:D97)</f>
        <v>0</v>
      </c>
      <c r="E94" s="203" t="e">
        <f t="shared" si="8"/>
        <v>#DIV/0!</v>
      </c>
      <c r="F94" s="203">
        <f>SUM(D94-C94)</f>
        <v>0</v>
      </c>
    </row>
    <row r="95" spans="1:6" ht="15.75" customHeight="1" hidden="1">
      <c r="A95" s="220">
        <v>1401</v>
      </c>
      <c r="B95" s="221" t="s">
        <v>304</v>
      </c>
      <c r="C95" s="285"/>
      <c r="D95" s="284"/>
      <c r="E95" s="206" t="e">
        <f t="shared" si="8"/>
        <v>#DIV/0!</v>
      </c>
      <c r="F95" s="206">
        <f>SUM(D95-C95)</f>
        <v>0</v>
      </c>
    </row>
    <row r="96" spans="1:6" ht="18" customHeight="1" hidden="1">
      <c r="A96" s="220">
        <v>1402</v>
      </c>
      <c r="B96" s="221" t="s">
        <v>305</v>
      </c>
      <c r="C96" s="296"/>
      <c r="D96" s="251"/>
      <c r="E96" s="206" t="e">
        <f t="shared" si="8"/>
        <v>#DIV/0!</v>
      </c>
      <c r="F96" s="206">
        <f>SUM(D96-C96)</f>
        <v>0</v>
      </c>
    </row>
    <row r="97" spans="1:6" ht="15.75" customHeight="1" hidden="1">
      <c r="A97" s="220">
        <v>1403</v>
      </c>
      <c r="B97" s="221" t="s">
        <v>306</v>
      </c>
      <c r="C97" s="285">
        <v>0</v>
      </c>
      <c r="D97" s="284">
        <v>0</v>
      </c>
      <c r="E97" s="206" t="e">
        <f t="shared" si="8"/>
        <v>#DIV/0!</v>
      </c>
      <c r="F97" s="206">
        <f>SUM(D97-C97)</f>
        <v>0</v>
      </c>
    </row>
    <row r="98" spans="1:8" s="140" customFormat="1" ht="16.5" customHeight="1">
      <c r="A98" s="219"/>
      <c r="B98" s="224" t="s">
        <v>307</v>
      </c>
      <c r="C98" s="310">
        <f>C56+C64+C66+C72+C77+C81+C83+C88+C94</f>
        <v>8819.97344</v>
      </c>
      <c r="D98" s="311">
        <f>D56+D64+D66+D72+D77+D81+D88</f>
        <v>8129.754019999999</v>
      </c>
      <c r="E98" s="203">
        <f t="shared" si="8"/>
        <v>92.17435942754946</v>
      </c>
      <c r="F98" s="203">
        <f>SUM(D98-C98)</f>
        <v>-690.2194200000004</v>
      </c>
      <c r="G98" s="309"/>
      <c r="H98" s="309"/>
    </row>
    <row r="99" spans="3:4" ht="20.25" customHeight="1">
      <c r="C99" s="227"/>
      <c r="D99" s="228"/>
    </row>
    <row r="100" spans="1:4" s="144" customFormat="1" ht="13.5" customHeight="1">
      <c r="A100" s="229" t="s">
        <v>308</v>
      </c>
      <c r="B100" s="229"/>
      <c r="C100" s="266"/>
      <c r="D100" s="255"/>
    </row>
    <row r="101" spans="1:4" s="144" customFormat="1" ht="12.75">
      <c r="A101" s="231" t="s">
        <v>309</v>
      </c>
      <c r="B101" s="231"/>
      <c r="C101" s="299" t="s">
        <v>310</v>
      </c>
      <c r="D101" s="299"/>
    </row>
    <row r="102" ht="5.25" customHeight="1">
      <c r="C102" s="265"/>
    </row>
    <row r="144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SheetLayoutView="70" zoomScalePageLayoutView="0" workbookViewId="0" topLeftCell="A43">
      <selection activeCell="D89" sqref="D89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7109375" style="138" customWidth="1"/>
    <col min="4" max="4" width="15.7109375" style="138" customWidth="1"/>
    <col min="5" max="5" width="12.57421875" style="138" customWidth="1"/>
    <col min="6" max="6" width="9.8515625" style="138" customWidth="1"/>
    <col min="7" max="7" width="19.421875" style="139" customWidth="1"/>
    <col min="8" max="8" width="14.421875" style="139" customWidth="1"/>
    <col min="9" max="16384" width="9.140625" style="139" customWidth="1"/>
  </cols>
  <sheetData>
    <row r="1" spans="1:6" ht="12.75" customHeight="1">
      <c r="A1" s="468" t="s">
        <v>435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C5+C12+C17+C7+C14</f>
        <v>1108.88</v>
      </c>
      <c r="D4" s="151">
        <f>D5+D12+D14+D17+D20+D7</f>
        <v>926.74972</v>
      </c>
      <c r="E4" s="151">
        <f aca="true" t="shared" si="0" ref="E4:E33">SUM(D4/C4*100)</f>
        <v>83.57529399033258</v>
      </c>
      <c r="F4" s="151">
        <f aca="true" t="shared" si="1" ref="F4:F14">SUM(D4-C4)</f>
        <v>-182.13028000000008</v>
      </c>
    </row>
    <row r="5" spans="1:6" s="140" customFormat="1" ht="15.75">
      <c r="A5" s="152">
        <v>1010000000</v>
      </c>
      <c r="B5" s="153" t="s">
        <v>146</v>
      </c>
      <c r="C5" s="151">
        <f>C6</f>
        <v>102</v>
      </c>
      <c r="D5" s="151">
        <f>D6</f>
        <v>83.27657</v>
      </c>
      <c r="E5" s="151">
        <f t="shared" si="0"/>
        <v>81.64369607843139</v>
      </c>
      <c r="F5" s="151">
        <f t="shared" si="1"/>
        <v>-18.723429999999993</v>
      </c>
    </row>
    <row r="6" spans="1:6" ht="15.75">
      <c r="A6" s="154">
        <v>1010200001</v>
      </c>
      <c r="B6" s="155" t="s">
        <v>147</v>
      </c>
      <c r="C6" s="156">
        <v>102</v>
      </c>
      <c r="D6" s="157">
        <v>83.27657</v>
      </c>
      <c r="E6" s="156">
        <f t="shared" si="0"/>
        <v>81.64369607843139</v>
      </c>
      <c r="F6" s="156">
        <f t="shared" si="1"/>
        <v>-18.723429999999993</v>
      </c>
    </row>
    <row r="7" spans="1:6" ht="31.5">
      <c r="A7" s="149">
        <v>1030000000</v>
      </c>
      <c r="B7" s="158" t="s">
        <v>148</v>
      </c>
      <c r="C7" s="151">
        <f>C8+C10+C9</f>
        <v>356.08</v>
      </c>
      <c r="D7" s="151">
        <f>D8+D10+D9+D11</f>
        <v>364.50201000000004</v>
      </c>
      <c r="E7" s="156">
        <f t="shared" si="0"/>
        <v>102.3652016400809</v>
      </c>
      <c r="F7" s="156">
        <f t="shared" si="1"/>
        <v>8.422010000000057</v>
      </c>
    </row>
    <row r="8" spans="1:6" ht="15.75">
      <c r="A8" s="154">
        <v>1030223001</v>
      </c>
      <c r="B8" s="155" t="s">
        <v>149</v>
      </c>
      <c r="C8" s="156">
        <v>132.82</v>
      </c>
      <c r="D8" s="157">
        <v>167.07227</v>
      </c>
      <c r="E8" s="156">
        <f t="shared" si="0"/>
        <v>125.78848817949104</v>
      </c>
      <c r="F8" s="156">
        <f t="shared" si="1"/>
        <v>34.25227000000001</v>
      </c>
    </row>
    <row r="9" spans="1:6" ht="15.75">
      <c r="A9" s="154">
        <v>1030224001</v>
      </c>
      <c r="B9" s="155" t="s">
        <v>150</v>
      </c>
      <c r="C9" s="156">
        <v>1.42</v>
      </c>
      <c r="D9" s="157">
        <v>1.18508</v>
      </c>
      <c r="E9" s="156">
        <f t="shared" si="0"/>
        <v>83.45633802816901</v>
      </c>
      <c r="F9" s="156">
        <f t="shared" si="1"/>
        <v>-0.23492000000000002</v>
      </c>
    </row>
    <row r="10" spans="1:6" ht="15.75">
      <c r="A10" s="154">
        <v>1030225001</v>
      </c>
      <c r="B10" s="155" t="s">
        <v>151</v>
      </c>
      <c r="C10" s="156">
        <v>221.84</v>
      </c>
      <c r="D10" s="157">
        <v>224.55251</v>
      </c>
      <c r="E10" s="156">
        <f t="shared" si="0"/>
        <v>101.22273260007213</v>
      </c>
      <c r="F10" s="156">
        <f t="shared" si="1"/>
        <v>2.712510000000009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-28.30785</v>
      </c>
      <c r="E11" s="156" t="e">
        <f t="shared" si="0"/>
        <v>#DIV/0!</v>
      </c>
      <c r="F11" s="156">
        <f t="shared" si="1"/>
        <v>-28.30785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94.8</v>
      </c>
      <c r="D12" s="151">
        <f>SUM(D13:D13)</f>
        <v>92.3601</v>
      </c>
      <c r="E12" s="151">
        <f t="shared" si="0"/>
        <v>97.42626582278481</v>
      </c>
      <c r="F12" s="151">
        <f t="shared" si="1"/>
        <v>-2.4398999999999944</v>
      </c>
    </row>
    <row r="13" spans="1:6" ht="15.75" customHeight="1">
      <c r="A13" s="154">
        <v>1050300000</v>
      </c>
      <c r="B13" s="159" t="s">
        <v>156</v>
      </c>
      <c r="C13" s="160">
        <v>94.8</v>
      </c>
      <c r="D13" s="157">
        <v>92.3601</v>
      </c>
      <c r="E13" s="156">
        <f t="shared" si="0"/>
        <v>97.42626582278481</v>
      </c>
      <c r="F13" s="156">
        <f t="shared" si="1"/>
        <v>-2.4398999999999944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551</v>
      </c>
      <c r="D14" s="151">
        <f>D15+D16</f>
        <v>381.81104000000005</v>
      </c>
      <c r="E14" s="156">
        <f t="shared" si="0"/>
        <v>69.2941996370236</v>
      </c>
      <c r="F14" s="156">
        <f t="shared" si="1"/>
        <v>-169.18895999999995</v>
      </c>
    </row>
    <row r="15" spans="1:6" s="140" customFormat="1" ht="15.75" customHeight="1">
      <c r="A15" s="154">
        <v>1060100000</v>
      </c>
      <c r="B15" s="159" t="s">
        <v>159</v>
      </c>
      <c r="C15" s="312">
        <v>91</v>
      </c>
      <c r="D15" s="157">
        <v>73.65554</v>
      </c>
      <c r="E15" s="156">
        <f t="shared" si="0"/>
        <v>80.94015384615385</v>
      </c>
      <c r="F15" s="156">
        <f>SUM(D15-C14)</f>
        <v>-477.34446</v>
      </c>
    </row>
    <row r="16" spans="1:6" ht="15.75" customHeight="1">
      <c r="A16" s="154">
        <v>1060600000</v>
      </c>
      <c r="B16" s="159" t="s">
        <v>162</v>
      </c>
      <c r="C16" s="156">
        <v>460</v>
      </c>
      <c r="D16" s="157">
        <v>308.1555</v>
      </c>
      <c r="E16" s="156">
        <f t="shared" si="0"/>
        <v>66.99032608695653</v>
      </c>
      <c r="F16" s="156">
        <f aca="true" t="shared" si="2" ref="F16:F33">SUM(D16-C16)</f>
        <v>-151.84449999999998</v>
      </c>
    </row>
    <row r="17" spans="1:6" s="140" customFormat="1" ht="15.75">
      <c r="A17" s="149">
        <v>1080000000</v>
      </c>
      <c r="B17" s="150" t="s">
        <v>165</v>
      </c>
      <c r="C17" s="151">
        <f>C18</f>
        <v>5</v>
      </c>
      <c r="D17" s="151">
        <f>D18</f>
        <v>4.8</v>
      </c>
      <c r="E17" s="151">
        <f t="shared" si="0"/>
        <v>96</v>
      </c>
      <c r="F17" s="151">
        <f t="shared" si="2"/>
        <v>-0.20000000000000018</v>
      </c>
    </row>
    <row r="18" spans="1:6" ht="18.75" customHeight="1">
      <c r="A18" s="154">
        <v>1080400001</v>
      </c>
      <c r="B18" s="155" t="s">
        <v>167</v>
      </c>
      <c r="C18" s="156">
        <v>5</v>
      </c>
      <c r="D18" s="157">
        <v>4.8</v>
      </c>
      <c r="E18" s="156">
        <f t="shared" si="0"/>
        <v>96</v>
      </c>
      <c r="F18" s="156">
        <f t="shared" si="2"/>
        <v>-0.20000000000000018</v>
      </c>
    </row>
    <row r="19" spans="1:6" ht="15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2"/>
        <v>0</v>
      </c>
    </row>
    <row r="20" spans="1:6" s="141" customFormat="1" ht="0.75" customHeight="1" hidden="1">
      <c r="A20" s="152">
        <v>1090000000</v>
      </c>
      <c r="B20" s="161" t="s">
        <v>169</v>
      </c>
      <c r="C20" s="151">
        <f>C21+C22+C23+C24</f>
        <v>0</v>
      </c>
      <c r="D20" s="151">
        <f>D22</f>
        <v>0</v>
      </c>
      <c r="E20" s="151" t="e">
        <f t="shared" si="0"/>
        <v>#DIV/0!</v>
      </c>
      <c r="F20" s="151">
        <f t="shared" si="2"/>
        <v>0</v>
      </c>
    </row>
    <row r="21" spans="1:6" s="141" customFormat="1" ht="15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2"/>
        <v>0</v>
      </c>
    </row>
    <row r="22" spans="1:6" s="141" customFormat="1" ht="16.5" customHeight="1" hidden="1">
      <c r="A22" s="154">
        <v>1090400000</v>
      </c>
      <c r="B22" s="155" t="s">
        <v>341</v>
      </c>
      <c r="C22" s="156">
        <v>0</v>
      </c>
      <c r="D22" s="157">
        <v>0</v>
      </c>
      <c r="E22" s="156" t="e">
        <f t="shared" si="0"/>
        <v>#DIV/0!</v>
      </c>
      <c r="F22" s="156">
        <f t="shared" si="2"/>
        <v>0</v>
      </c>
    </row>
    <row r="23" spans="1:6" s="141" customFormat="1" ht="0.7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2"/>
        <v>0</v>
      </c>
    </row>
    <row r="24" spans="1:6" s="141" customFormat="1" ht="15.7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2"/>
        <v>0</v>
      </c>
    </row>
    <row r="25" spans="1:6" s="140" customFormat="1" ht="15.75" customHeight="1">
      <c r="A25" s="149"/>
      <c r="B25" s="150" t="s">
        <v>17</v>
      </c>
      <c r="C25" s="151">
        <f>C26+C29+C31+C37+C34</f>
        <v>135.7</v>
      </c>
      <c r="D25" s="151">
        <f>D26+D29+D31+D37+D34</f>
        <v>204.24304999999998</v>
      </c>
      <c r="E25" s="151">
        <f t="shared" si="0"/>
        <v>150.51072218128223</v>
      </c>
      <c r="F25" s="151">
        <f t="shared" si="2"/>
        <v>68.54305</v>
      </c>
    </row>
    <row r="26" spans="1:6" s="140" customFormat="1" ht="15.75" customHeight="1">
      <c r="A26" s="152">
        <v>1110000000</v>
      </c>
      <c r="B26" s="161" t="s">
        <v>174</v>
      </c>
      <c r="C26" s="151">
        <f>C27+C28</f>
        <v>85.7</v>
      </c>
      <c r="D26" s="151">
        <f>D27+D28</f>
        <v>86.4716</v>
      </c>
      <c r="E26" s="151">
        <f t="shared" si="0"/>
        <v>100.90035005834307</v>
      </c>
      <c r="F26" s="151">
        <f t="shared" si="2"/>
        <v>0.7715999999999923</v>
      </c>
    </row>
    <row r="27" spans="1:6" ht="15.75" customHeight="1">
      <c r="A27" s="163">
        <v>1110502510</v>
      </c>
      <c r="B27" s="164" t="s">
        <v>177</v>
      </c>
      <c r="C27" s="160">
        <v>85.7</v>
      </c>
      <c r="D27" s="157">
        <v>86.4716</v>
      </c>
      <c r="E27" s="156">
        <f t="shared" si="0"/>
        <v>100.90035005834307</v>
      </c>
      <c r="F27" s="156">
        <f t="shared" si="2"/>
        <v>0.7715999999999923</v>
      </c>
    </row>
    <row r="28" spans="1:6" ht="17.25" customHeight="1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2"/>
        <v>0</v>
      </c>
    </row>
    <row r="29" spans="1:6" s="141" customFormat="1" ht="33.75" customHeight="1">
      <c r="A29" s="152">
        <v>1130000000</v>
      </c>
      <c r="B29" s="161" t="s">
        <v>185</v>
      </c>
      <c r="C29" s="151">
        <f>C30</f>
        <v>50</v>
      </c>
      <c r="D29" s="151">
        <f>D30</f>
        <v>44.97962</v>
      </c>
      <c r="E29" s="151">
        <f t="shared" si="0"/>
        <v>89.95924</v>
      </c>
      <c r="F29" s="151">
        <f t="shared" si="2"/>
        <v>-5.020380000000003</v>
      </c>
    </row>
    <row r="30" spans="1:6" ht="30" customHeight="1">
      <c r="A30" s="154">
        <v>1130206005</v>
      </c>
      <c r="B30" s="155" t="s">
        <v>187</v>
      </c>
      <c r="C30" s="156">
        <v>50</v>
      </c>
      <c r="D30" s="157">
        <v>44.97962</v>
      </c>
      <c r="E30" s="156">
        <f t="shared" si="0"/>
        <v>89.95924</v>
      </c>
      <c r="F30" s="156">
        <f t="shared" si="2"/>
        <v>-5.020380000000003</v>
      </c>
    </row>
    <row r="31" spans="1:6" ht="27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56.06</v>
      </c>
      <c r="E31" s="151" t="e">
        <f t="shared" si="0"/>
        <v>#DIV/0!</v>
      </c>
      <c r="F31" s="151">
        <f t="shared" si="2"/>
        <v>56.06</v>
      </c>
    </row>
    <row r="32" spans="1:6" ht="27" customHeight="1">
      <c r="A32" s="163">
        <v>1140200000</v>
      </c>
      <c r="B32" s="167" t="s">
        <v>189</v>
      </c>
      <c r="C32" s="156">
        <v>0</v>
      </c>
      <c r="D32" s="157">
        <v>56.06</v>
      </c>
      <c r="E32" s="156" t="e">
        <f t="shared" si="0"/>
        <v>#DIV/0!</v>
      </c>
      <c r="F32" s="156">
        <f t="shared" si="2"/>
        <v>56.06</v>
      </c>
    </row>
    <row r="33" spans="1:6" ht="25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2"/>
        <v>0</v>
      </c>
    </row>
    <row r="34" spans="1:6" ht="23.25" customHeight="1">
      <c r="A34" s="149">
        <v>1160000000</v>
      </c>
      <c r="B34" s="158" t="s">
        <v>325</v>
      </c>
      <c r="C34" s="162">
        <f>C35</f>
        <v>0</v>
      </c>
      <c r="D34" s="162">
        <f>D35+D36</f>
        <v>16.73183</v>
      </c>
      <c r="E34" s="162" t="e">
        <f>E35</f>
        <v>#DIV/0!</v>
      </c>
      <c r="F34" s="162">
        <f>F35</f>
        <v>0</v>
      </c>
    </row>
    <row r="35" spans="1:6" ht="25.5" customHeight="1">
      <c r="A35" s="154">
        <v>1160701000</v>
      </c>
      <c r="B35" s="155" t="s">
        <v>420</v>
      </c>
      <c r="C35" s="156">
        <v>0</v>
      </c>
      <c r="D35" s="157">
        <v>16.73183</v>
      </c>
      <c r="E35" s="157" t="e">
        <f>E37</f>
        <v>#DIV/0!</v>
      </c>
      <c r="F35" s="157">
        <f>F37</f>
        <v>0</v>
      </c>
    </row>
    <row r="36" spans="1:6" ht="24.75" customHeight="1">
      <c r="A36" s="154">
        <v>1169005010</v>
      </c>
      <c r="B36" s="155" t="s">
        <v>364</v>
      </c>
      <c r="C36" s="156">
        <v>0</v>
      </c>
      <c r="D36" s="157">
        <v>0</v>
      </c>
      <c r="E36" s="157" t="e">
        <f>E38</f>
        <v>#DIV/0!</v>
      </c>
      <c r="F36" s="157">
        <f>F38</f>
        <v>0</v>
      </c>
    </row>
    <row r="37" spans="1:6" ht="23.2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0</v>
      </c>
      <c r="E37" s="156" t="e">
        <f aca="true" t="shared" si="3" ref="E37:E47">SUM(D37/C37*100)</f>
        <v>#DIV/0!</v>
      </c>
      <c r="F37" s="151">
        <f aca="true" t="shared" si="4" ref="F37:F51">SUM(D37-C37)</f>
        <v>0</v>
      </c>
    </row>
    <row r="38" spans="1:6" ht="19.5" customHeight="1">
      <c r="A38" s="154">
        <v>1170105005</v>
      </c>
      <c r="B38" s="155" t="s">
        <v>199</v>
      </c>
      <c r="C38" s="156">
        <v>0</v>
      </c>
      <c r="D38" s="156">
        <v>0</v>
      </c>
      <c r="E38" s="156" t="e">
        <f t="shared" si="3"/>
        <v>#DIV/0!</v>
      </c>
      <c r="F38" s="156">
        <f t="shared" si="4"/>
        <v>0</v>
      </c>
    </row>
    <row r="39" spans="1:6" ht="18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3"/>
        <v>#DIV/0!</v>
      </c>
      <c r="F39" s="156">
        <f t="shared" si="4"/>
        <v>0</v>
      </c>
    </row>
    <row r="40" spans="1:6" s="140" customFormat="1" ht="17.25" customHeight="1">
      <c r="A40" s="149">
        <v>1000000000</v>
      </c>
      <c r="B40" s="150" t="s">
        <v>26</v>
      </c>
      <c r="C40" s="169">
        <f>SUM(C4,C25)</f>
        <v>1244.5800000000002</v>
      </c>
      <c r="D40" s="169">
        <f>D4+D25</f>
        <v>1130.99277</v>
      </c>
      <c r="E40" s="151">
        <f t="shared" si="3"/>
        <v>90.87344887431904</v>
      </c>
      <c r="F40" s="151">
        <f t="shared" si="4"/>
        <v>-113.58723000000009</v>
      </c>
    </row>
    <row r="41" spans="1:7" s="140" customFormat="1" ht="15.75">
      <c r="A41" s="149">
        <v>2000000000</v>
      </c>
      <c r="B41" s="150" t="s">
        <v>201</v>
      </c>
      <c r="C41" s="151">
        <f>C42+C44+C45+C46+C47+C48+C43+C50</f>
        <v>10549.326829999998</v>
      </c>
      <c r="D41" s="190">
        <f>D42+D44+D45+D46+D47+D48+D43+D50</f>
        <v>6403.8844500000005</v>
      </c>
      <c r="E41" s="151">
        <f t="shared" si="3"/>
        <v>60.70419992855602</v>
      </c>
      <c r="F41" s="151">
        <f t="shared" si="4"/>
        <v>-4145.442379999998</v>
      </c>
      <c r="G41" s="171"/>
    </row>
    <row r="42" spans="1:6" ht="16.5" customHeight="1">
      <c r="A42" s="163">
        <v>2021000000</v>
      </c>
      <c r="B42" s="164" t="s">
        <v>202</v>
      </c>
      <c r="C42" s="160">
        <v>3247.3</v>
      </c>
      <c r="D42" s="160">
        <v>2976.721</v>
      </c>
      <c r="E42" s="156">
        <f t="shared" si="3"/>
        <v>91.66756998121515</v>
      </c>
      <c r="F42" s="156">
        <f t="shared" si="4"/>
        <v>-270.5790000000002</v>
      </c>
    </row>
    <row r="43" spans="1:6" ht="17.25" customHeight="1">
      <c r="A43" s="163">
        <v>2021500200</v>
      </c>
      <c r="B43" s="164" t="s">
        <v>205</v>
      </c>
      <c r="C43" s="160">
        <v>0</v>
      </c>
      <c r="D43" s="173">
        <v>0</v>
      </c>
      <c r="E43" s="156" t="e">
        <f t="shared" si="3"/>
        <v>#DIV/0!</v>
      </c>
      <c r="F43" s="156">
        <f t="shared" si="4"/>
        <v>0</v>
      </c>
    </row>
    <row r="44" spans="1:6" ht="15.75">
      <c r="A44" s="163">
        <v>2022000000</v>
      </c>
      <c r="B44" s="164" t="s">
        <v>206</v>
      </c>
      <c r="C44" s="160">
        <v>2509.64888</v>
      </c>
      <c r="D44" s="157">
        <v>266.976</v>
      </c>
      <c r="E44" s="156">
        <f t="shared" si="3"/>
        <v>10.637982154698866</v>
      </c>
      <c r="F44" s="156">
        <f t="shared" si="4"/>
        <v>-2242.67288</v>
      </c>
    </row>
    <row r="45" spans="1:6" ht="17.25" customHeight="1">
      <c r="A45" s="163">
        <v>2023000000</v>
      </c>
      <c r="B45" s="164" t="s">
        <v>207</v>
      </c>
      <c r="C45" s="160">
        <v>103.383</v>
      </c>
      <c r="D45" s="175">
        <v>94.3725</v>
      </c>
      <c r="E45" s="156">
        <f t="shared" si="3"/>
        <v>91.28435042511825</v>
      </c>
      <c r="F45" s="156">
        <f t="shared" si="4"/>
        <v>-9.010499999999993</v>
      </c>
    </row>
    <row r="46" spans="1:6" ht="23.25" customHeight="1">
      <c r="A46" s="163">
        <v>2020400000</v>
      </c>
      <c r="B46" s="164" t="s">
        <v>102</v>
      </c>
      <c r="C46" s="160">
        <v>4670.69495</v>
      </c>
      <c r="D46" s="176">
        <v>3047.51495</v>
      </c>
      <c r="E46" s="156">
        <f t="shared" si="3"/>
        <v>65.2475698503924</v>
      </c>
      <c r="F46" s="156">
        <f t="shared" si="4"/>
        <v>-1623.1799999999998</v>
      </c>
    </row>
    <row r="47" spans="1:6" ht="21.75" customHeight="1" hidden="1">
      <c r="A47" s="163">
        <v>2020900000</v>
      </c>
      <c r="B47" s="167" t="s">
        <v>329</v>
      </c>
      <c r="C47" s="160"/>
      <c r="D47" s="176"/>
      <c r="E47" s="156" t="e">
        <f t="shared" si="3"/>
        <v>#DIV/0!</v>
      </c>
      <c r="F47" s="156">
        <f t="shared" si="4"/>
        <v>0</v>
      </c>
    </row>
    <row r="48" spans="1:6" ht="23.25" customHeight="1" hidden="1">
      <c r="A48" s="154">
        <v>2190500005</v>
      </c>
      <c r="B48" s="159" t="s">
        <v>209</v>
      </c>
      <c r="C48" s="162"/>
      <c r="D48" s="162"/>
      <c r="E48" s="151"/>
      <c r="F48" s="151">
        <f t="shared" si="4"/>
        <v>0</v>
      </c>
    </row>
    <row r="49" spans="1:6" s="140" customFormat="1" ht="27.75" customHeight="1">
      <c r="A49" s="149">
        <v>3000000000</v>
      </c>
      <c r="B49" s="158" t="s">
        <v>210</v>
      </c>
      <c r="C49" s="261">
        <v>0</v>
      </c>
      <c r="D49" s="162">
        <v>0</v>
      </c>
      <c r="E49" s="151" t="e">
        <f>SUM(D49/C49*100)</f>
        <v>#DIV/0!</v>
      </c>
      <c r="F49" s="151">
        <f t="shared" si="4"/>
        <v>0</v>
      </c>
    </row>
    <row r="50" spans="1:6" s="140" customFormat="1" ht="34.5" customHeight="1">
      <c r="A50" s="154">
        <v>2070500010</v>
      </c>
      <c r="B50" s="155" t="s">
        <v>355</v>
      </c>
      <c r="C50" s="160">
        <v>18.3</v>
      </c>
      <c r="D50" s="157">
        <v>18.3</v>
      </c>
      <c r="E50" s="156">
        <f>SUM(D50/C50*100)</f>
        <v>100</v>
      </c>
      <c r="F50" s="156">
        <f t="shared" si="4"/>
        <v>0</v>
      </c>
    </row>
    <row r="51" spans="1:8" s="140" customFormat="1" ht="19.5" customHeight="1">
      <c r="A51" s="149"/>
      <c r="B51" s="150" t="s">
        <v>211</v>
      </c>
      <c r="C51" s="289">
        <f>C40+C41</f>
        <v>11793.906829999998</v>
      </c>
      <c r="D51" s="280">
        <f>D40+D41</f>
        <v>7534.87722</v>
      </c>
      <c r="E51" s="271">
        <f>SUM(D51/C51*100)</f>
        <v>63.88788150194333</v>
      </c>
      <c r="F51" s="271">
        <f t="shared" si="4"/>
        <v>-4259.029609999998</v>
      </c>
      <c r="G51" s="187"/>
      <c r="H51" s="187"/>
    </row>
    <row r="52" spans="1:6" s="140" customFormat="1" ht="15.75">
      <c r="A52" s="149"/>
      <c r="B52" s="189" t="s">
        <v>212</v>
      </c>
      <c r="C52" s="271">
        <f>C51-C98</f>
        <v>-29.91055000000233</v>
      </c>
      <c r="D52" s="271">
        <f>D51-D98</f>
        <v>574.5703600000006</v>
      </c>
      <c r="E52" s="191"/>
      <c r="F52" s="191"/>
    </row>
    <row r="53" spans="1:6" ht="15.75">
      <c r="A53" s="192"/>
      <c r="B53" s="193"/>
      <c r="C53" s="194"/>
      <c r="D53" s="194"/>
      <c r="E53" s="195"/>
      <c r="F53" s="244"/>
    </row>
    <row r="54" spans="1:6" ht="46.5" customHeight="1">
      <c r="A54" s="197" t="s">
        <v>141</v>
      </c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15.75">
      <c r="A55" s="246">
        <v>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29.25" customHeight="1">
      <c r="A56" s="201" t="s">
        <v>33</v>
      </c>
      <c r="B56" s="202" t="s">
        <v>214</v>
      </c>
      <c r="C56" s="300">
        <f>C57+C58+C59+C60+C61+C63+C62</f>
        <v>1717.994</v>
      </c>
      <c r="D56" s="291">
        <f>D57+D58+D59+D60+D61+D63+D62</f>
        <v>1565.17482</v>
      </c>
      <c r="E56" s="203">
        <f>SUM(D56/C56*100)</f>
        <v>91.1047896558428</v>
      </c>
      <c r="F56" s="203">
        <f>SUM(D56-C56)</f>
        <v>-152.81917999999996</v>
      </c>
    </row>
    <row r="57" spans="1:6" s="140" customFormat="1" ht="31.5" hidden="1">
      <c r="A57" s="204" t="s">
        <v>215</v>
      </c>
      <c r="B57" s="205" t="s">
        <v>216</v>
      </c>
      <c r="C57" s="284"/>
      <c r="D57" s="313"/>
      <c r="E57" s="206"/>
      <c r="F57" s="206"/>
    </row>
    <row r="58" spans="1:6" ht="15.75">
      <c r="A58" s="204" t="s">
        <v>217</v>
      </c>
      <c r="B58" s="207" t="s">
        <v>218</v>
      </c>
      <c r="C58" s="284">
        <v>1585.5</v>
      </c>
      <c r="D58" s="284">
        <v>1536.68082</v>
      </c>
      <c r="E58" s="206">
        <f>SUM(D58/C58*100)</f>
        <v>96.92089687795648</v>
      </c>
      <c r="F58" s="206">
        <f aca="true" t="shared" si="5" ref="F58:F87">SUM(D58-C58)</f>
        <v>-48.81917999999996</v>
      </c>
    </row>
    <row r="59" spans="1:6" ht="16.5" customHeight="1" hidden="1">
      <c r="A59" s="204" t="s">
        <v>219</v>
      </c>
      <c r="B59" s="207" t="s">
        <v>220</v>
      </c>
      <c r="C59" s="284"/>
      <c r="D59" s="284"/>
      <c r="E59" s="206"/>
      <c r="F59" s="206">
        <f t="shared" si="5"/>
        <v>0</v>
      </c>
    </row>
    <row r="60" spans="1:6" ht="31.5" customHeight="1" hidden="1">
      <c r="A60" s="204" t="s">
        <v>221</v>
      </c>
      <c r="B60" s="207" t="s">
        <v>222</v>
      </c>
      <c r="C60" s="284"/>
      <c r="D60" s="284"/>
      <c r="E60" s="206" t="e">
        <f aca="true" t="shared" si="6" ref="E60:E86">SUM(D60/C60*100)</f>
        <v>#DIV/0!</v>
      </c>
      <c r="F60" s="206">
        <f t="shared" si="5"/>
        <v>0</v>
      </c>
    </row>
    <row r="61" spans="1:6" ht="17.25" customHeight="1">
      <c r="A61" s="204" t="s">
        <v>223</v>
      </c>
      <c r="B61" s="207" t="s">
        <v>224</v>
      </c>
      <c r="C61" s="284">
        <v>10.26</v>
      </c>
      <c r="D61" s="284">
        <v>10.26</v>
      </c>
      <c r="E61" s="206">
        <f t="shared" si="6"/>
        <v>100</v>
      </c>
      <c r="F61" s="206">
        <f t="shared" si="5"/>
        <v>0</v>
      </c>
    </row>
    <row r="62" spans="1:6" ht="15.75" customHeight="1">
      <c r="A62" s="204" t="s">
        <v>225</v>
      </c>
      <c r="B62" s="207" t="s">
        <v>226</v>
      </c>
      <c r="C62" s="294">
        <v>100</v>
      </c>
      <c r="D62" s="294">
        <v>0</v>
      </c>
      <c r="E62" s="206">
        <f t="shared" si="6"/>
        <v>0</v>
      </c>
      <c r="F62" s="206">
        <f t="shared" si="5"/>
        <v>-100</v>
      </c>
    </row>
    <row r="63" spans="1:6" ht="18" customHeight="1">
      <c r="A63" s="204" t="s">
        <v>227</v>
      </c>
      <c r="B63" s="207" t="s">
        <v>228</v>
      </c>
      <c r="C63" s="284">
        <v>22.234</v>
      </c>
      <c r="D63" s="284">
        <v>18.234</v>
      </c>
      <c r="E63" s="206">
        <f t="shared" si="6"/>
        <v>82.00953494647837</v>
      </c>
      <c r="F63" s="206">
        <f t="shared" si="5"/>
        <v>-4</v>
      </c>
    </row>
    <row r="64" spans="1:6" s="140" customFormat="1" ht="15.75">
      <c r="A64" s="209" t="s">
        <v>35</v>
      </c>
      <c r="B64" s="210" t="s">
        <v>229</v>
      </c>
      <c r="C64" s="282">
        <f>C65</f>
        <v>103.383</v>
      </c>
      <c r="D64" s="282">
        <f>D65</f>
        <v>85.14947</v>
      </c>
      <c r="E64" s="203">
        <f t="shared" si="6"/>
        <v>82.36312546550207</v>
      </c>
      <c r="F64" s="203">
        <f t="shared" si="5"/>
        <v>-18.233530000000002</v>
      </c>
    </row>
    <row r="65" spans="1:6" ht="15.75">
      <c r="A65" s="211" t="s">
        <v>230</v>
      </c>
      <c r="B65" s="212" t="s">
        <v>231</v>
      </c>
      <c r="C65" s="284">
        <v>103.383</v>
      </c>
      <c r="D65" s="284">
        <v>85.14947</v>
      </c>
      <c r="E65" s="206">
        <f t="shared" si="6"/>
        <v>82.36312546550207</v>
      </c>
      <c r="F65" s="206">
        <f t="shared" si="5"/>
        <v>-18.233530000000002</v>
      </c>
    </row>
    <row r="66" spans="1:6" s="140" customFormat="1" ht="18.75" customHeight="1">
      <c r="A66" s="201" t="s">
        <v>37</v>
      </c>
      <c r="B66" s="202" t="s">
        <v>232</v>
      </c>
      <c r="C66" s="282">
        <f>C69+C70+C71</f>
        <v>18.5</v>
      </c>
      <c r="D66" s="282">
        <f>SUM(D69+D70+D71)</f>
        <v>8.11148</v>
      </c>
      <c r="E66" s="203">
        <f t="shared" si="6"/>
        <v>43.845837837837834</v>
      </c>
      <c r="F66" s="203">
        <f t="shared" si="5"/>
        <v>-10.38852</v>
      </c>
    </row>
    <row r="67" spans="1:6" ht="15.75" hidden="1">
      <c r="A67" s="204" t="s">
        <v>233</v>
      </c>
      <c r="B67" s="207" t="s">
        <v>234</v>
      </c>
      <c r="C67" s="284"/>
      <c r="D67" s="284"/>
      <c r="E67" s="203" t="e">
        <f t="shared" si="6"/>
        <v>#DIV/0!</v>
      </c>
      <c r="F67" s="203">
        <f t="shared" si="5"/>
        <v>0</v>
      </c>
    </row>
    <row r="68" spans="1:6" ht="15.75" hidden="1">
      <c r="A68" s="213" t="s">
        <v>235</v>
      </c>
      <c r="B68" s="207" t="s">
        <v>317</v>
      </c>
      <c r="C68" s="284"/>
      <c r="D68" s="284"/>
      <c r="E68" s="203" t="e">
        <f t="shared" si="6"/>
        <v>#DIV/0!</v>
      </c>
      <c r="F68" s="203">
        <f t="shared" si="5"/>
        <v>0</v>
      </c>
    </row>
    <row r="69" spans="1:6" ht="16.5" customHeight="1">
      <c r="A69" s="214" t="s">
        <v>237</v>
      </c>
      <c r="B69" s="215" t="s">
        <v>238</v>
      </c>
      <c r="C69" s="292">
        <v>3</v>
      </c>
      <c r="D69" s="284">
        <v>2.81148</v>
      </c>
      <c r="E69" s="206">
        <f t="shared" si="6"/>
        <v>93.716</v>
      </c>
      <c r="F69" s="206">
        <f t="shared" si="5"/>
        <v>-0.18852000000000002</v>
      </c>
    </row>
    <row r="70" spans="1:6" ht="15.75" customHeight="1">
      <c r="A70" s="214" t="s">
        <v>239</v>
      </c>
      <c r="B70" s="215" t="s">
        <v>240</v>
      </c>
      <c r="C70" s="284">
        <v>13.5</v>
      </c>
      <c r="D70" s="284">
        <v>5.3</v>
      </c>
      <c r="E70" s="206">
        <f t="shared" si="6"/>
        <v>39.25925925925926</v>
      </c>
      <c r="F70" s="206">
        <f t="shared" si="5"/>
        <v>-8.2</v>
      </c>
    </row>
    <row r="71" spans="1:6" ht="15.75" customHeight="1">
      <c r="A71" s="214" t="s">
        <v>241</v>
      </c>
      <c r="B71" s="215" t="s">
        <v>345</v>
      </c>
      <c r="C71" s="284">
        <v>2</v>
      </c>
      <c r="D71" s="284">
        <v>0</v>
      </c>
      <c r="E71" s="206">
        <f t="shared" si="6"/>
        <v>0</v>
      </c>
      <c r="F71" s="206">
        <f t="shared" si="5"/>
        <v>-2</v>
      </c>
    </row>
    <row r="72" spans="1:6" s="140" customFormat="1" ht="15" customHeight="1">
      <c r="A72" s="201" t="s">
        <v>39</v>
      </c>
      <c r="B72" s="202" t="s">
        <v>243</v>
      </c>
      <c r="C72" s="252">
        <f>SUM(C73:C76)</f>
        <v>1213.47855</v>
      </c>
      <c r="D72" s="252">
        <f>SUM(D73:D76)</f>
        <v>724.55262</v>
      </c>
      <c r="E72" s="203">
        <f t="shared" si="6"/>
        <v>59.708729091255876</v>
      </c>
      <c r="F72" s="203">
        <f t="shared" si="5"/>
        <v>-488.92593</v>
      </c>
    </row>
    <row r="73" spans="1:6" ht="15.75" customHeight="1" hidden="1">
      <c r="A73" s="204" t="s">
        <v>246</v>
      </c>
      <c r="B73" s="207" t="s">
        <v>319</v>
      </c>
      <c r="C73" s="285"/>
      <c r="D73" s="284">
        <v>0</v>
      </c>
      <c r="E73" s="206" t="e">
        <f t="shared" si="6"/>
        <v>#DIV/0!</v>
      </c>
      <c r="F73" s="206">
        <f t="shared" si="5"/>
        <v>0</v>
      </c>
    </row>
    <row r="74" spans="1:7" s="140" customFormat="1" ht="19.5" customHeight="1" hidden="1">
      <c r="A74" s="204" t="s">
        <v>248</v>
      </c>
      <c r="B74" s="207" t="s">
        <v>320</v>
      </c>
      <c r="C74" s="285"/>
      <c r="D74" s="284"/>
      <c r="E74" s="206" t="e">
        <f t="shared" si="6"/>
        <v>#DIV/0!</v>
      </c>
      <c r="F74" s="206">
        <f t="shared" si="5"/>
        <v>0</v>
      </c>
      <c r="G74" s="143"/>
    </row>
    <row r="75" spans="1:6" ht="15.75">
      <c r="A75" s="204" t="s">
        <v>250</v>
      </c>
      <c r="B75" s="207" t="s">
        <v>251</v>
      </c>
      <c r="C75" s="285">
        <v>1153.47855</v>
      </c>
      <c r="D75" s="284">
        <v>713.55262</v>
      </c>
      <c r="E75" s="206">
        <f t="shared" si="6"/>
        <v>61.8609353420573</v>
      </c>
      <c r="F75" s="206">
        <f t="shared" si="5"/>
        <v>-439.92593</v>
      </c>
    </row>
    <row r="76" spans="1:6" ht="16.5" customHeight="1">
      <c r="A76" s="204" t="s">
        <v>252</v>
      </c>
      <c r="B76" s="207" t="s">
        <v>253</v>
      </c>
      <c r="C76" s="285">
        <v>60</v>
      </c>
      <c r="D76" s="284">
        <v>11</v>
      </c>
      <c r="E76" s="206">
        <f t="shared" si="6"/>
        <v>18.333333333333332</v>
      </c>
      <c r="F76" s="206">
        <f t="shared" si="5"/>
        <v>-49</v>
      </c>
    </row>
    <row r="77" spans="1:6" s="140" customFormat="1" ht="14.25" customHeight="1">
      <c r="A77" s="201" t="s">
        <v>41</v>
      </c>
      <c r="B77" s="202" t="s">
        <v>254</v>
      </c>
      <c r="C77" s="282">
        <f>SUM(C78:C80)</f>
        <v>7234.196830000001</v>
      </c>
      <c r="D77" s="282">
        <f>SUM(D78:D80)</f>
        <v>3712.20347</v>
      </c>
      <c r="E77" s="203">
        <f t="shared" si="6"/>
        <v>51.314659487914426</v>
      </c>
      <c r="F77" s="203">
        <f t="shared" si="5"/>
        <v>-3521.993360000001</v>
      </c>
    </row>
    <row r="78" spans="1:6" ht="18" customHeight="1" hidden="1">
      <c r="A78" s="204" t="s">
        <v>255</v>
      </c>
      <c r="B78" s="218" t="s">
        <v>256</v>
      </c>
      <c r="C78" s="284">
        <v>0</v>
      </c>
      <c r="D78" s="284">
        <v>0</v>
      </c>
      <c r="E78" s="206" t="e">
        <f t="shared" si="6"/>
        <v>#DIV/0!</v>
      </c>
      <c r="F78" s="206">
        <f t="shared" si="5"/>
        <v>0</v>
      </c>
    </row>
    <row r="79" spans="1:6" ht="17.25" customHeight="1">
      <c r="A79" s="204" t="s">
        <v>257</v>
      </c>
      <c r="B79" s="218" t="s">
        <v>258</v>
      </c>
      <c r="C79" s="284">
        <v>4729.05295</v>
      </c>
      <c r="D79" s="284">
        <v>3301.13373</v>
      </c>
      <c r="E79" s="206">
        <f t="shared" si="6"/>
        <v>69.80538735562266</v>
      </c>
      <c r="F79" s="206">
        <f t="shared" si="5"/>
        <v>-1427.9192200000002</v>
      </c>
    </row>
    <row r="80" spans="1:6" ht="15.75">
      <c r="A80" s="204" t="s">
        <v>259</v>
      </c>
      <c r="B80" s="207" t="s">
        <v>260</v>
      </c>
      <c r="C80" s="284">
        <v>2505.14388</v>
      </c>
      <c r="D80" s="284">
        <v>411.06974</v>
      </c>
      <c r="E80" s="206">
        <f t="shared" si="6"/>
        <v>16.409027173321476</v>
      </c>
      <c r="F80" s="206">
        <f t="shared" si="5"/>
        <v>-2094.07414</v>
      </c>
    </row>
    <row r="81" spans="1:6" s="140" customFormat="1" ht="15.75">
      <c r="A81" s="201" t="s">
        <v>47</v>
      </c>
      <c r="B81" s="202" t="s">
        <v>275</v>
      </c>
      <c r="C81" s="282">
        <f>C82</f>
        <v>1526.9</v>
      </c>
      <c r="D81" s="282">
        <f>SUM(D82)</f>
        <v>855.75</v>
      </c>
      <c r="E81" s="203">
        <f t="shared" si="6"/>
        <v>56.04492763114808</v>
      </c>
      <c r="F81" s="203">
        <f t="shared" si="5"/>
        <v>-671.1500000000001</v>
      </c>
    </row>
    <row r="82" spans="1:6" ht="17.25" customHeight="1">
      <c r="A82" s="204" t="s">
        <v>276</v>
      </c>
      <c r="B82" s="207" t="s">
        <v>277</v>
      </c>
      <c r="C82" s="284">
        <v>1526.9</v>
      </c>
      <c r="D82" s="284">
        <v>855.75</v>
      </c>
      <c r="E82" s="206">
        <f t="shared" si="6"/>
        <v>56.04492763114808</v>
      </c>
      <c r="F82" s="206">
        <f t="shared" si="5"/>
        <v>-671.1500000000001</v>
      </c>
    </row>
    <row r="83" spans="1:6" s="140" customFormat="1" ht="21.75" customHeight="1" hidden="1">
      <c r="A83" s="219">
        <v>1000</v>
      </c>
      <c r="B83" s="202" t="s">
        <v>280</v>
      </c>
      <c r="C83" s="282">
        <f>SUM(C84:C87)</f>
        <v>0</v>
      </c>
      <c r="D83" s="282">
        <f>SUM(D84:D87)</f>
        <v>0</v>
      </c>
      <c r="E83" s="203" t="e">
        <f t="shared" si="6"/>
        <v>#DIV/0!</v>
      </c>
      <c r="F83" s="203">
        <f t="shared" si="5"/>
        <v>0</v>
      </c>
    </row>
    <row r="84" spans="1:6" ht="18" customHeight="1" hidden="1">
      <c r="A84" s="220">
        <v>1001</v>
      </c>
      <c r="B84" s="221" t="s">
        <v>281</v>
      </c>
      <c r="C84" s="284"/>
      <c r="D84" s="284"/>
      <c r="E84" s="206" t="e">
        <f t="shared" si="6"/>
        <v>#DIV/0!</v>
      </c>
      <c r="F84" s="206">
        <f t="shared" si="5"/>
        <v>0</v>
      </c>
    </row>
    <row r="85" spans="1:6" ht="17.25" customHeight="1" hidden="1">
      <c r="A85" s="220">
        <v>1003</v>
      </c>
      <c r="B85" s="221" t="s">
        <v>282</v>
      </c>
      <c r="C85" s="284">
        <v>0</v>
      </c>
      <c r="D85" s="284">
        <v>0</v>
      </c>
      <c r="E85" s="206" t="e">
        <f t="shared" si="6"/>
        <v>#DIV/0!</v>
      </c>
      <c r="F85" s="206">
        <f t="shared" si="5"/>
        <v>0</v>
      </c>
    </row>
    <row r="86" spans="1:6" ht="23.25" customHeight="1" hidden="1">
      <c r="A86" s="220">
        <v>1004</v>
      </c>
      <c r="B86" s="221" t="s">
        <v>283</v>
      </c>
      <c r="C86" s="284"/>
      <c r="D86" s="286"/>
      <c r="E86" s="206" t="e">
        <f t="shared" si="6"/>
        <v>#DIV/0!</v>
      </c>
      <c r="F86" s="206">
        <f t="shared" si="5"/>
        <v>0</v>
      </c>
    </row>
    <row r="87" spans="1:6" ht="17.25" customHeight="1" hidden="1">
      <c r="A87" s="204" t="s">
        <v>284</v>
      </c>
      <c r="B87" s="207" t="s">
        <v>285</v>
      </c>
      <c r="C87" s="284">
        <v>0</v>
      </c>
      <c r="D87" s="284">
        <v>0</v>
      </c>
      <c r="E87" s="206"/>
      <c r="F87" s="206">
        <f t="shared" si="5"/>
        <v>0</v>
      </c>
    </row>
    <row r="88" spans="1:6" ht="15.75">
      <c r="A88" s="201" t="s">
        <v>51</v>
      </c>
      <c r="B88" s="202" t="s">
        <v>286</v>
      </c>
      <c r="C88" s="282">
        <f>C89+C90+C91+C92+C93</f>
        <v>9.365</v>
      </c>
      <c r="D88" s="282">
        <f>D89</f>
        <v>9.365</v>
      </c>
      <c r="E88" s="206">
        <f aca="true" t="shared" si="7" ref="E88:E98">SUM(D88/C88*100)</f>
        <v>100</v>
      </c>
      <c r="F88" s="191">
        <f>F89+F90+F91+F92+F93</f>
        <v>0</v>
      </c>
    </row>
    <row r="89" spans="1:7" ht="19.5" customHeight="1">
      <c r="A89" s="204" t="s">
        <v>287</v>
      </c>
      <c r="B89" s="207" t="s">
        <v>288</v>
      </c>
      <c r="C89" s="284">
        <v>9.365</v>
      </c>
      <c r="D89" s="284">
        <v>9.365</v>
      </c>
      <c r="E89" s="206">
        <f t="shared" si="7"/>
        <v>100</v>
      </c>
      <c r="F89" s="206">
        <f>SUM(D89-C89)</f>
        <v>0</v>
      </c>
      <c r="G89" s="314"/>
    </row>
    <row r="90" spans="1:6" ht="15.75" customHeight="1" hidden="1">
      <c r="A90" s="204" t="s">
        <v>289</v>
      </c>
      <c r="B90" s="207" t="s">
        <v>290</v>
      </c>
      <c r="C90" s="284"/>
      <c r="D90" s="284"/>
      <c r="E90" s="206" t="e">
        <f t="shared" si="7"/>
        <v>#DIV/0!</v>
      </c>
      <c r="F90" s="206">
        <f>SUM(D90-C90)</f>
        <v>0</v>
      </c>
    </row>
    <row r="91" spans="1:6" ht="15.75" customHeight="1" hidden="1">
      <c r="A91" s="204" t="s">
        <v>291</v>
      </c>
      <c r="B91" s="207" t="s">
        <v>292</v>
      </c>
      <c r="C91" s="284"/>
      <c r="D91" s="284" t="s">
        <v>365</v>
      </c>
      <c r="E91" s="206" t="e">
        <f t="shared" si="7"/>
        <v>#VALUE!</v>
      </c>
      <c r="F91" s="206"/>
    </row>
    <row r="92" spans="1:6" ht="15.75" customHeight="1" hidden="1">
      <c r="A92" s="204" t="s">
        <v>293</v>
      </c>
      <c r="B92" s="207" t="s">
        <v>294</v>
      </c>
      <c r="C92" s="284"/>
      <c r="D92" s="284"/>
      <c r="E92" s="206" t="e">
        <f t="shared" si="7"/>
        <v>#DIV/0!</v>
      </c>
      <c r="F92" s="206"/>
    </row>
    <row r="93" spans="1:6" ht="15.75" customHeight="1" hidden="1">
      <c r="A93" s="204" t="s">
        <v>295</v>
      </c>
      <c r="B93" s="207" t="s">
        <v>296</v>
      </c>
      <c r="C93" s="284"/>
      <c r="D93" s="284"/>
      <c r="E93" s="206" t="e">
        <f t="shared" si="7"/>
        <v>#DIV/0!</v>
      </c>
      <c r="F93" s="206"/>
    </row>
    <row r="94" spans="1:6" s="140" customFormat="1" ht="15.75" customHeight="1" hidden="1">
      <c r="A94" s="219">
        <v>1400</v>
      </c>
      <c r="B94" s="223" t="s">
        <v>303</v>
      </c>
      <c r="C94" s="252">
        <f>C95+C96+C97</f>
        <v>0</v>
      </c>
      <c r="D94" s="252">
        <f>SUM(D95:D97)</f>
        <v>0</v>
      </c>
      <c r="E94" s="203" t="e">
        <f t="shared" si="7"/>
        <v>#DIV/0!</v>
      </c>
      <c r="F94" s="203">
        <f>SUM(D94-C94)</f>
        <v>0</v>
      </c>
    </row>
    <row r="95" spans="1:6" ht="15.75" customHeight="1" hidden="1">
      <c r="A95" s="220">
        <v>1401</v>
      </c>
      <c r="B95" s="221" t="s">
        <v>304</v>
      </c>
      <c r="C95" s="285"/>
      <c r="D95" s="284"/>
      <c r="E95" s="206" t="e">
        <f t="shared" si="7"/>
        <v>#DIV/0!</v>
      </c>
      <c r="F95" s="206">
        <f>SUM(D95-C95)</f>
        <v>0</v>
      </c>
    </row>
    <row r="96" spans="1:6" ht="15.75" customHeight="1" hidden="1">
      <c r="A96" s="220">
        <v>1402</v>
      </c>
      <c r="B96" s="221" t="s">
        <v>305</v>
      </c>
      <c r="C96" s="285"/>
      <c r="D96" s="284"/>
      <c r="E96" s="206" t="e">
        <f t="shared" si="7"/>
        <v>#DIV/0!</v>
      </c>
      <c r="F96" s="206">
        <f>SUM(D96-C96)</f>
        <v>0</v>
      </c>
    </row>
    <row r="97" spans="1:6" ht="15.75" customHeight="1" hidden="1">
      <c r="A97" s="220">
        <v>1403</v>
      </c>
      <c r="B97" s="221" t="s">
        <v>306</v>
      </c>
      <c r="C97" s="285">
        <v>0</v>
      </c>
      <c r="D97" s="284">
        <v>0</v>
      </c>
      <c r="E97" s="206" t="e">
        <f t="shared" si="7"/>
        <v>#DIV/0!</v>
      </c>
      <c r="F97" s="206">
        <f>SUM(D97-C97)</f>
        <v>0</v>
      </c>
    </row>
    <row r="98" spans="1:8" s="140" customFormat="1" ht="15.75" customHeight="1">
      <c r="A98" s="219"/>
      <c r="B98" s="224" t="s">
        <v>307</v>
      </c>
      <c r="C98" s="310">
        <f>C56+C64+C66+C72+C77+C81+C83+C88+C94</f>
        <v>11823.81738</v>
      </c>
      <c r="D98" s="279">
        <f>D56+D64+D66+D72+D77+D81+D83+D88+D94</f>
        <v>6960.30686</v>
      </c>
      <c r="E98" s="203">
        <f t="shared" si="7"/>
        <v>58.86683324264942</v>
      </c>
      <c r="F98" s="203">
        <f>SUM(D98-C98)</f>
        <v>-4863.510520000001</v>
      </c>
      <c r="G98" s="187"/>
      <c r="H98" s="187"/>
    </row>
    <row r="99" spans="3:4" ht="15.75">
      <c r="C99" s="227"/>
      <c r="D99" s="228"/>
    </row>
    <row r="100" spans="1:5" s="144" customFormat="1" ht="16.5" customHeight="1">
      <c r="A100" s="229" t="s">
        <v>308</v>
      </c>
      <c r="B100" s="229"/>
      <c r="C100" s="230"/>
      <c r="D100" s="230"/>
      <c r="E100" s="315"/>
    </row>
    <row r="101" spans="1:3" s="144" customFormat="1" ht="20.25" customHeight="1">
      <c r="A101" s="231" t="s">
        <v>309</v>
      </c>
      <c r="B101" s="231"/>
      <c r="C101" s="144" t="s">
        <v>310</v>
      </c>
    </row>
    <row r="102" ht="13.5" customHeight="1">
      <c r="C102" s="265"/>
    </row>
    <row r="104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view="pageBreakPreview" zoomScale="70" zoomScaleSheetLayoutView="70" zoomScalePageLayoutView="0" workbookViewId="0" topLeftCell="A26">
      <selection activeCell="D37" sqref="D37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5.00390625" style="138" customWidth="1"/>
    <col min="4" max="4" width="17.421875" style="138" customWidth="1"/>
    <col min="5" max="5" width="10.8515625" style="138" customWidth="1"/>
    <col min="6" max="6" width="12.5742187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9" t="s">
        <v>436</v>
      </c>
      <c r="B1" s="469"/>
      <c r="C1" s="469"/>
      <c r="D1" s="469"/>
      <c r="E1" s="469"/>
      <c r="F1" s="469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786.0699999999999</v>
      </c>
      <c r="D4" s="151">
        <f>D5+D12+D14+D17+D7</f>
        <v>785.4149799999999</v>
      </c>
      <c r="E4" s="151">
        <f aca="true" t="shared" si="0" ref="E4:E47">SUM(D4/C4*100)</f>
        <v>99.91667154324678</v>
      </c>
      <c r="F4" s="151">
        <f aca="true" t="shared" si="1" ref="F4:F47">SUM(D4-C4)</f>
        <v>-0.6550200000000359</v>
      </c>
    </row>
    <row r="5" spans="1:6" s="140" customFormat="1" ht="15.75">
      <c r="A5" s="152">
        <v>1010000000</v>
      </c>
      <c r="B5" s="153" t="s">
        <v>146</v>
      </c>
      <c r="C5" s="151">
        <f>C6</f>
        <v>59.1</v>
      </c>
      <c r="D5" s="151">
        <f>D6</f>
        <v>40.18429</v>
      </c>
      <c r="E5" s="151">
        <f t="shared" si="0"/>
        <v>67.99372250423012</v>
      </c>
      <c r="F5" s="151">
        <f t="shared" si="1"/>
        <v>-18.915710000000004</v>
      </c>
    </row>
    <row r="6" spans="1:6" ht="15.75">
      <c r="A6" s="154">
        <v>1010200001</v>
      </c>
      <c r="B6" s="155" t="s">
        <v>147</v>
      </c>
      <c r="C6" s="156">
        <v>59.1</v>
      </c>
      <c r="D6" s="157">
        <v>40.18429</v>
      </c>
      <c r="E6" s="156">
        <f t="shared" si="0"/>
        <v>67.99372250423012</v>
      </c>
      <c r="F6" s="156">
        <f t="shared" si="1"/>
        <v>-18.915710000000004</v>
      </c>
    </row>
    <row r="7" spans="1:6" ht="31.5">
      <c r="A7" s="149">
        <v>1030000000</v>
      </c>
      <c r="B7" s="158" t="s">
        <v>148</v>
      </c>
      <c r="C7" s="151">
        <f>C8+C10+C9</f>
        <v>365.96999999999997</v>
      </c>
      <c r="D7" s="151">
        <f>D8+D10+D9+D11</f>
        <v>374.62703</v>
      </c>
      <c r="E7" s="151">
        <f t="shared" si="0"/>
        <v>102.36550263682815</v>
      </c>
      <c r="F7" s="151">
        <f t="shared" si="1"/>
        <v>8.65703000000002</v>
      </c>
    </row>
    <row r="8" spans="1:6" ht="15.75">
      <c r="A8" s="154">
        <v>1030223001</v>
      </c>
      <c r="B8" s="155" t="s">
        <v>149</v>
      </c>
      <c r="C8" s="156">
        <v>136.51</v>
      </c>
      <c r="D8" s="157">
        <v>171.71316</v>
      </c>
      <c r="E8" s="156">
        <f t="shared" si="0"/>
        <v>125.78797157717383</v>
      </c>
      <c r="F8" s="156">
        <f t="shared" si="1"/>
        <v>35.20316</v>
      </c>
    </row>
    <row r="9" spans="1:6" ht="15.75">
      <c r="A9" s="154">
        <v>1030224001</v>
      </c>
      <c r="B9" s="155" t="s">
        <v>150</v>
      </c>
      <c r="C9" s="156">
        <v>1.46</v>
      </c>
      <c r="D9" s="157">
        <v>1.218</v>
      </c>
      <c r="E9" s="156">
        <f t="shared" si="0"/>
        <v>83.42465753424658</v>
      </c>
      <c r="F9" s="156">
        <f t="shared" si="1"/>
        <v>-0.242</v>
      </c>
    </row>
    <row r="10" spans="1:6" ht="15.75">
      <c r="A10" s="154">
        <v>1030225001</v>
      </c>
      <c r="B10" s="155" t="s">
        <v>151</v>
      </c>
      <c r="C10" s="156">
        <v>228</v>
      </c>
      <c r="D10" s="157">
        <v>230.79006</v>
      </c>
      <c r="E10" s="156">
        <f t="shared" si="0"/>
        <v>101.2237105263158</v>
      </c>
      <c r="F10" s="156">
        <f t="shared" si="1"/>
        <v>2.790060000000011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-29.09419</v>
      </c>
      <c r="E11" s="156" t="e">
        <f t="shared" si="0"/>
        <v>#DIV/0!</v>
      </c>
      <c r="F11" s="156">
        <f t="shared" si="1"/>
        <v>-29.09419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15.50624</v>
      </c>
      <c r="E12" s="151">
        <f t="shared" si="0"/>
        <v>155.0624</v>
      </c>
      <c r="F12" s="151">
        <f t="shared" si="1"/>
        <v>5.50624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15.50624</v>
      </c>
      <c r="E13" s="156">
        <f t="shared" si="0"/>
        <v>155.0624</v>
      </c>
      <c r="F13" s="156">
        <f t="shared" si="1"/>
        <v>5.50624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348</v>
      </c>
      <c r="D14" s="151">
        <f>D15+D16</f>
        <v>353.69741999999997</v>
      </c>
      <c r="E14" s="151">
        <f t="shared" si="0"/>
        <v>101.6371896551724</v>
      </c>
      <c r="F14" s="151">
        <f t="shared" si="1"/>
        <v>5.6974199999999655</v>
      </c>
    </row>
    <row r="15" spans="1:6" s="140" customFormat="1" ht="15.75" customHeight="1">
      <c r="A15" s="154">
        <v>1060100000</v>
      </c>
      <c r="B15" s="159" t="s">
        <v>159</v>
      </c>
      <c r="C15" s="156">
        <v>75</v>
      </c>
      <c r="D15" s="157">
        <v>65.00593</v>
      </c>
      <c r="E15" s="156">
        <f t="shared" si="0"/>
        <v>86.67457333333334</v>
      </c>
      <c r="F15" s="156">
        <f t="shared" si="1"/>
        <v>-9.994069999999994</v>
      </c>
    </row>
    <row r="16" spans="1:6" ht="15.75" customHeight="1">
      <c r="A16" s="154">
        <v>1060600000</v>
      </c>
      <c r="B16" s="159" t="s">
        <v>162</v>
      </c>
      <c r="C16" s="156">
        <v>273</v>
      </c>
      <c r="D16" s="157">
        <v>288.69149</v>
      </c>
      <c r="E16" s="156">
        <f t="shared" si="0"/>
        <v>105.74779853479852</v>
      </c>
      <c r="F16" s="156">
        <f t="shared" si="1"/>
        <v>15.691489999999988</v>
      </c>
    </row>
    <row r="17" spans="1:6" s="140" customFormat="1" ht="15.75">
      <c r="A17" s="149">
        <v>1080000000</v>
      </c>
      <c r="B17" s="150" t="s">
        <v>165</v>
      </c>
      <c r="C17" s="151">
        <f>C18</f>
        <v>3</v>
      </c>
      <c r="D17" s="151">
        <f>D18</f>
        <v>1.4</v>
      </c>
      <c r="E17" s="151">
        <f t="shared" si="0"/>
        <v>46.666666666666664</v>
      </c>
      <c r="F17" s="151">
        <f t="shared" si="1"/>
        <v>-1.6</v>
      </c>
    </row>
    <row r="18" spans="1:6" ht="16.5" customHeight="1">
      <c r="A18" s="154">
        <v>1080400001</v>
      </c>
      <c r="B18" s="155" t="s">
        <v>167</v>
      </c>
      <c r="C18" s="156">
        <v>3</v>
      </c>
      <c r="D18" s="157">
        <v>1.4</v>
      </c>
      <c r="E18" s="156">
        <f t="shared" si="0"/>
        <v>46.666666666666664</v>
      </c>
      <c r="F18" s="156">
        <f t="shared" si="1"/>
        <v>-1.6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6" customHeight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32.25" customHeight="1">
      <c r="A21" s="154">
        <v>1090100000</v>
      </c>
      <c r="B21" s="155" t="s">
        <v>170</v>
      </c>
      <c r="C21" s="156">
        <v>0</v>
      </c>
      <c r="D21" s="157">
        <v>0</v>
      </c>
      <c r="E21" s="156" t="e">
        <f t="shared" si="0"/>
        <v>#DIV/0!</v>
      </c>
      <c r="F21" s="156">
        <f t="shared" si="1"/>
        <v>0</v>
      </c>
    </row>
    <row r="22" spans="1:6" s="141" customFormat="1" ht="30" customHeight="1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30.7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20.2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 hidden="1">
      <c r="A25" s="149"/>
      <c r="B25" s="150" t="s">
        <v>17</v>
      </c>
      <c r="C25" s="151">
        <f>C26+C29+C31+C37+C34</f>
        <v>521.934</v>
      </c>
      <c r="D25" s="151">
        <f>D26+D29+D31+D37+D34</f>
        <v>328.70557999999994</v>
      </c>
      <c r="E25" s="151">
        <f t="shared" si="0"/>
        <v>62.97838040825084</v>
      </c>
      <c r="F25" s="151">
        <f t="shared" si="1"/>
        <v>-193.22842000000003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166</v>
      </c>
      <c r="D26" s="151">
        <f>D27+D28</f>
        <v>292.35094999999995</v>
      </c>
      <c r="E26" s="151">
        <f t="shared" si="0"/>
        <v>176.11503012048192</v>
      </c>
      <c r="F26" s="151">
        <f t="shared" si="1"/>
        <v>126.35094999999995</v>
      </c>
    </row>
    <row r="27" spans="1:6" ht="15.75">
      <c r="A27" s="163">
        <v>1110502510</v>
      </c>
      <c r="B27" s="164" t="s">
        <v>177</v>
      </c>
      <c r="C27" s="160">
        <v>140</v>
      </c>
      <c r="D27" s="157">
        <v>268.50735</v>
      </c>
      <c r="E27" s="156">
        <f t="shared" si="0"/>
        <v>191.79096428571427</v>
      </c>
      <c r="F27" s="156">
        <f t="shared" si="1"/>
        <v>128.50734999999997</v>
      </c>
    </row>
    <row r="28" spans="1:6" ht="18.75" customHeight="1">
      <c r="A28" s="154">
        <v>1110503505</v>
      </c>
      <c r="B28" s="159" t="s">
        <v>178</v>
      </c>
      <c r="C28" s="160">
        <v>26</v>
      </c>
      <c r="D28" s="157">
        <v>23.8436</v>
      </c>
      <c r="E28" s="156">
        <f t="shared" si="0"/>
        <v>91.70615384615384</v>
      </c>
      <c r="F28" s="156">
        <f t="shared" si="1"/>
        <v>-2.1564000000000014</v>
      </c>
    </row>
    <row r="29" spans="1:6" s="141" customFormat="1" ht="37.5" customHeight="1">
      <c r="A29" s="152">
        <v>1130000000</v>
      </c>
      <c r="B29" s="161" t="s">
        <v>185</v>
      </c>
      <c r="C29" s="151">
        <f>C30</f>
        <v>20</v>
      </c>
      <c r="D29" s="151">
        <f>D30</f>
        <v>34.1746</v>
      </c>
      <c r="E29" s="151">
        <f t="shared" si="0"/>
        <v>170.873</v>
      </c>
      <c r="F29" s="151">
        <f t="shared" si="1"/>
        <v>14.174599999999998</v>
      </c>
    </row>
    <row r="30" spans="1:6" ht="15.75">
      <c r="A30" s="154">
        <v>1130206005</v>
      </c>
      <c r="B30" s="155" t="s">
        <v>187</v>
      </c>
      <c r="C30" s="156">
        <v>20</v>
      </c>
      <c r="D30" s="157">
        <v>34.1746</v>
      </c>
      <c r="E30" s="156">
        <f t="shared" si="0"/>
        <v>170.873</v>
      </c>
      <c r="F30" s="156">
        <f t="shared" si="1"/>
        <v>14.174599999999998</v>
      </c>
    </row>
    <row r="31" spans="1:6" ht="27" customHeight="1">
      <c r="A31" s="165">
        <v>1140000000</v>
      </c>
      <c r="B31" s="166" t="s">
        <v>188</v>
      </c>
      <c r="C31" s="151">
        <f>C32+C33</f>
        <v>335.934</v>
      </c>
      <c r="D31" s="151">
        <f>D32+D33</f>
        <v>0</v>
      </c>
      <c r="E31" s="151">
        <f t="shared" si="0"/>
        <v>0</v>
      </c>
      <c r="F31" s="151">
        <f t="shared" si="1"/>
        <v>-335.934</v>
      </c>
    </row>
    <row r="32" spans="1:6" ht="15.75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5.75">
      <c r="A33" s="154">
        <v>1140600000</v>
      </c>
      <c r="B33" s="155" t="s">
        <v>190</v>
      </c>
      <c r="C33" s="156">
        <v>335.934</v>
      </c>
      <c r="D33" s="157">
        <v>0</v>
      </c>
      <c r="E33" s="156">
        <f t="shared" si="0"/>
        <v>0</v>
      </c>
      <c r="F33" s="156">
        <f t="shared" si="1"/>
        <v>-335.934</v>
      </c>
    </row>
    <row r="34" spans="1:6" ht="15" customHeight="1">
      <c r="A34" s="149">
        <v>1160000000</v>
      </c>
      <c r="B34" s="158" t="s">
        <v>325</v>
      </c>
      <c r="C34" s="162">
        <f>C35+C36</f>
        <v>0</v>
      </c>
      <c r="D34" s="162">
        <f>D35+D36</f>
        <v>0</v>
      </c>
      <c r="E34" s="151" t="e">
        <f t="shared" si="0"/>
        <v>#DIV/0!</v>
      </c>
      <c r="F34" s="151">
        <f t="shared" si="1"/>
        <v>0</v>
      </c>
    </row>
    <row r="35" spans="1:6" ht="47.25">
      <c r="A35" s="154">
        <v>1163305010</v>
      </c>
      <c r="B35" s="155" t="s">
        <v>348</v>
      </c>
      <c r="C35" s="156">
        <v>0</v>
      </c>
      <c r="D35" s="157">
        <v>0</v>
      </c>
      <c r="E35" s="156" t="e">
        <f t="shared" si="0"/>
        <v>#DIV/0!</v>
      </c>
      <c r="F35" s="156">
        <f t="shared" si="1"/>
        <v>0</v>
      </c>
    </row>
    <row r="36" spans="1:6" ht="47.25">
      <c r="A36" s="154">
        <v>1169005010</v>
      </c>
      <c r="B36" s="155" t="s">
        <v>366</v>
      </c>
      <c r="C36" s="156">
        <v>0</v>
      </c>
      <c r="D36" s="157">
        <v>0</v>
      </c>
      <c r="E36" s="156" t="e">
        <f t="shared" si="0"/>
        <v>#DIV/0!</v>
      </c>
      <c r="F36" s="156">
        <f t="shared" si="1"/>
        <v>0</v>
      </c>
    </row>
    <row r="37" spans="1:6" ht="21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2.18003</v>
      </c>
      <c r="E37" s="151" t="e">
        <f t="shared" si="0"/>
        <v>#DIV/0!</v>
      </c>
      <c r="F37" s="151">
        <f t="shared" si="1"/>
        <v>2.18003</v>
      </c>
    </row>
    <row r="38" spans="1:6" ht="17.25" customHeight="1">
      <c r="A38" s="154">
        <v>1170105005</v>
      </c>
      <c r="B38" s="155" t="s">
        <v>199</v>
      </c>
      <c r="C38" s="156">
        <v>0</v>
      </c>
      <c r="D38" s="156">
        <v>2.18003</v>
      </c>
      <c r="E38" s="156" t="e">
        <f t="shared" si="0"/>
        <v>#DIV/0!</v>
      </c>
      <c r="F38" s="156">
        <f t="shared" si="1"/>
        <v>2.18003</v>
      </c>
    </row>
    <row r="39" spans="1:6" ht="18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0"/>
        <v>#DIV/0!</v>
      </c>
      <c r="F39" s="156">
        <f t="shared" si="1"/>
        <v>0</v>
      </c>
    </row>
    <row r="40" spans="1:6" s="140" customFormat="1" ht="15.75">
      <c r="A40" s="149">
        <v>1000000000</v>
      </c>
      <c r="B40" s="150" t="s">
        <v>26</v>
      </c>
      <c r="C40" s="169">
        <f>SUM(C4,C25)</f>
        <v>1308.004</v>
      </c>
      <c r="D40" s="169">
        <f>D4+D25</f>
        <v>1114.1205599999998</v>
      </c>
      <c r="E40" s="151">
        <f t="shared" si="0"/>
        <v>85.17715236344843</v>
      </c>
      <c r="F40" s="151">
        <f t="shared" si="1"/>
        <v>-193.88344000000006</v>
      </c>
    </row>
    <row r="41" spans="1:7" s="140" customFormat="1" ht="15.75">
      <c r="A41" s="149">
        <v>2000000000</v>
      </c>
      <c r="B41" s="150" t="s">
        <v>201</v>
      </c>
      <c r="C41" s="190">
        <f>C42+C43+C44+C45+C46+C47+C50</f>
        <v>6851.834349999999</v>
      </c>
      <c r="D41" s="151">
        <f>D42+D43+D44+D45+D46+D47+D50</f>
        <v>4719.8241499999995</v>
      </c>
      <c r="E41" s="151">
        <f t="shared" si="0"/>
        <v>68.88409597934894</v>
      </c>
      <c r="F41" s="151">
        <f t="shared" si="1"/>
        <v>-2132.0101999999997</v>
      </c>
      <c r="G41" s="171"/>
    </row>
    <row r="42" spans="1:6" ht="15" customHeight="1">
      <c r="A42" s="163">
        <v>2021000000</v>
      </c>
      <c r="B42" s="164" t="s">
        <v>202</v>
      </c>
      <c r="C42" s="160">
        <v>2122.2</v>
      </c>
      <c r="D42" s="160">
        <v>1945.361</v>
      </c>
      <c r="E42" s="156">
        <f t="shared" si="0"/>
        <v>91.66718499670155</v>
      </c>
      <c r="F42" s="156">
        <f t="shared" si="1"/>
        <v>-176.83899999999971</v>
      </c>
    </row>
    <row r="43" spans="1:6" ht="15.75" customHeight="1">
      <c r="A43" s="163">
        <v>2021500200</v>
      </c>
      <c r="B43" s="164" t="s">
        <v>205</v>
      </c>
      <c r="C43" s="160"/>
      <c r="D43" s="173">
        <v>0</v>
      </c>
      <c r="E43" s="156" t="e">
        <f t="shared" si="0"/>
        <v>#DIV/0!</v>
      </c>
      <c r="F43" s="156">
        <f t="shared" si="1"/>
        <v>0</v>
      </c>
    </row>
    <row r="44" spans="1:6" ht="18" customHeight="1">
      <c r="A44" s="163">
        <v>2022000000</v>
      </c>
      <c r="B44" s="164" t="s">
        <v>206</v>
      </c>
      <c r="C44" s="160">
        <v>3233.5907</v>
      </c>
      <c r="D44" s="157">
        <v>1451.465</v>
      </c>
      <c r="E44" s="156">
        <f t="shared" si="0"/>
        <v>44.887097182707755</v>
      </c>
      <c r="F44" s="156">
        <f t="shared" si="1"/>
        <v>-1782.1257000000003</v>
      </c>
    </row>
    <row r="45" spans="1:6" ht="15.75" customHeight="1">
      <c r="A45" s="163">
        <v>2023000000</v>
      </c>
      <c r="B45" s="164" t="s">
        <v>207</v>
      </c>
      <c r="C45" s="160">
        <v>103.383</v>
      </c>
      <c r="D45" s="175">
        <v>94.3725</v>
      </c>
      <c r="E45" s="156">
        <f t="shared" si="0"/>
        <v>91.28435042511825</v>
      </c>
      <c r="F45" s="156">
        <f t="shared" si="1"/>
        <v>-9.010499999999993</v>
      </c>
    </row>
    <row r="46" spans="1:6" ht="15.75" customHeight="1">
      <c r="A46" s="163">
        <v>2024000000</v>
      </c>
      <c r="B46" s="164" t="s">
        <v>102</v>
      </c>
      <c r="C46" s="160">
        <v>1092.184</v>
      </c>
      <c r="D46" s="176">
        <v>978.149</v>
      </c>
      <c r="E46" s="156">
        <f t="shared" si="0"/>
        <v>89.55899372266944</v>
      </c>
      <c r="F46" s="156">
        <f t="shared" si="1"/>
        <v>-114.03499999999997</v>
      </c>
    </row>
    <row r="47" spans="1:6" ht="17.25" customHeight="1">
      <c r="A47" s="163">
        <v>2020900000</v>
      </c>
      <c r="B47" s="167" t="s">
        <v>329</v>
      </c>
      <c r="C47" s="160"/>
      <c r="D47" s="176"/>
      <c r="E47" s="156" t="e">
        <f t="shared" si="0"/>
        <v>#DIV/0!</v>
      </c>
      <c r="F47" s="156">
        <f t="shared" si="1"/>
        <v>0</v>
      </c>
    </row>
    <row r="48" spans="1:6" ht="17.25" customHeight="1">
      <c r="A48" s="163">
        <v>2080500010</v>
      </c>
      <c r="B48" s="167" t="s">
        <v>367</v>
      </c>
      <c r="C48" s="160"/>
      <c r="D48" s="176"/>
      <c r="E48" s="156"/>
      <c r="F48" s="156"/>
    </row>
    <row r="49" spans="1:6" s="140" customFormat="1" ht="15.75" customHeight="1">
      <c r="A49" s="149">
        <v>3000000000</v>
      </c>
      <c r="B49" s="158" t="s">
        <v>210</v>
      </c>
      <c r="C49" s="261">
        <v>0</v>
      </c>
      <c r="D49" s="162">
        <v>0</v>
      </c>
      <c r="E49" s="151" t="e">
        <f>SUM(D49/C49*100)</f>
        <v>#DIV/0!</v>
      </c>
      <c r="F49" s="151">
        <f>SUM(D49-C49)</f>
        <v>0</v>
      </c>
    </row>
    <row r="50" spans="1:6" s="140" customFormat="1" ht="17.25" customHeight="1">
      <c r="A50" s="163">
        <v>2027000000</v>
      </c>
      <c r="B50" s="155" t="s">
        <v>355</v>
      </c>
      <c r="C50" s="160">
        <v>300.47665</v>
      </c>
      <c r="D50" s="157">
        <v>250.47665</v>
      </c>
      <c r="E50" s="156">
        <f>SUM(D50/C50*100)</f>
        <v>83.35977188244078</v>
      </c>
      <c r="F50" s="156">
        <f>SUM(D50-C50)</f>
        <v>-50</v>
      </c>
    </row>
    <row r="51" spans="1:8" s="140" customFormat="1" ht="17.25" customHeight="1">
      <c r="A51" s="154">
        <v>2070500010</v>
      </c>
      <c r="B51" s="150" t="s">
        <v>211</v>
      </c>
      <c r="C51" s="308">
        <f>C40+C41</f>
        <v>8159.838349999999</v>
      </c>
      <c r="D51" s="316">
        <f>D40+D41</f>
        <v>5833.94471</v>
      </c>
      <c r="E51" s="271">
        <f>SUM(D51/C51*100)</f>
        <v>71.49583680171801</v>
      </c>
      <c r="F51" s="271">
        <f>SUM(D51-C51)</f>
        <v>-2325.8936399999993</v>
      </c>
      <c r="G51" s="142"/>
      <c r="H51" s="309"/>
    </row>
    <row r="52" spans="1:6" s="140" customFormat="1" ht="16.5" customHeight="1">
      <c r="A52" s="154"/>
      <c r="B52" s="189" t="s">
        <v>316</v>
      </c>
      <c r="C52" s="308">
        <f>C51-C98</f>
        <v>-194.84275000000252</v>
      </c>
      <c r="D52" s="308">
        <f>D51-D98</f>
        <v>-51.406339999999545</v>
      </c>
      <c r="E52" s="290"/>
      <c r="F52" s="290"/>
    </row>
    <row r="53" spans="1:6" ht="15.75">
      <c r="A53" s="149"/>
      <c r="B53" s="193"/>
      <c r="C53" s="283"/>
      <c r="D53" s="283"/>
      <c r="E53" s="195"/>
      <c r="F53" s="244"/>
    </row>
    <row r="54" spans="1:6" ht="32.25" customHeight="1">
      <c r="A54" s="192"/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47.25" customHeight="1">
      <c r="A55" s="197" t="s">
        <v>141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15.75">
      <c r="A56" s="246">
        <v>1</v>
      </c>
      <c r="B56" s="202" t="s">
        <v>214</v>
      </c>
      <c r="C56" s="317">
        <f>C57+C58+C59+C60+C61+C63+C62</f>
        <v>1386.5520000000001</v>
      </c>
      <c r="D56" s="291">
        <f>D57+D58+D59+D60+D61+D63+D62</f>
        <v>1178.29384</v>
      </c>
      <c r="E56" s="203">
        <f>SUM(D56/C56*100)</f>
        <v>84.9801406654781</v>
      </c>
      <c r="F56" s="203">
        <f>SUM(D56-C56)</f>
        <v>-208.2581600000001</v>
      </c>
    </row>
    <row r="57" spans="1:6" s="140" customFormat="1" ht="15.75" customHeight="1" hidden="1">
      <c r="A57" s="201" t="s">
        <v>33</v>
      </c>
      <c r="B57" s="205" t="s">
        <v>216</v>
      </c>
      <c r="C57" s="318"/>
      <c r="D57" s="318"/>
      <c r="E57" s="206"/>
      <c r="F57" s="206"/>
    </row>
    <row r="58" spans="1:6" ht="17.25" customHeight="1">
      <c r="A58" s="204" t="s">
        <v>217</v>
      </c>
      <c r="B58" s="207" t="s">
        <v>218</v>
      </c>
      <c r="C58" s="318">
        <v>1343.19</v>
      </c>
      <c r="D58" s="318">
        <v>1159.93184</v>
      </c>
      <c r="E58" s="206">
        <f>SUM(D58/C58*100)</f>
        <v>86.35649759155443</v>
      </c>
      <c r="F58" s="206">
        <f aca="true" t="shared" si="2" ref="F58:F87">SUM(D58-C58)</f>
        <v>-183.2581600000001</v>
      </c>
    </row>
    <row r="59" spans="1:6" ht="17.25" customHeight="1" hidden="1">
      <c r="A59" s="204" t="s">
        <v>217</v>
      </c>
      <c r="B59" s="207" t="s">
        <v>220</v>
      </c>
      <c r="C59" s="318"/>
      <c r="D59" s="318"/>
      <c r="E59" s="206"/>
      <c r="F59" s="206">
        <f t="shared" si="2"/>
        <v>0</v>
      </c>
    </row>
    <row r="60" spans="1:6" ht="15.75" customHeight="1" hidden="1">
      <c r="A60" s="204" t="s">
        <v>219</v>
      </c>
      <c r="B60" s="207" t="s">
        <v>222</v>
      </c>
      <c r="C60" s="318"/>
      <c r="D60" s="318"/>
      <c r="E60" s="206" t="e">
        <f aca="true" t="shared" si="3" ref="E60:E98">SUM(D60/C60*100)</f>
        <v>#DIV/0!</v>
      </c>
      <c r="F60" s="206">
        <f t="shared" si="2"/>
        <v>0</v>
      </c>
    </row>
    <row r="61" spans="1:6" ht="15" customHeight="1">
      <c r="A61" s="204" t="s">
        <v>223</v>
      </c>
      <c r="B61" s="207" t="s">
        <v>224</v>
      </c>
      <c r="C61" s="318"/>
      <c r="D61" s="318">
        <v>0</v>
      </c>
      <c r="E61" s="206" t="e">
        <f t="shared" si="3"/>
        <v>#DIV/0!</v>
      </c>
      <c r="F61" s="206">
        <f t="shared" si="2"/>
        <v>0</v>
      </c>
    </row>
    <row r="62" spans="1:6" ht="15.75" customHeight="1">
      <c r="A62" s="204" t="s">
        <v>225</v>
      </c>
      <c r="B62" s="207" t="s">
        <v>226</v>
      </c>
      <c r="C62" s="319">
        <v>5</v>
      </c>
      <c r="D62" s="319">
        <v>0</v>
      </c>
      <c r="E62" s="206">
        <f t="shared" si="3"/>
        <v>0</v>
      </c>
      <c r="F62" s="206">
        <f t="shared" si="2"/>
        <v>-5</v>
      </c>
    </row>
    <row r="63" spans="1:6" ht="19.5" customHeight="1">
      <c r="A63" s="204" t="s">
        <v>227</v>
      </c>
      <c r="B63" s="207" t="s">
        <v>228</v>
      </c>
      <c r="C63" s="318">
        <v>38.362</v>
      </c>
      <c r="D63" s="318">
        <v>18.362</v>
      </c>
      <c r="E63" s="206">
        <f t="shared" si="3"/>
        <v>47.86507481361764</v>
      </c>
      <c r="F63" s="206">
        <f t="shared" si="2"/>
        <v>-20.000000000000004</v>
      </c>
    </row>
    <row r="64" spans="1:6" s="140" customFormat="1" ht="15.75">
      <c r="A64" s="201" t="s">
        <v>35</v>
      </c>
      <c r="B64" s="210" t="s">
        <v>229</v>
      </c>
      <c r="C64" s="291">
        <f>C65</f>
        <v>103.383</v>
      </c>
      <c r="D64" s="291">
        <f>D65</f>
        <v>85.59299</v>
      </c>
      <c r="E64" s="203">
        <f t="shared" si="3"/>
        <v>82.7921321687318</v>
      </c>
      <c r="F64" s="203">
        <f t="shared" si="2"/>
        <v>-17.790009999999995</v>
      </c>
    </row>
    <row r="65" spans="1:6" ht="15.75">
      <c r="A65" s="320" t="s">
        <v>230</v>
      </c>
      <c r="B65" s="212" t="s">
        <v>231</v>
      </c>
      <c r="C65" s="318">
        <v>103.383</v>
      </c>
      <c r="D65" s="318">
        <v>85.59299</v>
      </c>
      <c r="E65" s="206">
        <f t="shared" si="3"/>
        <v>82.7921321687318</v>
      </c>
      <c r="F65" s="206">
        <f t="shared" si="2"/>
        <v>-17.790009999999995</v>
      </c>
    </row>
    <row r="66" spans="1:6" s="140" customFormat="1" ht="18" customHeight="1">
      <c r="A66" s="211" t="s">
        <v>37</v>
      </c>
      <c r="B66" s="202" t="s">
        <v>232</v>
      </c>
      <c r="C66" s="291">
        <f>C69+C70+C71</f>
        <v>18.5</v>
      </c>
      <c r="D66" s="291">
        <f>D69+D70+D71</f>
        <v>18.31148</v>
      </c>
      <c r="E66" s="203">
        <f t="shared" si="3"/>
        <v>98.98097297297296</v>
      </c>
      <c r="F66" s="203">
        <f t="shared" si="2"/>
        <v>-0.18852000000000046</v>
      </c>
    </row>
    <row r="67" spans="1:6" ht="1.5" customHeight="1" hidden="1">
      <c r="A67" s="201" t="s">
        <v>37</v>
      </c>
      <c r="B67" s="207" t="s">
        <v>234</v>
      </c>
      <c r="C67" s="318">
        <v>0</v>
      </c>
      <c r="D67" s="291">
        <v>0</v>
      </c>
      <c r="E67" s="203" t="e">
        <f t="shared" si="3"/>
        <v>#DIV/0!</v>
      </c>
      <c r="F67" s="203">
        <f t="shared" si="2"/>
        <v>0</v>
      </c>
    </row>
    <row r="68" spans="1:6" ht="20.25" customHeight="1" hidden="1">
      <c r="A68" s="204" t="s">
        <v>233</v>
      </c>
      <c r="B68" s="207" t="s">
        <v>317</v>
      </c>
      <c r="C68" s="318">
        <v>0</v>
      </c>
      <c r="D68" s="291">
        <v>0</v>
      </c>
      <c r="E68" s="203" t="e">
        <f t="shared" si="3"/>
        <v>#DIV/0!</v>
      </c>
      <c r="F68" s="203">
        <f t="shared" si="2"/>
        <v>0</v>
      </c>
    </row>
    <row r="69" spans="1:6" ht="17.25" customHeight="1">
      <c r="A69" s="213" t="s">
        <v>237</v>
      </c>
      <c r="B69" s="215" t="s">
        <v>238</v>
      </c>
      <c r="C69" s="318">
        <v>3</v>
      </c>
      <c r="D69" s="318">
        <v>2.81148</v>
      </c>
      <c r="E69" s="203">
        <f t="shared" si="3"/>
        <v>93.716</v>
      </c>
      <c r="F69" s="203">
        <f t="shared" si="2"/>
        <v>-0.18852000000000002</v>
      </c>
    </row>
    <row r="70" spans="1:6" ht="15.75">
      <c r="A70" s="214" t="s">
        <v>239</v>
      </c>
      <c r="B70" s="215" t="s">
        <v>240</v>
      </c>
      <c r="C70" s="318">
        <v>13.5</v>
      </c>
      <c r="D70" s="318">
        <v>13.5</v>
      </c>
      <c r="E70" s="203">
        <f t="shared" si="3"/>
        <v>100</v>
      </c>
      <c r="F70" s="203">
        <f t="shared" si="2"/>
        <v>0</v>
      </c>
    </row>
    <row r="71" spans="1:6" ht="15.75">
      <c r="A71" s="214" t="s">
        <v>241</v>
      </c>
      <c r="B71" s="215" t="s">
        <v>345</v>
      </c>
      <c r="C71" s="318">
        <v>2</v>
      </c>
      <c r="D71" s="318">
        <v>2</v>
      </c>
      <c r="E71" s="203">
        <f t="shared" si="3"/>
        <v>100</v>
      </c>
      <c r="F71" s="203">
        <f t="shared" si="2"/>
        <v>0</v>
      </c>
    </row>
    <row r="72" spans="1:9" s="140" customFormat="1" ht="17.25" customHeight="1">
      <c r="A72" s="321" t="s">
        <v>39</v>
      </c>
      <c r="B72" s="202" t="s">
        <v>243</v>
      </c>
      <c r="C72" s="291">
        <f>SUM(C73:C76)</f>
        <v>3273.18055</v>
      </c>
      <c r="D72" s="291">
        <f>SUM(D73:D76)</f>
        <v>3189.36937</v>
      </c>
      <c r="E72" s="203">
        <f t="shared" si="3"/>
        <v>97.43945747202977</v>
      </c>
      <c r="F72" s="203">
        <f t="shared" si="2"/>
        <v>-83.81118000000015</v>
      </c>
      <c r="I72" s="322"/>
    </row>
    <row r="73" spans="1:6" ht="15" customHeight="1">
      <c r="A73" s="204" t="s">
        <v>246</v>
      </c>
      <c r="B73" s="207" t="s">
        <v>319</v>
      </c>
      <c r="C73" s="318"/>
      <c r="D73" s="318">
        <v>0</v>
      </c>
      <c r="E73" s="206" t="e">
        <f t="shared" si="3"/>
        <v>#DIV/0!</v>
      </c>
      <c r="F73" s="206">
        <f t="shared" si="2"/>
        <v>0</v>
      </c>
    </row>
    <row r="74" spans="1:7" s="140" customFormat="1" ht="19.5" customHeight="1">
      <c r="A74" s="204" t="s">
        <v>248</v>
      </c>
      <c r="B74" s="207" t="s">
        <v>320</v>
      </c>
      <c r="C74" s="318">
        <v>0</v>
      </c>
      <c r="D74" s="318">
        <v>0</v>
      </c>
      <c r="E74" s="206" t="e">
        <f t="shared" si="3"/>
        <v>#DIV/0!</v>
      </c>
      <c r="F74" s="206">
        <f t="shared" si="2"/>
        <v>0</v>
      </c>
      <c r="G74" s="143"/>
    </row>
    <row r="75" spans="1:6" ht="15.75">
      <c r="A75" s="204" t="s">
        <v>250</v>
      </c>
      <c r="B75" s="207" t="s">
        <v>251</v>
      </c>
      <c r="C75" s="318">
        <v>3064.63155</v>
      </c>
      <c r="D75" s="318">
        <v>2980.86937</v>
      </c>
      <c r="E75" s="206">
        <f t="shared" si="3"/>
        <v>97.26681075250302</v>
      </c>
      <c r="F75" s="206">
        <f t="shared" si="2"/>
        <v>-83.76218000000017</v>
      </c>
    </row>
    <row r="76" spans="1:6" ht="15.75">
      <c r="A76" s="204" t="s">
        <v>252</v>
      </c>
      <c r="B76" s="207" t="s">
        <v>253</v>
      </c>
      <c r="C76" s="318">
        <v>208.549</v>
      </c>
      <c r="D76" s="318">
        <v>208.5</v>
      </c>
      <c r="E76" s="206">
        <f t="shared" si="3"/>
        <v>99.9765043227251</v>
      </c>
      <c r="F76" s="206">
        <f t="shared" si="2"/>
        <v>-0.049000000000006594</v>
      </c>
    </row>
    <row r="77" spans="1:6" s="140" customFormat="1" ht="14.25" customHeight="1">
      <c r="A77" s="201" t="s">
        <v>41</v>
      </c>
      <c r="B77" s="202" t="s">
        <v>254</v>
      </c>
      <c r="C77" s="291">
        <f>SUM(C78:C80)</f>
        <v>2726.0655500000003</v>
      </c>
      <c r="D77" s="291">
        <f>SUM(D78:D80)</f>
        <v>709.27637</v>
      </c>
      <c r="E77" s="203">
        <f t="shared" si="3"/>
        <v>26.018316764246553</v>
      </c>
      <c r="F77" s="203">
        <f t="shared" si="2"/>
        <v>-2016.7891800000002</v>
      </c>
    </row>
    <row r="78" spans="1:6" ht="15.75" customHeight="1" hidden="1">
      <c r="A78" s="201" t="s">
        <v>41</v>
      </c>
      <c r="B78" s="218" t="s">
        <v>256</v>
      </c>
      <c r="C78" s="318"/>
      <c r="D78" s="318"/>
      <c r="E78" s="206" t="e">
        <f t="shared" si="3"/>
        <v>#DIV/0!</v>
      </c>
      <c r="F78" s="206">
        <f t="shared" si="2"/>
        <v>0</v>
      </c>
    </row>
    <row r="79" spans="1:6" ht="17.25" customHeight="1">
      <c r="A79" s="204" t="s">
        <v>257</v>
      </c>
      <c r="B79" s="218" t="s">
        <v>258</v>
      </c>
      <c r="C79" s="318">
        <v>1290.7887</v>
      </c>
      <c r="D79" s="318">
        <v>107.39603</v>
      </c>
      <c r="E79" s="206">
        <f t="shared" si="3"/>
        <v>8.320186719948818</v>
      </c>
      <c r="F79" s="206">
        <f t="shared" si="2"/>
        <v>-1183.3926700000002</v>
      </c>
    </row>
    <row r="80" spans="1:6" ht="15.75">
      <c r="A80" s="204" t="s">
        <v>259</v>
      </c>
      <c r="B80" s="207" t="s">
        <v>260</v>
      </c>
      <c r="C80" s="318">
        <v>1435.27685</v>
      </c>
      <c r="D80" s="318">
        <v>601.88034</v>
      </c>
      <c r="E80" s="206">
        <f t="shared" si="3"/>
        <v>41.93479049007166</v>
      </c>
      <c r="F80" s="206">
        <f t="shared" si="2"/>
        <v>-833.3965099999999</v>
      </c>
    </row>
    <row r="81" spans="1:6" s="140" customFormat="1" ht="15.75">
      <c r="A81" s="201" t="s">
        <v>47</v>
      </c>
      <c r="B81" s="202" t="s">
        <v>275</v>
      </c>
      <c r="C81" s="291">
        <f>C82</f>
        <v>837</v>
      </c>
      <c r="D81" s="291">
        <f>SUM(D82)</f>
        <v>697.5</v>
      </c>
      <c r="E81" s="203">
        <f t="shared" si="3"/>
        <v>83.33333333333334</v>
      </c>
      <c r="F81" s="203">
        <f t="shared" si="2"/>
        <v>-139.5</v>
      </c>
    </row>
    <row r="82" spans="1:12" ht="15.75" customHeight="1">
      <c r="A82" s="204" t="s">
        <v>276</v>
      </c>
      <c r="B82" s="207" t="s">
        <v>277</v>
      </c>
      <c r="C82" s="318">
        <v>837</v>
      </c>
      <c r="D82" s="318">
        <v>697.5</v>
      </c>
      <c r="E82" s="206">
        <f t="shared" si="3"/>
        <v>83.33333333333334</v>
      </c>
      <c r="F82" s="206">
        <f t="shared" si="2"/>
        <v>-139.5</v>
      </c>
      <c r="L82" s="323"/>
    </row>
    <row r="83" spans="1:6" s="140" customFormat="1" ht="15.75" hidden="1">
      <c r="A83" s="204" t="s">
        <v>49</v>
      </c>
      <c r="B83" s="202" t="s">
        <v>280</v>
      </c>
      <c r="C83" s="291">
        <f>SUM(C84:C87)</f>
        <v>0</v>
      </c>
      <c r="D83" s="291">
        <f>SUM(D84:D87)</f>
        <v>0</v>
      </c>
      <c r="E83" s="203" t="e">
        <f t="shared" si="3"/>
        <v>#DIV/0!</v>
      </c>
      <c r="F83" s="203">
        <f t="shared" si="2"/>
        <v>0</v>
      </c>
    </row>
    <row r="84" spans="1:6" ht="15.75" hidden="1">
      <c r="A84" s="219">
        <v>1000</v>
      </c>
      <c r="B84" s="221" t="s">
        <v>281</v>
      </c>
      <c r="C84" s="318"/>
      <c r="D84" s="318"/>
      <c r="E84" s="203" t="e">
        <f t="shared" si="3"/>
        <v>#DIV/0!</v>
      </c>
      <c r="F84" s="203">
        <f t="shared" si="2"/>
        <v>0</v>
      </c>
    </row>
    <row r="85" spans="1:6" ht="15.75" hidden="1">
      <c r="A85" s="220">
        <v>1001</v>
      </c>
      <c r="B85" s="221" t="s">
        <v>282</v>
      </c>
      <c r="C85" s="318"/>
      <c r="D85" s="318"/>
      <c r="E85" s="203" t="e">
        <f t="shared" si="3"/>
        <v>#DIV/0!</v>
      </c>
      <c r="F85" s="203">
        <f t="shared" si="2"/>
        <v>0</v>
      </c>
    </row>
    <row r="86" spans="1:6" ht="15.75" hidden="1">
      <c r="A86" s="220">
        <v>1003</v>
      </c>
      <c r="B86" s="221" t="s">
        <v>283</v>
      </c>
      <c r="C86" s="318"/>
      <c r="D86" s="324"/>
      <c r="E86" s="203" t="e">
        <f t="shared" si="3"/>
        <v>#DIV/0!</v>
      </c>
      <c r="F86" s="203">
        <f t="shared" si="2"/>
        <v>0</v>
      </c>
    </row>
    <row r="87" spans="1:6" ht="15" customHeight="1" hidden="1">
      <c r="A87" s="220">
        <v>1004</v>
      </c>
      <c r="B87" s="207" t="s">
        <v>285</v>
      </c>
      <c r="C87" s="318">
        <v>0</v>
      </c>
      <c r="D87" s="318">
        <v>0</v>
      </c>
      <c r="E87" s="203" t="e">
        <f t="shared" si="3"/>
        <v>#DIV/0!</v>
      </c>
      <c r="F87" s="203">
        <f t="shared" si="2"/>
        <v>0</v>
      </c>
    </row>
    <row r="88" spans="1:6" ht="19.5" customHeight="1">
      <c r="A88" s="201" t="s">
        <v>51</v>
      </c>
      <c r="B88" s="202" t="s">
        <v>286</v>
      </c>
      <c r="C88" s="291">
        <f>C89+C90+C91+C92+C93</f>
        <v>10</v>
      </c>
      <c r="D88" s="291">
        <f>D89+D90+D91+D92+D93</f>
        <v>7.007</v>
      </c>
      <c r="E88" s="206">
        <f t="shared" si="3"/>
        <v>70.07</v>
      </c>
      <c r="F88" s="191">
        <f>F89+F90+F91+F92+F93</f>
        <v>-2.9930000000000003</v>
      </c>
    </row>
    <row r="89" spans="1:6" ht="15.75" customHeight="1">
      <c r="A89" s="204" t="s">
        <v>287</v>
      </c>
      <c r="B89" s="207" t="s">
        <v>288</v>
      </c>
      <c r="C89" s="318">
        <v>10</v>
      </c>
      <c r="D89" s="318">
        <v>7.007</v>
      </c>
      <c r="E89" s="206">
        <f t="shared" si="3"/>
        <v>70.07</v>
      </c>
      <c r="F89" s="206">
        <f>SUM(D89-C89)</f>
        <v>-2.9930000000000003</v>
      </c>
    </row>
    <row r="90" spans="1:6" ht="0.75" customHeight="1" hidden="1">
      <c r="A90" s="204" t="s">
        <v>287</v>
      </c>
      <c r="B90" s="207" t="s">
        <v>290</v>
      </c>
      <c r="C90" s="318"/>
      <c r="D90" s="318">
        <v>0</v>
      </c>
      <c r="E90" s="206" t="e">
        <f t="shared" si="3"/>
        <v>#DIV/0!</v>
      </c>
      <c r="F90" s="206">
        <f>SUM(D90-C90)</f>
        <v>0</v>
      </c>
    </row>
    <row r="91" spans="1:6" ht="15.75" customHeight="1" hidden="1">
      <c r="A91" s="204" t="s">
        <v>289</v>
      </c>
      <c r="B91" s="207" t="s">
        <v>292</v>
      </c>
      <c r="C91" s="318"/>
      <c r="D91" s="318"/>
      <c r="E91" s="206" t="e">
        <f t="shared" si="3"/>
        <v>#DIV/0!</v>
      </c>
      <c r="F91" s="206"/>
    </row>
    <row r="92" spans="1:6" ht="3" customHeight="1" hidden="1">
      <c r="A92" s="204" t="s">
        <v>291</v>
      </c>
      <c r="B92" s="207" t="s">
        <v>294</v>
      </c>
      <c r="C92" s="318"/>
      <c r="D92" s="318"/>
      <c r="E92" s="206" t="e">
        <f t="shared" si="3"/>
        <v>#DIV/0!</v>
      </c>
      <c r="F92" s="206"/>
    </row>
    <row r="93" spans="1:6" ht="15" customHeight="1" hidden="1">
      <c r="A93" s="204" t="s">
        <v>293</v>
      </c>
      <c r="B93" s="207" t="s">
        <v>296</v>
      </c>
      <c r="C93" s="318"/>
      <c r="D93" s="318"/>
      <c r="E93" s="206" t="e">
        <f t="shared" si="3"/>
        <v>#DIV/0!</v>
      </c>
      <c r="F93" s="206"/>
    </row>
    <row r="94" spans="1:6" s="140" customFormat="1" ht="12" customHeight="1" hidden="1">
      <c r="A94" s="204" t="s">
        <v>295</v>
      </c>
      <c r="B94" s="223" t="s">
        <v>303</v>
      </c>
      <c r="C94" s="291">
        <f>C95+C96+C97</f>
        <v>0</v>
      </c>
      <c r="D94" s="291">
        <f>SUM(D95:D97)</f>
        <v>0</v>
      </c>
      <c r="E94" s="203" t="e">
        <f t="shared" si="3"/>
        <v>#DIV/0!</v>
      </c>
      <c r="F94" s="203">
        <f>SUM(D94-C94)</f>
        <v>0</v>
      </c>
    </row>
    <row r="95" spans="1:6" ht="15.75" customHeight="1" hidden="1">
      <c r="A95" s="219">
        <v>1400</v>
      </c>
      <c r="B95" s="221" t="s">
        <v>304</v>
      </c>
      <c r="C95" s="318"/>
      <c r="D95" s="318"/>
      <c r="E95" s="206" t="e">
        <f t="shared" si="3"/>
        <v>#DIV/0!</v>
      </c>
      <c r="F95" s="206">
        <f>SUM(D95-C95)</f>
        <v>0</v>
      </c>
    </row>
    <row r="96" spans="1:6" ht="15.75" hidden="1">
      <c r="A96" s="220">
        <v>1401</v>
      </c>
      <c r="B96" s="221" t="s">
        <v>305</v>
      </c>
      <c r="C96" s="318"/>
      <c r="D96" s="318"/>
      <c r="E96" s="206" t="e">
        <f t="shared" si="3"/>
        <v>#DIV/0!</v>
      </c>
      <c r="F96" s="206">
        <f>SUM(D96-C96)</f>
        <v>0</v>
      </c>
    </row>
    <row r="97" spans="1:6" ht="23.25" customHeight="1" hidden="1">
      <c r="A97" s="220">
        <v>1402</v>
      </c>
      <c r="B97" s="221" t="s">
        <v>306</v>
      </c>
      <c r="C97" s="318"/>
      <c r="D97" s="318"/>
      <c r="E97" s="206" t="e">
        <f t="shared" si="3"/>
        <v>#DIV/0!</v>
      </c>
      <c r="F97" s="206">
        <f>SUM(D97-C97)</f>
        <v>0</v>
      </c>
    </row>
    <row r="98" spans="1:8" s="140" customFormat="1" ht="16.5" customHeight="1">
      <c r="A98" s="220"/>
      <c r="B98" s="224" t="s">
        <v>307</v>
      </c>
      <c r="C98" s="311">
        <f>C56+C64+C66+C72+C77+C81+C88+C83</f>
        <v>8354.681100000002</v>
      </c>
      <c r="D98" s="311">
        <f>D56+D64+D66+D72+D77+D81+D88+D83</f>
        <v>5885.351049999999</v>
      </c>
      <c r="E98" s="203">
        <f t="shared" si="3"/>
        <v>70.44375457969304</v>
      </c>
      <c r="F98" s="203">
        <f>SUM(D98-C98)</f>
        <v>-2469.3300500000023</v>
      </c>
      <c r="G98" s="281"/>
      <c r="H98" s="281"/>
    </row>
    <row r="99" spans="1:4" ht="20.25" customHeight="1">
      <c r="A99" s="219"/>
      <c r="C99" s="227"/>
      <c r="D99" s="228"/>
    </row>
    <row r="100" spans="1:5" s="144" customFormat="1" ht="13.5" customHeight="1">
      <c r="A100" s="136"/>
      <c r="B100" s="229"/>
      <c r="C100" s="266"/>
      <c r="D100" s="255"/>
      <c r="E100" s="255"/>
    </row>
    <row r="101" spans="1:4" s="144" customFormat="1" ht="12.75">
      <c r="A101" s="229" t="s">
        <v>308</v>
      </c>
      <c r="B101" s="231"/>
      <c r="C101" s="299" t="s">
        <v>310</v>
      </c>
      <c r="D101" s="299"/>
    </row>
    <row r="102" spans="1:3" ht="15.75">
      <c r="A102" s="231" t="s">
        <v>309</v>
      </c>
      <c r="C102" s="265"/>
    </row>
    <row r="104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70" zoomScaleSheetLayoutView="70" zoomScalePageLayoutView="0" workbookViewId="0" topLeftCell="A34">
      <selection activeCell="D88" sqref="D88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6.140625" style="138" customWidth="1"/>
    <col min="4" max="4" width="17.421875" style="138" customWidth="1"/>
    <col min="5" max="5" width="10.421875" style="138" customWidth="1"/>
    <col min="6" max="6" width="9.421875" style="138" customWidth="1"/>
    <col min="7" max="7" width="17.7109375" style="139" customWidth="1"/>
    <col min="8" max="16384" width="9.140625" style="139" customWidth="1"/>
  </cols>
  <sheetData>
    <row r="1" spans="1:6" ht="12.75" customHeight="1">
      <c r="A1" s="468" t="s">
        <v>437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43.5" customHeight="1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2957.9</v>
      </c>
      <c r="D4" s="151">
        <f>D5+D12+D14+D17+D7</f>
        <v>2146.1938800000003</v>
      </c>
      <c r="E4" s="151">
        <f aca="true" t="shared" si="0" ref="E4:E50">SUM(D4/C4*100)</f>
        <v>72.55802697859968</v>
      </c>
      <c r="F4" s="151">
        <f aca="true" t="shared" si="1" ref="F4:F50">SUM(D4-C4)</f>
        <v>-811.7061199999998</v>
      </c>
    </row>
    <row r="5" spans="1:6" s="140" customFormat="1" ht="15.75">
      <c r="A5" s="152">
        <v>1010000000</v>
      </c>
      <c r="B5" s="153" t="s">
        <v>146</v>
      </c>
      <c r="C5" s="151">
        <f>C6</f>
        <v>126.9</v>
      </c>
      <c r="D5" s="151">
        <f>D6</f>
        <v>108.98616</v>
      </c>
      <c r="E5" s="151">
        <f t="shared" si="0"/>
        <v>85.8834988179669</v>
      </c>
      <c r="F5" s="151">
        <f t="shared" si="1"/>
        <v>-17.913840000000008</v>
      </c>
    </row>
    <row r="6" spans="1:6" ht="15.75">
      <c r="A6" s="154">
        <v>1010200001</v>
      </c>
      <c r="B6" s="155" t="s">
        <v>147</v>
      </c>
      <c r="C6" s="156">
        <v>126.9</v>
      </c>
      <c r="D6" s="157">
        <v>108.98616</v>
      </c>
      <c r="E6" s="156">
        <f t="shared" si="0"/>
        <v>85.8834988179669</v>
      </c>
      <c r="F6" s="156">
        <f t="shared" si="1"/>
        <v>-17.913840000000008</v>
      </c>
    </row>
    <row r="7" spans="1:6" ht="31.5">
      <c r="A7" s="149">
        <v>1030000000</v>
      </c>
      <c r="B7" s="158" t="s">
        <v>148</v>
      </c>
      <c r="C7" s="151">
        <f>C8+C10+C9</f>
        <v>591</v>
      </c>
      <c r="D7" s="151">
        <f>D8+D10+D9+D11</f>
        <v>604.97204</v>
      </c>
      <c r="E7" s="151">
        <f t="shared" si="0"/>
        <v>102.36413536379018</v>
      </c>
      <c r="F7" s="151">
        <f t="shared" si="1"/>
        <v>13.972039999999993</v>
      </c>
    </row>
    <row r="8" spans="1:6" ht="15.75">
      <c r="A8" s="154">
        <v>1030223001</v>
      </c>
      <c r="B8" s="155" t="s">
        <v>149</v>
      </c>
      <c r="C8" s="156">
        <v>220.44</v>
      </c>
      <c r="D8" s="157">
        <v>277.29351</v>
      </c>
      <c r="E8" s="156">
        <f t="shared" si="0"/>
        <v>125.79092270005445</v>
      </c>
      <c r="F8" s="156">
        <f t="shared" si="1"/>
        <v>56.85351000000003</v>
      </c>
    </row>
    <row r="9" spans="1:6" ht="15.75">
      <c r="A9" s="154">
        <v>1030224001</v>
      </c>
      <c r="B9" s="155" t="s">
        <v>150</v>
      </c>
      <c r="C9" s="156">
        <v>2.36</v>
      </c>
      <c r="D9" s="157">
        <v>1.96692</v>
      </c>
      <c r="E9" s="156">
        <f t="shared" si="0"/>
        <v>83.34406779661018</v>
      </c>
      <c r="F9" s="156">
        <f t="shared" si="1"/>
        <v>-0.3930799999999999</v>
      </c>
    </row>
    <row r="10" spans="1:6" ht="15.75">
      <c r="A10" s="154">
        <v>1030225001</v>
      </c>
      <c r="B10" s="155" t="s">
        <v>151</v>
      </c>
      <c r="C10" s="156">
        <v>368.2</v>
      </c>
      <c r="D10" s="157">
        <v>372.69477</v>
      </c>
      <c r="E10" s="156">
        <f t="shared" si="0"/>
        <v>101.22074144486692</v>
      </c>
      <c r="F10" s="156">
        <f t="shared" si="1"/>
        <v>4.494770000000017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-46.98316</v>
      </c>
      <c r="E11" s="156" t="e">
        <f t="shared" si="0"/>
        <v>#DIV/0!</v>
      </c>
      <c r="F11" s="156">
        <f t="shared" si="1"/>
        <v>-46.98316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140</v>
      </c>
      <c r="D12" s="151">
        <f>SUM(D13:D13)</f>
        <v>129.3675</v>
      </c>
      <c r="E12" s="151">
        <f t="shared" si="0"/>
        <v>92.40535714285714</v>
      </c>
      <c r="F12" s="151">
        <f t="shared" si="1"/>
        <v>-10.632499999999993</v>
      </c>
    </row>
    <row r="13" spans="1:6" ht="15.75" customHeight="1">
      <c r="A13" s="154">
        <v>1050300000</v>
      </c>
      <c r="B13" s="159" t="s">
        <v>156</v>
      </c>
      <c r="C13" s="160">
        <v>140</v>
      </c>
      <c r="D13" s="157">
        <v>129.3675</v>
      </c>
      <c r="E13" s="156">
        <f t="shared" si="0"/>
        <v>92.40535714285714</v>
      </c>
      <c r="F13" s="156">
        <f t="shared" si="1"/>
        <v>-10.632499999999993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2090</v>
      </c>
      <c r="D14" s="151">
        <f>D15+D16</f>
        <v>1299.21818</v>
      </c>
      <c r="E14" s="151">
        <f t="shared" si="0"/>
        <v>62.16354928229666</v>
      </c>
      <c r="F14" s="151">
        <f t="shared" si="1"/>
        <v>-790.7818199999999</v>
      </c>
    </row>
    <row r="15" spans="1:6" s="140" customFormat="1" ht="15.75" customHeight="1">
      <c r="A15" s="154">
        <v>1060100000</v>
      </c>
      <c r="B15" s="159" t="s">
        <v>159</v>
      </c>
      <c r="C15" s="156">
        <v>240</v>
      </c>
      <c r="D15" s="157">
        <v>305.21077</v>
      </c>
      <c r="E15" s="156">
        <f t="shared" si="0"/>
        <v>127.17115416666667</v>
      </c>
      <c r="F15" s="156">
        <f t="shared" si="1"/>
        <v>65.21077000000002</v>
      </c>
    </row>
    <row r="16" spans="1:6" ht="15.75" customHeight="1">
      <c r="A16" s="154">
        <v>1060600000</v>
      </c>
      <c r="B16" s="159" t="s">
        <v>162</v>
      </c>
      <c r="C16" s="156">
        <v>1850</v>
      </c>
      <c r="D16" s="157">
        <v>994.00741</v>
      </c>
      <c r="E16" s="156">
        <f t="shared" si="0"/>
        <v>53.73013027027027</v>
      </c>
      <c r="F16" s="156">
        <f t="shared" si="1"/>
        <v>-855.99259</v>
      </c>
    </row>
    <row r="17" spans="1:6" s="140" customFormat="1" ht="15.75">
      <c r="A17" s="149">
        <v>1080000000</v>
      </c>
      <c r="B17" s="150" t="s">
        <v>165</v>
      </c>
      <c r="C17" s="151">
        <f>C18</f>
        <v>10</v>
      </c>
      <c r="D17" s="151">
        <f>D18</f>
        <v>3.65</v>
      </c>
      <c r="E17" s="151">
        <f t="shared" si="0"/>
        <v>36.5</v>
      </c>
      <c r="F17" s="151">
        <f t="shared" si="1"/>
        <v>-6.35</v>
      </c>
    </row>
    <row r="18" spans="1:6" ht="15" customHeight="1">
      <c r="A18" s="154">
        <v>1080400001</v>
      </c>
      <c r="B18" s="155" t="s">
        <v>167</v>
      </c>
      <c r="C18" s="156">
        <v>10</v>
      </c>
      <c r="D18" s="157">
        <v>3.65</v>
      </c>
      <c r="E18" s="156">
        <f t="shared" si="0"/>
        <v>36.5</v>
      </c>
      <c r="F18" s="156">
        <f t="shared" si="1"/>
        <v>-6.35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C26+C29+C31+C34</f>
        <v>564.5</v>
      </c>
      <c r="D25" s="151">
        <f>D26+D29+D31+D34+D36</f>
        <v>305.77475000000004</v>
      </c>
      <c r="E25" s="151">
        <f t="shared" si="0"/>
        <v>54.16736049601418</v>
      </c>
      <c r="F25" s="151">
        <f t="shared" si="1"/>
        <v>-258.72524999999996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499.5</v>
      </c>
      <c r="D26" s="151">
        <f>D27+D28</f>
        <v>237.11974999999998</v>
      </c>
      <c r="E26" s="151">
        <f t="shared" si="0"/>
        <v>47.47142142142142</v>
      </c>
      <c r="F26" s="151">
        <f t="shared" si="1"/>
        <v>-262.38025000000005</v>
      </c>
    </row>
    <row r="27" spans="1:6" ht="15.75">
      <c r="A27" s="163">
        <v>1110502510</v>
      </c>
      <c r="B27" s="164" t="s">
        <v>177</v>
      </c>
      <c r="C27" s="160">
        <v>420</v>
      </c>
      <c r="D27" s="157">
        <v>203.64252</v>
      </c>
      <c r="E27" s="156">
        <f t="shared" si="0"/>
        <v>48.486314285714286</v>
      </c>
      <c r="F27" s="156">
        <f t="shared" si="1"/>
        <v>-216.35748</v>
      </c>
    </row>
    <row r="28" spans="1:6" ht="15.75">
      <c r="A28" s="154">
        <v>1110503510</v>
      </c>
      <c r="B28" s="159" t="s">
        <v>178</v>
      </c>
      <c r="C28" s="160">
        <v>79.5</v>
      </c>
      <c r="D28" s="157">
        <v>33.47723</v>
      </c>
      <c r="E28" s="156">
        <f t="shared" si="0"/>
        <v>42.109723270440256</v>
      </c>
      <c r="F28" s="156">
        <f t="shared" si="1"/>
        <v>-46.02277</v>
      </c>
    </row>
    <row r="29" spans="1:6" s="141" customFormat="1" ht="19.5" customHeight="1">
      <c r="A29" s="152">
        <v>1130000000</v>
      </c>
      <c r="B29" s="161" t="s">
        <v>185</v>
      </c>
      <c r="C29" s="151">
        <f>C30</f>
        <v>55</v>
      </c>
      <c r="D29" s="151">
        <f>D30</f>
        <v>38.72747</v>
      </c>
      <c r="E29" s="151">
        <f t="shared" si="0"/>
        <v>70.41358181818181</v>
      </c>
      <c r="F29" s="151">
        <f t="shared" si="1"/>
        <v>-16.272530000000003</v>
      </c>
    </row>
    <row r="30" spans="1:6" ht="36.75" customHeight="1">
      <c r="A30" s="154">
        <v>1130206510</v>
      </c>
      <c r="B30" s="155" t="s">
        <v>333</v>
      </c>
      <c r="C30" s="156">
        <v>55</v>
      </c>
      <c r="D30" s="157">
        <v>38.72747</v>
      </c>
      <c r="E30" s="156">
        <f t="shared" si="0"/>
        <v>70.41358181818181</v>
      </c>
      <c r="F30" s="156">
        <f t="shared" si="1"/>
        <v>-16.272530000000003</v>
      </c>
    </row>
    <row r="31" spans="1:6" ht="15.75" customHeight="1">
      <c r="A31" s="165">
        <v>1140000000</v>
      </c>
      <c r="B31" s="166" t="s">
        <v>188</v>
      </c>
      <c r="C31" s="151">
        <f>C32+C33</f>
        <v>10</v>
      </c>
      <c r="D31" s="151">
        <f>D32+D33</f>
        <v>10.23</v>
      </c>
      <c r="E31" s="151">
        <f t="shared" si="0"/>
        <v>102.30000000000001</v>
      </c>
      <c r="F31" s="151">
        <f t="shared" si="1"/>
        <v>0.23000000000000043</v>
      </c>
    </row>
    <row r="32" spans="1:6" ht="17.25" customHeight="1">
      <c r="A32" s="163">
        <v>1140200000</v>
      </c>
      <c r="B32" s="167" t="s">
        <v>189</v>
      </c>
      <c r="C32" s="156">
        <v>10</v>
      </c>
      <c r="D32" s="157">
        <v>10.23</v>
      </c>
      <c r="E32" s="156">
        <f t="shared" si="0"/>
        <v>102.30000000000001</v>
      </c>
      <c r="F32" s="156">
        <f t="shared" si="1"/>
        <v>0.23000000000000043</v>
      </c>
    </row>
    <row r="33" spans="1:6" ht="17.2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" customHeight="1">
      <c r="A34" s="149">
        <v>1160000000</v>
      </c>
      <c r="B34" s="158" t="s">
        <v>325</v>
      </c>
      <c r="C34" s="156">
        <f>C35</f>
        <v>0</v>
      </c>
      <c r="D34" s="162">
        <f>D35</f>
        <v>19.69753</v>
      </c>
      <c r="E34" s="156" t="e">
        <f t="shared" si="0"/>
        <v>#DIV/0!</v>
      </c>
      <c r="F34" s="156">
        <f t="shared" si="1"/>
        <v>19.69753</v>
      </c>
    </row>
    <row r="35" spans="1:6" ht="15.75" customHeight="1">
      <c r="A35" s="154">
        <v>1160701010</v>
      </c>
      <c r="B35" s="155" t="s">
        <v>422</v>
      </c>
      <c r="C35" s="156"/>
      <c r="D35" s="157">
        <v>19.69753</v>
      </c>
      <c r="E35" s="156" t="e">
        <f t="shared" si="0"/>
        <v>#DIV/0!</v>
      </c>
      <c r="F35" s="156">
        <f t="shared" si="1"/>
        <v>19.69753</v>
      </c>
    </row>
    <row r="36" spans="1:6" ht="1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6" t="e">
        <f t="shared" si="0"/>
        <v>#DIV/0!</v>
      </c>
      <c r="F36" s="151">
        <f t="shared" si="1"/>
        <v>0</v>
      </c>
    </row>
    <row r="37" spans="1:6" ht="18" customHeight="1">
      <c r="A37" s="154">
        <v>1170105005</v>
      </c>
      <c r="B37" s="155" t="s">
        <v>199</v>
      </c>
      <c r="C37" s="156">
        <f>C38</f>
        <v>0</v>
      </c>
      <c r="D37" s="156"/>
      <c r="E37" s="156" t="e">
        <f t="shared" si="0"/>
        <v>#DIV/0!</v>
      </c>
      <c r="F37" s="156">
        <f t="shared" si="1"/>
        <v>0</v>
      </c>
    </row>
    <row r="38" spans="1:6" ht="15" customHeight="1" hidden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7.25" customHeight="1">
      <c r="A39" s="149">
        <v>1000000000</v>
      </c>
      <c r="B39" s="150" t="s">
        <v>26</v>
      </c>
      <c r="C39" s="169">
        <f>SUM(C4,C25)</f>
        <v>3522.4</v>
      </c>
      <c r="D39" s="169">
        <f>SUM(D4,D25)</f>
        <v>2451.9686300000003</v>
      </c>
      <c r="E39" s="151">
        <f t="shared" si="0"/>
        <v>69.61073784919374</v>
      </c>
      <c r="F39" s="151">
        <f t="shared" si="1"/>
        <v>-1070.4313699999998</v>
      </c>
    </row>
    <row r="40" spans="1:7" s="140" customFormat="1" ht="15.75">
      <c r="A40" s="149">
        <v>2000000000</v>
      </c>
      <c r="B40" s="150" t="s">
        <v>201</v>
      </c>
      <c r="C40" s="241">
        <f>C41+C43+C44+C45+C46+C47+C48+C42</f>
        <v>5309.9336</v>
      </c>
      <c r="D40" s="241">
        <f>SUM(D41:D49)</f>
        <v>3139.00373</v>
      </c>
      <c r="E40" s="151">
        <f t="shared" si="0"/>
        <v>59.11568705868563</v>
      </c>
      <c r="F40" s="151">
        <f t="shared" si="1"/>
        <v>-2170.9298700000004</v>
      </c>
      <c r="G40" s="171"/>
    </row>
    <row r="41" spans="1:6" ht="15" customHeight="1">
      <c r="A41" s="163">
        <v>2021000000</v>
      </c>
      <c r="B41" s="164" t="s">
        <v>202</v>
      </c>
      <c r="C41" s="160">
        <v>1697.1</v>
      </c>
      <c r="D41" s="325">
        <v>1555.686</v>
      </c>
      <c r="E41" s="156">
        <f t="shared" si="0"/>
        <v>91.66731483118261</v>
      </c>
      <c r="F41" s="156">
        <f t="shared" si="1"/>
        <v>-141.414</v>
      </c>
    </row>
    <row r="42" spans="1:6" ht="15" customHeight="1">
      <c r="A42" s="163">
        <v>2021500200</v>
      </c>
      <c r="B42" s="164" t="s">
        <v>205</v>
      </c>
      <c r="C42" s="160">
        <v>0</v>
      </c>
      <c r="D42" s="173">
        <v>0</v>
      </c>
      <c r="E42" s="156" t="e">
        <f t="shared" si="0"/>
        <v>#DIV/0!</v>
      </c>
      <c r="F42" s="156">
        <f t="shared" si="1"/>
        <v>0</v>
      </c>
    </row>
    <row r="43" spans="1:6" ht="15.75">
      <c r="A43" s="163">
        <v>2022000000</v>
      </c>
      <c r="B43" s="164" t="s">
        <v>206</v>
      </c>
      <c r="C43" s="160">
        <v>1951.9506</v>
      </c>
      <c r="D43" s="157">
        <v>1395.9446</v>
      </c>
      <c r="E43" s="156">
        <f t="shared" si="0"/>
        <v>71.51536519418063</v>
      </c>
      <c r="F43" s="156">
        <f t="shared" si="1"/>
        <v>-556.0059999999999</v>
      </c>
    </row>
    <row r="44" spans="1:6" ht="18.75" customHeight="1">
      <c r="A44" s="163">
        <v>2023000000</v>
      </c>
      <c r="B44" s="164" t="s">
        <v>207</v>
      </c>
      <c r="C44" s="160">
        <v>103.383</v>
      </c>
      <c r="D44" s="175">
        <v>94.3725</v>
      </c>
      <c r="E44" s="156">
        <f t="shared" si="0"/>
        <v>91.28435042511825</v>
      </c>
      <c r="F44" s="156">
        <f t="shared" si="1"/>
        <v>-9.010499999999993</v>
      </c>
    </row>
    <row r="45" spans="1:6" ht="21.75" customHeight="1">
      <c r="A45" s="163">
        <v>2024000000</v>
      </c>
      <c r="B45" s="164" t="s">
        <v>102</v>
      </c>
      <c r="C45" s="160">
        <v>1364.9</v>
      </c>
      <c r="D45" s="176">
        <v>93.02</v>
      </c>
      <c r="E45" s="156">
        <f t="shared" si="0"/>
        <v>6.8151512931350275</v>
      </c>
      <c r="F45" s="156">
        <f t="shared" si="1"/>
        <v>-1271.88</v>
      </c>
    </row>
    <row r="46" spans="1:6" ht="19.5" customHeight="1">
      <c r="A46" s="163">
        <v>2020900000</v>
      </c>
      <c r="B46" s="167" t="s">
        <v>329</v>
      </c>
      <c r="C46" s="160"/>
      <c r="D46" s="176"/>
      <c r="E46" s="156" t="e">
        <f t="shared" si="0"/>
        <v>#DIV/0!</v>
      </c>
      <c r="F46" s="156">
        <f t="shared" si="1"/>
        <v>0</v>
      </c>
    </row>
    <row r="47" spans="1:6" ht="18" customHeight="1">
      <c r="A47" s="154">
        <v>2190500005</v>
      </c>
      <c r="B47" s="159" t="s">
        <v>209</v>
      </c>
      <c r="C47" s="157">
        <v>0</v>
      </c>
      <c r="D47" s="326">
        <v>0</v>
      </c>
      <c r="E47" s="151" t="e">
        <f t="shared" si="0"/>
        <v>#DIV/0!</v>
      </c>
      <c r="F47" s="151">
        <f t="shared" si="1"/>
        <v>0</v>
      </c>
    </row>
    <row r="48" spans="1:6" ht="18" customHeight="1">
      <c r="A48" s="154">
        <v>2070502010</v>
      </c>
      <c r="B48" s="159" t="s">
        <v>28</v>
      </c>
      <c r="C48" s="157">
        <v>192.6</v>
      </c>
      <c r="D48" s="157"/>
      <c r="E48" s="156">
        <f t="shared" si="0"/>
        <v>0</v>
      </c>
      <c r="F48" s="156">
        <f t="shared" si="1"/>
        <v>-192.6</v>
      </c>
    </row>
    <row r="49" spans="1:6" s="140" customFormat="1" ht="20.25" customHeight="1">
      <c r="A49" s="154">
        <v>2190000010</v>
      </c>
      <c r="B49" s="327" t="s">
        <v>209</v>
      </c>
      <c r="C49" s="160">
        <v>0</v>
      </c>
      <c r="D49" s="328">
        <v>-0.019370000000000002</v>
      </c>
      <c r="E49" s="156" t="e">
        <f t="shared" si="0"/>
        <v>#DIV/0!</v>
      </c>
      <c r="F49" s="156">
        <f t="shared" si="1"/>
        <v>-0.019370000000000002</v>
      </c>
    </row>
    <row r="50" spans="1:8" s="140" customFormat="1" ht="19.5" customHeight="1">
      <c r="A50" s="149"/>
      <c r="B50" s="150" t="s">
        <v>211</v>
      </c>
      <c r="C50" s="289">
        <f>C39+C40</f>
        <v>8832.3336</v>
      </c>
      <c r="D50" s="280">
        <f>D39+D40</f>
        <v>5590.97236</v>
      </c>
      <c r="E50" s="151">
        <f t="shared" si="0"/>
        <v>63.301190978565394</v>
      </c>
      <c r="F50" s="151">
        <f t="shared" si="1"/>
        <v>-3241.36124</v>
      </c>
      <c r="G50" s="142"/>
      <c r="H50" s="329"/>
    </row>
    <row r="51" spans="1:6" s="140" customFormat="1" ht="15.75">
      <c r="A51" s="149"/>
      <c r="B51" s="189" t="s">
        <v>212</v>
      </c>
      <c r="C51" s="271">
        <f>C50-C97</f>
        <v>-1056.7500600000021</v>
      </c>
      <c r="D51" s="271">
        <f>D50-D97</f>
        <v>-648.0962500000005</v>
      </c>
      <c r="E51" s="191"/>
      <c r="F51" s="191"/>
    </row>
    <row r="52" spans="1:6" ht="15.75">
      <c r="A52" s="192"/>
      <c r="B52" s="193"/>
      <c r="C52" s="330"/>
      <c r="D52" s="330" t="s">
        <v>311</v>
      </c>
      <c r="E52" s="195"/>
      <c r="F52" s="196"/>
    </row>
    <row r="53" spans="1:6" ht="42.75" customHeight="1">
      <c r="A53" s="197" t="s">
        <v>141</v>
      </c>
      <c r="B53" s="197" t="s">
        <v>213</v>
      </c>
      <c r="C53" s="146" t="s">
        <v>143</v>
      </c>
      <c r="D53" s="147" t="s">
        <v>424</v>
      </c>
      <c r="E53" s="146" t="s">
        <v>144</v>
      </c>
      <c r="F53" s="148" t="s">
        <v>145</v>
      </c>
    </row>
    <row r="54" spans="1:6" ht="15.75">
      <c r="A54" s="246">
        <v>1</v>
      </c>
      <c r="B54" s="197">
        <v>2</v>
      </c>
      <c r="C54" s="200">
        <v>3</v>
      </c>
      <c r="D54" s="200">
        <v>4</v>
      </c>
      <c r="E54" s="200">
        <v>5</v>
      </c>
      <c r="F54" s="200">
        <v>6</v>
      </c>
    </row>
    <row r="55" spans="1:6" s="140" customFormat="1" ht="22.5" customHeight="1">
      <c r="A55" s="201" t="s">
        <v>33</v>
      </c>
      <c r="B55" s="202" t="s">
        <v>214</v>
      </c>
      <c r="C55" s="300">
        <f>C56+C57+C58+C59+C60+C62+C61</f>
        <v>1659.8410000000001</v>
      </c>
      <c r="D55" s="282">
        <f>D56+D57+D58+D59+D60+D62+D61</f>
        <v>1342.3976</v>
      </c>
      <c r="E55" s="203">
        <f aca="true" t="shared" si="2" ref="E55:E69">SUM(D55/C55*100)</f>
        <v>80.87507176892244</v>
      </c>
      <c r="F55" s="203">
        <f>SUM(D55-C55)</f>
        <v>-317.4434000000001</v>
      </c>
    </row>
    <row r="56" spans="1:6" s="140" customFormat="1" ht="31.5" hidden="1">
      <c r="A56" s="204" t="s">
        <v>215</v>
      </c>
      <c r="B56" s="205" t="s">
        <v>216</v>
      </c>
      <c r="C56" s="284"/>
      <c r="D56" s="284"/>
      <c r="E56" s="203" t="e">
        <f t="shared" si="2"/>
        <v>#DIV/0!</v>
      </c>
      <c r="F56" s="206"/>
    </row>
    <row r="57" spans="1:6" ht="14.25" customHeight="1">
      <c r="A57" s="204" t="s">
        <v>217</v>
      </c>
      <c r="B57" s="207" t="s">
        <v>218</v>
      </c>
      <c r="C57" s="284">
        <v>1581.6</v>
      </c>
      <c r="D57" s="284">
        <v>1304.8136</v>
      </c>
      <c r="E57" s="203">
        <f t="shared" si="2"/>
        <v>82.49959534648458</v>
      </c>
      <c r="F57" s="206">
        <f aca="true" t="shared" si="3" ref="F57:F69">SUM(D57-C57)</f>
        <v>-276.78639999999996</v>
      </c>
    </row>
    <row r="58" spans="1:6" ht="16.5" customHeight="1" hidden="1">
      <c r="A58" s="204" t="s">
        <v>219</v>
      </c>
      <c r="B58" s="207" t="s">
        <v>220</v>
      </c>
      <c r="C58" s="284"/>
      <c r="D58" s="284"/>
      <c r="E58" s="203" t="e">
        <f t="shared" si="2"/>
        <v>#DIV/0!</v>
      </c>
      <c r="F58" s="206">
        <f t="shared" si="3"/>
        <v>0</v>
      </c>
    </row>
    <row r="59" spans="1:6" ht="31.5" customHeight="1" hidden="1">
      <c r="A59" s="204" t="s">
        <v>221</v>
      </c>
      <c r="B59" s="207" t="s">
        <v>222</v>
      </c>
      <c r="C59" s="284"/>
      <c r="D59" s="284"/>
      <c r="E59" s="203" t="e">
        <f t="shared" si="2"/>
        <v>#DIV/0!</v>
      </c>
      <c r="F59" s="206">
        <f t="shared" si="3"/>
        <v>0</v>
      </c>
    </row>
    <row r="60" spans="1:6" ht="15.75" customHeight="1">
      <c r="A60" s="204" t="s">
        <v>223</v>
      </c>
      <c r="B60" s="207" t="s">
        <v>224</v>
      </c>
      <c r="C60" s="284">
        <v>18.4</v>
      </c>
      <c r="D60" s="284">
        <v>18.4</v>
      </c>
      <c r="E60" s="206">
        <f t="shared" si="2"/>
        <v>100</v>
      </c>
      <c r="F60" s="206">
        <f t="shared" si="3"/>
        <v>0</v>
      </c>
    </row>
    <row r="61" spans="1:6" ht="15.75">
      <c r="A61" s="204" t="s">
        <v>225</v>
      </c>
      <c r="B61" s="207" t="s">
        <v>226</v>
      </c>
      <c r="C61" s="294">
        <v>39.477</v>
      </c>
      <c r="D61" s="294">
        <v>0</v>
      </c>
      <c r="E61" s="206">
        <f t="shared" si="2"/>
        <v>0</v>
      </c>
      <c r="F61" s="206">
        <f t="shared" si="3"/>
        <v>-39.477</v>
      </c>
    </row>
    <row r="62" spans="1:6" ht="19.5" customHeight="1">
      <c r="A62" s="204" t="s">
        <v>227</v>
      </c>
      <c r="B62" s="207" t="s">
        <v>228</v>
      </c>
      <c r="C62" s="284">
        <v>20.364</v>
      </c>
      <c r="D62" s="284">
        <v>19.184</v>
      </c>
      <c r="E62" s="206">
        <f t="shared" si="2"/>
        <v>94.2054606167747</v>
      </c>
      <c r="F62" s="206">
        <f t="shared" si="3"/>
        <v>-1.1799999999999997</v>
      </c>
    </row>
    <row r="63" spans="1:6" s="140" customFormat="1" ht="15.75">
      <c r="A63" s="209" t="s">
        <v>35</v>
      </c>
      <c r="B63" s="210" t="s">
        <v>229</v>
      </c>
      <c r="C63" s="282">
        <f>C64</f>
        <v>103.383</v>
      </c>
      <c r="D63" s="282">
        <f>D64</f>
        <v>54.42091</v>
      </c>
      <c r="E63" s="203">
        <f t="shared" si="2"/>
        <v>52.64009556696942</v>
      </c>
      <c r="F63" s="203">
        <f t="shared" si="3"/>
        <v>-48.962089999999996</v>
      </c>
    </row>
    <row r="64" spans="1:6" ht="15.75">
      <c r="A64" s="211" t="s">
        <v>230</v>
      </c>
      <c r="B64" s="212" t="s">
        <v>231</v>
      </c>
      <c r="C64" s="284">
        <v>103.383</v>
      </c>
      <c r="D64" s="284">
        <v>54.42091</v>
      </c>
      <c r="E64" s="206">
        <f t="shared" si="2"/>
        <v>52.64009556696942</v>
      </c>
      <c r="F64" s="206">
        <f t="shared" si="3"/>
        <v>-48.962089999999996</v>
      </c>
    </row>
    <row r="65" spans="1:6" s="140" customFormat="1" ht="21" customHeight="1">
      <c r="A65" s="201" t="s">
        <v>37</v>
      </c>
      <c r="B65" s="202" t="s">
        <v>232</v>
      </c>
      <c r="C65" s="282">
        <f>C68+C69+C70</f>
        <v>32</v>
      </c>
      <c r="D65" s="282">
        <f>SUM(D68+D69+D70)</f>
        <v>26.51148</v>
      </c>
      <c r="E65" s="203">
        <f t="shared" si="2"/>
        <v>82.84837499999999</v>
      </c>
      <c r="F65" s="203">
        <f t="shared" si="3"/>
        <v>-5.488520000000001</v>
      </c>
    </row>
    <row r="66" spans="1:6" ht="15.75" hidden="1">
      <c r="A66" s="204" t="s">
        <v>233</v>
      </c>
      <c r="B66" s="207" t="s">
        <v>234</v>
      </c>
      <c r="C66" s="284"/>
      <c r="D66" s="284"/>
      <c r="E66" s="203" t="e">
        <f t="shared" si="2"/>
        <v>#DIV/0!</v>
      </c>
      <c r="F66" s="203">
        <f t="shared" si="3"/>
        <v>0</v>
      </c>
    </row>
    <row r="67" spans="1:6" ht="15.75" hidden="1">
      <c r="A67" s="213" t="s">
        <v>235</v>
      </c>
      <c r="B67" s="207" t="s">
        <v>317</v>
      </c>
      <c r="C67" s="284"/>
      <c r="D67" s="284"/>
      <c r="E67" s="203" t="e">
        <f t="shared" si="2"/>
        <v>#DIV/0!</v>
      </c>
      <c r="F67" s="203">
        <f t="shared" si="3"/>
        <v>0</v>
      </c>
    </row>
    <row r="68" spans="1:6" ht="15.75" customHeight="1">
      <c r="A68" s="214" t="s">
        <v>237</v>
      </c>
      <c r="B68" s="215" t="s">
        <v>238</v>
      </c>
      <c r="C68" s="284">
        <v>3</v>
      </c>
      <c r="D68" s="284">
        <v>2.81148</v>
      </c>
      <c r="E68" s="203">
        <f t="shared" si="2"/>
        <v>93.716</v>
      </c>
      <c r="F68" s="203">
        <f t="shared" si="3"/>
        <v>-0.18852000000000002</v>
      </c>
    </row>
    <row r="69" spans="1:6" ht="15.75">
      <c r="A69" s="214" t="s">
        <v>239</v>
      </c>
      <c r="B69" s="215" t="s">
        <v>240</v>
      </c>
      <c r="C69" s="284">
        <v>27</v>
      </c>
      <c r="D69" s="284">
        <v>21.7</v>
      </c>
      <c r="E69" s="203">
        <f t="shared" si="2"/>
        <v>80.37037037037037</v>
      </c>
      <c r="F69" s="203">
        <f t="shared" si="3"/>
        <v>-5.300000000000001</v>
      </c>
    </row>
    <row r="70" spans="1:6" ht="15.75">
      <c r="A70" s="214" t="s">
        <v>241</v>
      </c>
      <c r="B70" s="215" t="s">
        <v>345</v>
      </c>
      <c r="C70" s="284">
        <v>2</v>
      </c>
      <c r="D70" s="284">
        <v>2</v>
      </c>
      <c r="E70" s="203"/>
      <c r="F70" s="203"/>
    </row>
    <row r="71" spans="1:6" s="140" customFormat="1" ht="17.25" customHeight="1">
      <c r="A71" s="201" t="s">
        <v>39</v>
      </c>
      <c r="B71" s="202" t="s">
        <v>243</v>
      </c>
      <c r="C71" s="252">
        <f>SUM(C72:C75)</f>
        <v>3290.85366</v>
      </c>
      <c r="D71" s="252">
        <f>SUM(D72:D75)</f>
        <v>2287.912</v>
      </c>
      <c r="E71" s="203">
        <f aca="true" t="shared" si="4" ref="E71:E85">SUM(D71/C71*100)</f>
        <v>69.52335887217785</v>
      </c>
      <c r="F71" s="203">
        <f aca="true" t="shared" si="5" ref="F71:F86">SUM(D71-C71)</f>
        <v>-1002.9416600000004</v>
      </c>
    </row>
    <row r="72" spans="1:6" ht="15.75">
      <c r="A72" s="204" t="s">
        <v>246</v>
      </c>
      <c r="B72" s="207" t="s">
        <v>319</v>
      </c>
      <c r="C72" s="285"/>
      <c r="D72" s="284">
        <v>0</v>
      </c>
      <c r="E72" s="206" t="e">
        <f t="shared" si="4"/>
        <v>#DIV/0!</v>
      </c>
      <c r="F72" s="206">
        <f t="shared" si="5"/>
        <v>0</v>
      </c>
    </row>
    <row r="73" spans="1:7" s="140" customFormat="1" ht="15.75">
      <c r="A73" s="204" t="s">
        <v>248</v>
      </c>
      <c r="B73" s="207" t="s">
        <v>320</v>
      </c>
      <c r="C73" s="285"/>
      <c r="D73" s="284"/>
      <c r="E73" s="206" t="e">
        <f t="shared" si="4"/>
        <v>#DIV/0!</v>
      </c>
      <c r="F73" s="206">
        <f t="shared" si="5"/>
        <v>0</v>
      </c>
      <c r="G73" s="143"/>
    </row>
    <row r="74" spans="1:6" ht="15.75">
      <c r="A74" s="204" t="s">
        <v>250</v>
      </c>
      <c r="B74" s="207" t="s">
        <v>251</v>
      </c>
      <c r="C74" s="285">
        <v>3190.85366</v>
      </c>
      <c r="D74" s="284">
        <v>2190.312</v>
      </c>
      <c r="E74" s="206">
        <f t="shared" si="4"/>
        <v>68.64344885061259</v>
      </c>
      <c r="F74" s="206">
        <f t="shared" si="5"/>
        <v>-1000.5416600000003</v>
      </c>
    </row>
    <row r="75" spans="1:6" ht="15.75">
      <c r="A75" s="204" t="s">
        <v>252</v>
      </c>
      <c r="B75" s="207" t="s">
        <v>253</v>
      </c>
      <c r="C75" s="285">
        <v>100</v>
      </c>
      <c r="D75" s="284">
        <v>97.6</v>
      </c>
      <c r="E75" s="206">
        <f t="shared" si="4"/>
        <v>97.6</v>
      </c>
      <c r="F75" s="206">
        <f t="shared" si="5"/>
        <v>-2.4000000000000057</v>
      </c>
    </row>
    <row r="76" spans="1:6" s="140" customFormat="1" ht="16.5" customHeight="1">
      <c r="A76" s="201" t="s">
        <v>41</v>
      </c>
      <c r="B76" s="202" t="s">
        <v>254</v>
      </c>
      <c r="C76" s="282">
        <f>SUM(C77:C79)</f>
        <v>3296.906</v>
      </c>
      <c r="D76" s="282">
        <f>SUM(D77:D79)</f>
        <v>1190.9349</v>
      </c>
      <c r="E76" s="203">
        <f t="shared" si="4"/>
        <v>36.1228042291773</v>
      </c>
      <c r="F76" s="203">
        <f t="shared" si="5"/>
        <v>-2105.9710999999998</v>
      </c>
    </row>
    <row r="77" spans="1:6" ht="0.75" customHeight="1" hidden="1">
      <c r="A77" s="204" t="s">
        <v>255</v>
      </c>
      <c r="B77" s="218" t="s">
        <v>256</v>
      </c>
      <c r="C77" s="284">
        <v>0</v>
      </c>
      <c r="D77" s="284">
        <v>0</v>
      </c>
      <c r="E77" s="206" t="e">
        <f t="shared" si="4"/>
        <v>#DIV/0!</v>
      </c>
      <c r="F77" s="206">
        <f t="shared" si="5"/>
        <v>0</v>
      </c>
    </row>
    <row r="78" spans="1:6" ht="18" customHeight="1">
      <c r="A78" s="204" t="s">
        <v>257</v>
      </c>
      <c r="B78" s="218" t="s">
        <v>258</v>
      </c>
      <c r="C78" s="284">
        <v>2440.106</v>
      </c>
      <c r="D78" s="284">
        <v>480.16006</v>
      </c>
      <c r="E78" s="206">
        <f t="shared" si="4"/>
        <v>19.677836126791213</v>
      </c>
      <c r="F78" s="206">
        <f t="shared" si="5"/>
        <v>-1959.9459400000003</v>
      </c>
    </row>
    <row r="79" spans="1:6" ht="15.75">
      <c r="A79" s="204" t="s">
        <v>259</v>
      </c>
      <c r="B79" s="207" t="s">
        <v>260</v>
      </c>
      <c r="C79" s="284">
        <v>856.8</v>
      </c>
      <c r="D79" s="284">
        <v>710.77484</v>
      </c>
      <c r="E79" s="206">
        <f t="shared" si="4"/>
        <v>82.95691409897293</v>
      </c>
      <c r="F79" s="206">
        <f t="shared" si="5"/>
        <v>-146.02515999999991</v>
      </c>
    </row>
    <row r="80" spans="1:6" s="140" customFormat="1" ht="15.75">
      <c r="A80" s="201" t="s">
        <v>47</v>
      </c>
      <c r="B80" s="202" t="s">
        <v>275</v>
      </c>
      <c r="C80" s="282">
        <f>C81</f>
        <v>1497</v>
      </c>
      <c r="D80" s="282">
        <f>SUM(D81)</f>
        <v>1327.85472</v>
      </c>
      <c r="E80" s="203">
        <f t="shared" si="4"/>
        <v>88.7010501002004</v>
      </c>
      <c r="F80" s="203">
        <f t="shared" si="5"/>
        <v>-169.14527999999996</v>
      </c>
    </row>
    <row r="81" spans="1:6" ht="15.75" customHeight="1">
      <c r="A81" s="204" t="s">
        <v>276</v>
      </c>
      <c r="B81" s="207" t="s">
        <v>277</v>
      </c>
      <c r="C81" s="284">
        <v>1497</v>
      </c>
      <c r="D81" s="284">
        <v>1327.85472</v>
      </c>
      <c r="E81" s="206">
        <f t="shared" si="4"/>
        <v>88.7010501002004</v>
      </c>
      <c r="F81" s="206">
        <f t="shared" si="5"/>
        <v>-169.14527999999996</v>
      </c>
    </row>
    <row r="82" spans="1:6" s="140" customFormat="1" ht="0.75" customHeight="1" hidden="1">
      <c r="A82" s="219">
        <v>1000</v>
      </c>
      <c r="B82" s="202" t="s">
        <v>280</v>
      </c>
      <c r="C82" s="282">
        <f>SUM(C83:C86)</f>
        <v>0</v>
      </c>
      <c r="D82" s="282">
        <f>SUM(D83:D86)</f>
        <v>0</v>
      </c>
      <c r="E82" s="203" t="e">
        <f t="shared" si="4"/>
        <v>#DIV/0!</v>
      </c>
      <c r="F82" s="203">
        <f t="shared" si="5"/>
        <v>0</v>
      </c>
    </row>
    <row r="83" spans="1:6" ht="0.75" customHeight="1" hidden="1">
      <c r="A83" s="220">
        <v>1001</v>
      </c>
      <c r="B83" s="221" t="s">
        <v>281</v>
      </c>
      <c r="C83" s="284"/>
      <c r="D83" s="284"/>
      <c r="E83" s="206" t="e">
        <f t="shared" si="4"/>
        <v>#DIV/0!</v>
      </c>
      <c r="F83" s="206">
        <f t="shared" si="5"/>
        <v>0</v>
      </c>
    </row>
    <row r="84" spans="1:6" ht="15.75" hidden="1">
      <c r="A84" s="220">
        <v>1003</v>
      </c>
      <c r="B84" s="221" t="s">
        <v>282</v>
      </c>
      <c r="C84" s="284">
        <v>0</v>
      </c>
      <c r="D84" s="284">
        <v>0</v>
      </c>
      <c r="E84" s="206" t="e">
        <f t="shared" si="4"/>
        <v>#DIV/0!</v>
      </c>
      <c r="F84" s="206">
        <f t="shared" si="5"/>
        <v>0</v>
      </c>
    </row>
    <row r="85" spans="1:6" ht="15.75" hidden="1">
      <c r="A85" s="220">
        <v>1004</v>
      </c>
      <c r="B85" s="221" t="s">
        <v>283</v>
      </c>
      <c r="C85" s="284"/>
      <c r="D85" s="286"/>
      <c r="E85" s="206" t="e">
        <f t="shared" si="4"/>
        <v>#DIV/0!</v>
      </c>
      <c r="F85" s="206">
        <f t="shared" si="5"/>
        <v>0</v>
      </c>
    </row>
    <row r="86" spans="1:6" ht="15.75" hidden="1">
      <c r="A86" s="204" t="s">
        <v>284</v>
      </c>
      <c r="B86" s="207" t="s">
        <v>285</v>
      </c>
      <c r="C86" s="284">
        <v>0</v>
      </c>
      <c r="D86" s="284">
        <v>0</v>
      </c>
      <c r="E86" s="206"/>
      <c r="F86" s="206">
        <f t="shared" si="5"/>
        <v>0</v>
      </c>
    </row>
    <row r="87" spans="1:6" ht="15.75">
      <c r="A87" s="201" t="s">
        <v>51</v>
      </c>
      <c r="B87" s="202" t="s">
        <v>286</v>
      </c>
      <c r="C87" s="282">
        <f>C88+C89+C90+C91+C92</f>
        <v>9.1</v>
      </c>
      <c r="D87" s="282">
        <f>D88+D89+D90+D91+D92</f>
        <v>9.037</v>
      </c>
      <c r="E87" s="206">
        <f aca="true" t="shared" si="6" ref="E87:E97">SUM(D87/C87*100)</f>
        <v>99.30769230769232</v>
      </c>
      <c r="F87" s="191">
        <f>F88+F89+F90+F91+F92</f>
        <v>-0.06299999999999883</v>
      </c>
    </row>
    <row r="88" spans="1:6" ht="17.25" customHeight="1">
      <c r="A88" s="204" t="s">
        <v>287</v>
      </c>
      <c r="B88" s="207" t="s">
        <v>288</v>
      </c>
      <c r="C88" s="284">
        <v>9.1</v>
      </c>
      <c r="D88" s="284">
        <v>9.037</v>
      </c>
      <c r="E88" s="206">
        <f t="shared" si="6"/>
        <v>99.30769230769232</v>
      </c>
      <c r="F88" s="206">
        <f>SUM(D88-C88)</f>
        <v>-0.06299999999999883</v>
      </c>
    </row>
    <row r="89" spans="1:6" ht="15.75" customHeight="1" hidden="1">
      <c r="A89" s="204" t="s">
        <v>289</v>
      </c>
      <c r="B89" s="207" t="s">
        <v>290</v>
      </c>
      <c r="C89" s="284"/>
      <c r="D89" s="284"/>
      <c r="E89" s="206" t="e">
        <f t="shared" si="6"/>
        <v>#DIV/0!</v>
      </c>
      <c r="F89" s="206">
        <f>SUM(D89-C89)</f>
        <v>0</v>
      </c>
    </row>
    <row r="90" spans="1:6" ht="15.75" customHeight="1" hidden="1">
      <c r="A90" s="204" t="s">
        <v>291</v>
      </c>
      <c r="B90" s="207" t="s">
        <v>292</v>
      </c>
      <c r="C90" s="284"/>
      <c r="D90" s="284"/>
      <c r="E90" s="206" t="e">
        <f t="shared" si="6"/>
        <v>#DIV/0!</v>
      </c>
      <c r="F90" s="206"/>
    </row>
    <row r="91" spans="1:6" ht="15.75" customHeight="1" hidden="1">
      <c r="A91" s="204" t="s">
        <v>293</v>
      </c>
      <c r="B91" s="207" t="s">
        <v>294</v>
      </c>
      <c r="C91" s="284"/>
      <c r="D91" s="284"/>
      <c r="E91" s="206" t="e">
        <f t="shared" si="6"/>
        <v>#DIV/0!</v>
      </c>
      <c r="F91" s="206"/>
    </row>
    <row r="92" spans="1:6" ht="15.75" customHeight="1" hidden="1">
      <c r="A92" s="204" t="s">
        <v>295</v>
      </c>
      <c r="B92" s="207" t="s">
        <v>296</v>
      </c>
      <c r="C92" s="284"/>
      <c r="D92" s="284"/>
      <c r="E92" s="206" t="e">
        <f t="shared" si="6"/>
        <v>#DIV/0!</v>
      </c>
      <c r="F92" s="206"/>
    </row>
    <row r="93" spans="1:6" s="140" customFormat="1" ht="15.75" customHeight="1" hidden="1">
      <c r="A93" s="219">
        <v>1400</v>
      </c>
      <c r="B93" s="223" t="s">
        <v>303</v>
      </c>
      <c r="C93" s="252">
        <f>C94+C95+C96</f>
        <v>0</v>
      </c>
      <c r="D93" s="252">
        <f>SUM(D94:D96)</f>
        <v>0</v>
      </c>
      <c r="E93" s="203" t="e">
        <f t="shared" si="6"/>
        <v>#DIV/0!</v>
      </c>
      <c r="F93" s="203">
        <f>SUM(D93-C93)</f>
        <v>0</v>
      </c>
    </row>
    <row r="94" spans="1:6" ht="15.75" customHeight="1" hidden="1">
      <c r="A94" s="220">
        <v>1401</v>
      </c>
      <c r="B94" s="221" t="s">
        <v>304</v>
      </c>
      <c r="C94" s="285"/>
      <c r="D94" s="284"/>
      <c r="E94" s="206" t="e">
        <f t="shared" si="6"/>
        <v>#DIV/0!</v>
      </c>
      <c r="F94" s="206">
        <f>SUM(D94-C94)</f>
        <v>0</v>
      </c>
    </row>
    <row r="95" spans="1:6" ht="15.75" customHeight="1" hidden="1">
      <c r="A95" s="220">
        <v>1402</v>
      </c>
      <c r="B95" s="221" t="s">
        <v>305</v>
      </c>
      <c r="C95" s="285"/>
      <c r="D95" s="284"/>
      <c r="E95" s="206" t="e">
        <f t="shared" si="6"/>
        <v>#DIV/0!</v>
      </c>
      <c r="F95" s="206">
        <f>SUM(D95-C95)</f>
        <v>0</v>
      </c>
    </row>
    <row r="96" spans="1:6" ht="15.75" customHeight="1" hidden="1">
      <c r="A96" s="220">
        <v>1403</v>
      </c>
      <c r="B96" s="221" t="s">
        <v>306</v>
      </c>
      <c r="C96" s="285">
        <v>0</v>
      </c>
      <c r="D96" s="284">
        <v>0</v>
      </c>
      <c r="E96" s="206" t="e">
        <f t="shared" si="6"/>
        <v>#DIV/0!</v>
      </c>
      <c r="F96" s="206">
        <f>SUM(D96-C96)</f>
        <v>0</v>
      </c>
    </row>
    <row r="97" spans="1:8" s="140" customFormat="1" ht="15.75" customHeight="1">
      <c r="A97" s="219"/>
      <c r="B97" s="224" t="s">
        <v>307</v>
      </c>
      <c r="C97" s="279">
        <f>C55+C63+C71+C76+C80+C82+C87+C65+C93</f>
        <v>9889.083660000002</v>
      </c>
      <c r="D97" s="279">
        <f>D55+D63+D71+D76+D80+D82+D87+D65+D93</f>
        <v>6239.06861</v>
      </c>
      <c r="E97" s="203">
        <f t="shared" si="6"/>
        <v>63.09046241803154</v>
      </c>
      <c r="F97" s="203">
        <f>SUM(D97-C97)</f>
        <v>-3650.015050000002</v>
      </c>
      <c r="G97" s="187"/>
      <c r="H97" s="187"/>
    </row>
    <row r="98" spans="3:4" ht="15.75">
      <c r="C98" s="227"/>
      <c r="D98" s="228"/>
    </row>
    <row r="99" spans="1:5" s="144" customFormat="1" ht="16.5" customHeight="1">
      <c r="A99" s="229" t="s">
        <v>308</v>
      </c>
      <c r="B99" s="229"/>
      <c r="C99" s="230"/>
      <c r="D99" s="230"/>
      <c r="E99" s="255"/>
    </row>
    <row r="100" spans="1:3" s="144" customFormat="1" ht="20.25" customHeight="1">
      <c r="A100" s="231" t="s">
        <v>309</v>
      </c>
      <c r="B100" s="231"/>
      <c r="C100" s="144" t="s">
        <v>310</v>
      </c>
    </row>
    <row r="101" ht="13.5" customHeight="1">
      <c r="C101" s="265"/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view="pageBreakPreview" zoomScale="70" zoomScaleSheetLayoutView="70" zoomScalePageLayoutView="0" workbookViewId="0" topLeftCell="A31">
      <selection activeCell="D91" sqref="D91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421875" style="138" customWidth="1"/>
    <col min="4" max="4" width="15.28125" style="138" customWidth="1"/>
    <col min="5" max="5" width="13.00390625" style="138" customWidth="1"/>
    <col min="6" max="6" width="11.8515625" style="138" customWidth="1"/>
    <col min="7" max="7" width="15.57421875" style="139" customWidth="1"/>
    <col min="8" max="8" width="11.421875" style="139" customWidth="1"/>
    <col min="9" max="16384" width="9.140625" style="139" customWidth="1"/>
  </cols>
  <sheetData>
    <row r="1" spans="1:6" ht="12.75" customHeight="1">
      <c r="A1" s="468" t="s">
        <v>438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1221.69</v>
      </c>
      <c r="D4" s="151">
        <f>D5+D12+D14+D17+D7</f>
        <v>1371.6082999999999</v>
      </c>
      <c r="E4" s="151">
        <f aca="true" t="shared" si="0" ref="E4:E40">SUM(D4/C4*100)</f>
        <v>112.27138635824143</v>
      </c>
      <c r="F4" s="151">
        <f aca="true" t="shared" si="1" ref="F4:F53">SUM(D4-C4)</f>
        <v>149.91829999999982</v>
      </c>
    </row>
    <row r="5" spans="1:6" s="140" customFormat="1" ht="15.75">
      <c r="A5" s="152">
        <v>1010000000</v>
      </c>
      <c r="B5" s="153" t="s">
        <v>146</v>
      </c>
      <c r="C5" s="151">
        <f>C6</f>
        <v>200.1</v>
      </c>
      <c r="D5" s="151">
        <f>D6</f>
        <v>240.52335</v>
      </c>
      <c r="E5" s="151">
        <f t="shared" si="0"/>
        <v>120.20157421289355</v>
      </c>
      <c r="F5" s="151">
        <f t="shared" si="1"/>
        <v>40.42335</v>
      </c>
    </row>
    <row r="6" spans="1:6" ht="15.75">
      <c r="A6" s="154">
        <v>1010200001</v>
      </c>
      <c r="B6" s="155" t="s">
        <v>147</v>
      </c>
      <c r="C6" s="156">
        <v>200.1</v>
      </c>
      <c r="D6" s="157">
        <v>240.52335</v>
      </c>
      <c r="E6" s="156">
        <f t="shared" si="0"/>
        <v>120.20157421289355</v>
      </c>
      <c r="F6" s="156">
        <f t="shared" si="1"/>
        <v>40.42335</v>
      </c>
    </row>
    <row r="7" spans="1:6" ht="31.5">
      <c r="A7" s="149">
        <v>1030000000</v>
      </c>
      <c r="B7" s="158" t="s">
        <v>148</v>
      </c>
      <c r="C7" s="151">
        <f>C8+C10+C9</f>
        <v>536.59</v>
      </c>
      <c r="D7" s="241">
        <f>D8+D10+D9+D11</f>
        <v>549.28426</v>
      </c>
      <c r="E7" s="151">
        <f t="shared" si="0"/>
        <v>102.36572802325799</v>
      </c>
      <c r="F7" s="151">
        <f t="shared" si="1"/>
        <v>12.694259999999986</v>
      </c>
    </row>
    <row r="8" spans="1:6" ht="15.75">
      <c r="A8" s="154">
        <v>1030223001</v>
      </c>
      <c r="B8" s="155" t="s">
        <v>149</v>
      </c>
      <c r="C8" s="156">
        <v>200.15</v>
      </c>
      <c r="D8" s="157">
        <v>251.76861</v>
      </c>
      <c r="E8" s="156">
        <f t="shared" si="0"/>
        <v>125.78996252810393</v>
      </c>
      <c r="F8" s="156">
        <f t="shared" si="1"/>
        <v>51.61860999999999</v>
      </c>
    </row>
    <row r="9" spans="1:6" ht="15.75">
      <c r="A9" s="154">
        <v>1030224001</v>
      </c>
      <c r="B9" s="155" t="s">
        <v>150</v>
      </c>
      <c r="C9" s="156">
        <v>2.15</v>
      </c>
      <c r="D9" s="157">
        <v>1.78583</v>
      </c>
      <c r="E9" s="156">
        <f t="shared" si="0"/>
        <v>83.06186046511628</v>
      </c>
      <c r="F9" s="156">
        <f t="shared" si="1"/>
        <v>-0.3641699999999999</v>
      </c>
    </row>
    <row r="10" spans="1:6" ht="15.75">
      <c r="A10" s="154">
        <v>1030225001</v>
      </c>
      <c r="B10" s="155" t="s">
        <v>151</v>
      </c>
      <c r="C10" s="156">
        <v>334.29</v>
      </c>
      <c r="D10" s="157">
        <v>338.38818</v>
      </c>
      <c r="E10" s="156">
        <f t="shared" si="0"/>
        <v>101.22593556492865</v>
      </c>
      <c r="F10" s="156">
        <f t="shared" si="1"/>
        <v>4.098179999999957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-42.65836</v>
      </c>
      <c r="E11" s="156" t="e">
        <f t="shared" si="0"/>
        <v>#DIV/0!</v>
      </c>
      <c r="F11" s="156">
        <f t="shared" si="1"/>
        <v>-42.65836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6.10936</v>
      </c>
      <c r="E12" s="151">
        <f t="shared" si="0"/>
        <v>61.093599999999995</v>
      </c>
      <c r="F12" s="151">
        <f t="shared" si="1"/>
        <v>-3.8906400000000003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6.10936</v>
      </c>
      <c r="E13" s="156">
        <f t="shared" si="0"/>
        <v>61.093599999999995</v>
      </c>
      <c r="F13" s="156">
        <f t="shared" si="1"/>
        <v>-3.8906400000000003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465</v>
      </c>
      <c r="D14" s="151">
        <f>D15+D16</f>
        <v>572.09133</v>
      </c>
      <c r="E14" s="151">
        <f t="shared" si="0"/>
        <v>123.0303935483871</v>
      </c>
      <c r="F14" s="151">
        <f t="shared" si="1"/>
        <v>107.09132999999997</v>
      </c>
    </row>
    <row r="15" spans="1:6" s="140" customFormat="1" ht="15.75" customHeight="1">
      <c r="A15" s="154">
        <v>1060100000</v>
      </c>
      <c r="B15" s="159" t="s">
        <v>159</v>
      </c>
      <c r="C15" s="156">
        <v>117</v>
      </c>
      <c r="D15" s="157">
        <v>68.57618</v>
      </c>
      <c r="E15" s="156">
        <f t="shared" si="0"/>
        <v>58.61211965811965</v>
      </c>
      <c r="F15" s="156">
        <f t="shared" si="1"/>
        <v>-48.423820000000006</v>
      </c>
    </row>
    <row r="16" spans="1:6" ht="15.75" customHeight="1">
      <c r="A16" s="154">
        <v>1060600000</v>
      </c>
      <c r="B16" s="159" t="s">
        <v>162</v>
      </c>
      <c r="C16" s="156">
        <v>348</v>
      </c>
      <c r="D16" s="157">
        <v>503.51515</v>
      </c>
      <c r="E16" s="156">
        <f t="shared" si="0"/>
        <v>144.68826149425286</v>
      </c>
      <c r="F16" s="156">
        <f t="shared" si="1"/>
        <v>155.51515</v>
      </c>
    </row>
    <row r="17" spans="1:6" s="140" customFormat="1" ht="15.75">
      <c r="A17" s="149">
        <v>1080000000</v>
      </c>
      <c r="B17" s="150" t="s">
        <v>165</v>
      </c>
      <c r="C17" s="151">
        <f>C18</f>
        <v>10</v>
      </c>
      <c r="D17" s="151">
        <f>D18</f>
        <v>3.6</v>
      </c>
      <c r="E17" s="151">
        <f t="shared" si="0"/>
        <v>36</v>
      </c>
      <c r="F17" s="151">
        <f t="shared" si="1"/>
        <v>-6.4</v>
      </c>
    </row>
    <row r="18" spans="1:6" ht="17.25" customHeight="1">
      <c r="A18" s="154">
        <v>1080400001</v>
      </c>
      <c r="B18" s="155" t="s">
        <v>368</v>
      </c>
      <c r="C18" s="156">
        <v>10</v>
      </c>
      <c r="D18" s="157">
        <v>3.6</v>
      </c>
      <c r="E18" s="156">
        <f t="shared" si="0"/>
        <v>36</v>
      </c>
      <c r="F18" s="156">
        <f t="shared" si="1"/>
        <v>-6.4</v>
      </c>
    </row>
    <row r="19" spans="1:6" ht="49.5" customHeight="1" hidden="1">
      <c r="A19" s="154">
        <v>1080714001</v>
      </c>
      <c r="B19" s="155" t="s">
        <v>314</v>
      </c>
      <c r="C19" s="156">
        <v>0</v>
      </c>
      <c r="D19" s="157">
        <v>0</v>
      </c>
      <c r="E19" s="156" t="e">
        <f t="shared" si="0"/>
        <v>#DIV/0!</v>
      </c>
      <c r="F19" s="156">
        <f t="shared" si="1"/>
        <v>0</v>
      </c>
    </row>
    <row r="20" spans="1:6" s="141" customFormat="1" ht="1.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23.2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21.75" customHeight="1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24.7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25.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</f>
        <v>325</v>
      </c>
      <c r="D25" s="151">
        <f>D26+D29+D31+D36+D34</f>
        <v>399.43237000000005</v>
      </c>
      <c r="E25" s="151">
        <f t="shared" si="0"/>
        <v>122.9022676923077</v>
      </c>
      <c r="F25" s="151">
        <f t="shared" si="1"/>
        <v>74.43237000000005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55</v>
      </c>
      <c r="D26" s="151">
        <f>D27+D28</f>
        <v>39.41935</v>
      </c>
      <c r="E26" s="151">
        <f t="shared" si="0"/>
        <v>71.67154545454547</v>
      </c>
      <c r="F26" s="151">
        <f t="shared" si="1"/>
        <v>-15.580649999999999</v>
      </c>
    </row>
    <row r="27" spans="1:6" ht="15.75">
      <c r="A27" s="163">
        <v>1110502501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15.75">
      <c r="A28" s="154">
        <v>1110503505</v>
      </c>
      <c r="B28" s="159" t="s">
        <v>178</v>
      </c>
      <c r="C28" s="160">
        <v>55</v>
      </c>
      <c r="D28" s="157">
        <v>39.41935</v>
      </c>
      <c r="E28" s="156">
        <f t="shared" si="0"/>
        <v>71.67154545454547</v>
      </c>
      <c r="F28" s="156">
        <f t="shared" si="1"/>
        <v>-15.580649999999999</v>
      </c>
    </row>
    <row r="29" spans="1:6" s="141" customFormat="1" ht="27.75" customHeight="1">
      <c r="A29" s="152">
        <v>1130000000</v>
      </c>
      <c r="B29" s="161" t="s">
        <v>185</v>
      </c>
      <c r="C29" s="151">
        <f>C30</f>
        <v>270</v>
      </c>
      <c r="D29" s="151">
        <f>D30</f>
        <v>351.73018</v>
      </c>
      <c r="E29" s="151">
        <f t="shared" si="0"/>
        <v>130.27043703703706</v>
      </c>
      <c r="F29" s="151">
        <f t="shared" si="1"/>
        <v>81.73018000000002</v>
      </c>
    </row>
    <row r="30" spans="1:6" ht="15.75" customHeight="1">
      <c r="A30" s="154">
        <v>1130206005</v>
      </c>
      <c r="B30" s="155" t="s">
        <v>333</v>
      </c>
      <c r="C30" s="156">
        <v>270</v>
      </c>
      <c r="D30" s="157">
        <v>351.73018</v>
      </c>
      <c r="E30" s="156">
        <f t="shared" si="0"/>
        <v>130.27043703703706</v>
      </c>
      <c r="F30" s="156">
        <f t="shared" si="1"/>
        <v>81.73018000000002</v>
      </c>
    </row>
    <row r="31" spans="1:6" ht="12.75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17.25" customHeight="1">
      <c r="A32" s="163">
        <v>1140200000</v>
      </c>
      <c r="B32" s="167" t="s">
        <v>324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9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9.5" customHeight="1">
      <c r="A34" s="149">
        <v>1160000000</v>
      </c>
      <c r="B34" s="158" t="s">
        <v>325</v>
      </c>
      <c r="C34" s="156"/>
      <c r="D34" s="157">
        <f>SUM(D35)</f>
        <v>8.28284</v>
      </c>
      <c r="E34" s="156"/>
      <c r="F34" s="156"/>
    </row>
    <row r="35" spans="1:6" ht="31.5" customHeight="1">
      <c r="A35" s="154">
        <v>11607010100</v>
      </c>
      <c r="B35" s="155" t="s">
        <v>335</v>
      </c>
      <c r="C35" s="156"/>
      <c r="D35" s="157">
        <v>8.28284</v>
      </c>
      <c r="E35" s="156"/>
      <c r="F35" s="156"/>
    </row>
    <row r="36" spans="1:6" ht="1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t="shared" si="0"/>
        <v>#DIV/0!</v>
      </c>
      <c r="F36" s="151">
        <f t="shared" si="1"/>
        <v>0</v>
      </c>
    </row>
    <row r="37" spans="1:6" ht="19.5" customHeight="1">
      <c r="A37" s="154">
        <v>1170105010</v>
      </c>
      <c r="B37" s="155" t="s">
        <v>199</v>
      </c>
      <c r="C37" s="156">
        <v>0</v>
      </c>
      <c r="D37" s="156"/>
      <c r="E37" s="156" t="e">
        <f t="shared" si="0"/>
        <v>#DIV/0!</v>
      </c>
      <c r="F37" s="156">
        <f t="shared" si="1"/>
        <v>0</v>
      </c>
    </row>
    <row r="38" spans="1:6" ht="0.75" customHeight="1" hidden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5" customHeight="1">
      <c r="A39" s="149">
        <v>1000000000</v>
      </c>
      <c r="B39" s="150" t="s">
        <v>26</v>
      </c>
      <c r="C39" s="169">
        <f>SUM(C4,C25)</f>
        <v>1546.69</v>
      </c>
      <c r="D39" s="169">
        <f>D4+D25</f>
        <v>1771.0406699999999</v>
      </c>
      <c r="E39" s="151">
        <f t="shared" si="0"/>
        <v>114.5052124213643</v>
      </c>
      <c r="F39" s="151">
        <f t="shared" si="1"/>
        <v>224.3506699999998</v>
      </c>
    </row>
    <row r="40" spans="1:7" s="140" customFormat="1" ht="15.75">
      <c r="A40" s="149">
        <v>2000000000</v>
      </c>
      <c r="B40" s="150" t="s">
        <v>201</v>
      </c>
      <c r="C40" s="241">
        <f>C41+C42+C43+C44+C51+C52</f>
        <v>13317.13632</v>
      </c>
      <c r="D40" s="241">
        <f>D41+D42+D43+D44+D51+D52</f>
        <v>10049.16325</v>
      </c>
      <c r="E40" s="151">
        <f t="shared" si="0"/>
        <v>75.4603918479675</v>
      </c>
      <c r="F40" s="151">
        <f t="shared" si="1"/>
        <v>-3267.97307</v>
      </c>
      <c r="G40" s="171"/>
    </row>
    <row r="41" spans="1:6" ht="16.5" customHeight="1">
      <c r="A41" s="163">
        <v>2021000000</v>
      </c>
      <c r="B41" s="164" t="s">
        <v>202</v>
      </c>
      <c r="C41" s="160">
        <v>5087.2</v>
      </c>
      <c r="D41" s="173">
        <v>4663.296</v>
      </c>
      <c r="E41" s="156">
        <v>0</v>
      </c>
      <c r="F41" s="156">
        <f t="shared" si="1"/>
        <v>-423.90399999999954</v>
      </c>
    </row>
    <row r="42" spans="1:6" ht="17.25" customHeight="1">
      <c r="A42" s="163">
        <v>2021500200</v>
      </c>
      <c r="B42" s="164" t="s">
        <v>205</v>
      </c>
      <c r="C42" s="160">
        <v>0</v>
      </c>
      <c r="D42" s="173">
        <v>0</v>
      </c>
      <c r="E42" s="156" t="e">
        <f aca="true" t="shared" si="2" ref="E42:E51">SUM(D42/C42*100)</f>
        <v>#DIV/0!</v>
      </c>
      <c r="F42" s="156">
        <f t="shared" si="1"/>
        <v>0</v>
      </c>
    </row>
    <row r="43" spans="1:6" ht="15.75">
      <c r="A43" s="163">
        <v>2022000000</v>
      </c>
      <c r="B43" s="164" t="s">
        <v>206</v>
      </c>
      <c r="C43" s="160">
        <v>2037.26197</v>
      </c>
      <c r="D43" s="157">
        <v>1935.55297</v>
      </c>
      <c r="E43" s="156">
        <f t="shared" si="2"/>
        <v>95.00756400022526</v>
      </c>
      <c r="F43" s="156">
        <f t="shared" si="1"/>
        <v>-101.70900000000006</v>
      </c>
    </row>
    <row r="44" spans="1:6" ht="17.25" customHeight="1">
      <c r="A44" s="163">
        <v>2023000000</v>
      </c>
      <c r="B44" s="164" t="s">
        <v>207</v>
      </c>
      <c r="C44" s="160">
        <v>2903.75635</v>
      </c>
      <c r="D44" s="175">
        <v>188.74628</v>
      </c>
      <c r="E44" s="156">
        <f t="shared" si="2"/>
        <v>6.500072914175462</v>
      </c>
      <c r="F44" s="156">
        <f t="shared" si="1"/>
        <v>-2715.0100700000003</v>
      </c>
    </row>
    <row r="45" spans="1:6" ht="18" customHeight="1" hidden="1">
      <c r="A45" s="163">
        <v>2020400000</v>
      </c>
      <c r="B45" s="164" t="s">
        <v>102</v>
      </c>
      <c r="C45" s="160"/>
      <c r="D45" s="176"/>
      <c r="E45" s="156" t="e">
        <f t="shared" si="2"/>
        <v>#DIV/0!</v>
      </c>
      <c r="F45" s="156">
        <f t="shared" si="1"/>
        <v>0</v>
      </c>
    </row>
    <row r="46" spans="1:6" ht="14.25" customHeight="1" hidden="1">
      <c r="A46" s="163">
        <v>2020900000</v>
      </c>
      <c r="B46" s="167" t="s">
        <v>329</v>
      </c>
      <c r="C46" s="160"/>
      <c r="D46" s="176"/>
      <c r="E46" s="156" t="e">
        <f t="shared" si="2"/>
        <v>#DIV/0!</v>
      </c>
      <c r="F46" s="156">
        <f t="shared" si="1"/>
        <v>0</v>
      </c>
    </row>
    <row r="47" spans="1:6" ht="16.5" customHeight="1" hidden="1">
      <c r="A47" s="331">
        <v>2180000000</v>
      </c>
      <c r="B47" s="332" t="s">
        <v>369</v>
      </c>
      <c r="C47" s="261">
        <f>C48</f>
        <v>0</v>
      </c>
      <c r="D47" s="333">
        <f>D48</f>
        <v>0</v>
      </c>
      <c r="E47" s="156" t="e">
        <f t="shared" si="2"/>
        <v>#DIV/0!</v>
      </c>
      <c r="F47" s="156">
        <f t="shared" si="1"/>
        <v>0</v>
      </c>
    </row>
    <row r="48" spans="1:6" ht="18" customHeight="1" hidden="1">
      <c r="A48" s="163">
        <v>2180501010</v>
      </c>
      <c r="B48" s="167" t="s">
        <v>370</v>
      </c>
      <c r="C48" s="160">
        <v>0</v>
      </c>
      <c r="D48" s="176">
        <v>0</v>
      </c>
      <c r="E48" s="156" t="e">
        <f t="shared" si="2"/>
        <v>#DIV/0!</v>
      </c>
      <c r="F48" s="156">
        <f t="shared" si="1"/>
        <v>0</v>
      </c>
    </row>
    <row r="49" spans="1:6" ht="15.75" customHeight="1">
      <c r="A49" s="154">
        <v>2190500005</v>
      </c>
      <c r="B49" s="159" t="s">
        <v>209</v>
      </c>
      <c r="C49" s="162"/>
      <c r="D49" s="162"/>
      <c r="E49" s="156" t="e">
        <f t="shared" si="2"/>
        <v>#DIV/0!</v>
      </c>
      <c r="F49" s="156">
        <f t="shared" si="1"/>
        <v>0</v>
      </c>
    </row>
    <row r="50" spans="1:6" s="140" customFormat="1" ht="15.75" customHeight="1">
      <c r="A50" s="149">
        <v>3000000000</v>
      </c>
      <c r="B50" s="158" t="s">
        <v>210</v>
      </c>
      <c r="C50" s="304">
        <v>0</v>
      </c>
      <c r="D50" s="162">
        <v>0</v>
      </c>
      <c r="E50" s="156" t="e">
        <f t="shared" si="2"/>
        <v>#DIV/0!</v>
      </c>
      <c r="F50" s="156">
        <f t="shared" si="1"/>
        <v>0</v>
      </c>
    </row>
    <row r="51" spans="1:6" s="140" customFormat="1" ht="15.75" customHeight="1">
      <c r="A51" s="154">
        <v>2020400000</v>
      </c>
      <c r="B51" s="155" t="s">
        <v>102</v>
      </c>
      <c r="C51" s="160">
        <v>3043.818</v>
      </c>
      <c r="D51" s="157">
        <v>3016.468</v>
      </c>
      <c r="E51" s="156">
        <f t="shared" si="2"/>
        <v>99.10145744587882</v>
      </c>
      <c r="F51" s="156">
        <f t="shared" si="1"/>
        <v>-27.350000000000364</v>
      </c>
    </row>
    <row r="52" spans="1:6" s="140" customFormat="1" ht="15" customHeight="1">
      <c r="A52" s="154">
        <v>2070500010</v>
      </c>
      <c r="B52" s="159" t="s">
        <v>28</v>
      </c>
      <c r="C52" s="160">
        <v>245.1</v>
      </c>
      <c r="D52" s="157">
        <v>245.1</v>
      </c>
      <c r="E52" s="156">
        <v>0</v>
      </c>
      <c r="F52" s="156">
        <f t="shared" si="1"/>
        <v>0</v>
      </c>
    </row>
    <row r="53" spans="1:8" s="140" customFormat="1" ht="18" customHeight="1">
      <c r="A53" s="149"/>
      <c r="B53" s="150" t="s">
        <v>211</v>
      </c>
      <c r="C53" s="289">
        <f>C39+C40</f>
        <v>14863.82632</v>
      </c>
      <c r="D53" s="289">
        <f>D39+D40</f>
        <v>11820.20392</v>
      </c>
      <c r="E53" s="151">
        <f>SUM(D53/C53*100)</f>
        <v>79.52329141585395</v>
      </c>
      <c r="F53" s="151">
        <f t="shared" si="1"/>
        <v>-3043.6224</v>
      </c>
      <c r="G53" s="142"/>
      <c r="H53" s="187"/>
    </row>
    <row r="54" spans="1:6" s="140" customFormat="1" ht="15.75">
      <c r="A54" s="149"/>
      <c r="B54" s="189" t="s">
        <v>212</v>
      </c>
      <c r="C54" s="271">
        <f>C53-C100</f>
        <v>-323.78599999999824</v>
      </c>
      <c r="D54" s="271">
        <f>D53-D100</f>
        <v>734.2847000000002</v>
      </c>
      <c r="E54" s="191"/>
      <c r="F54" s="191"/>
    </row>
    <row r="55" spans="1:6" ht="15.75">
      <c r="A55" s="192"/>
      <c r="B55" s="193"/>
      <c r="C55" s="243"/>
      <c r="D55" s="263"/>
      <c r="E55" s="195"/>
      <c r="F55" s="244"/>
    </row>
    <row r="56" spans="1:6" ht="63">
      <c r="A56" s="197" t="s">
        <v>141</v>
      </c>
      <c r="B56" s="197" t="s">
        <v>213</v>
      </c>
      <c r="C56" s="146" t="s">
        <v>143</v>
      </c>
      <c r="D56" s="147" t="s">
        <v>424</v>
      </c>
      <c r="E56" s="146" t="s">
        <v>144</v>
      </c>
      <c r="F56" s="148" t="s">
        <v>145</v>
      </c>
    </row>
    <row r="57" spans="1:6" ht="15.75">
      <c r="A57" s="246">
        <v>1</v>
      </c>
      <c r="B57" s="197">
        <v>2</v>
      </c>
      <c r="C57" s="200">
        <v>3</v>
      </c>
      <c r="D57" s="200">
        <v>4</v>
      </c>
      <c r="E57" s="200">
        <v>5</v>
      </c>
      <c r="F57" s="200">
        <v>6</v>
      </c>
    </row>
    <row r="58" spans="1:6" s="140" customFormat="1" ht="15" customHeight="1">
      <c r="A58" s="201" t="s">
        <v>33</v>
      </c>
      <c r="B58" s="202" t="s">
        <v>214</v>
      </c>
      <c r="C58" s="282">
        <f>C59+C60+C61+C62+C63+C65+C64</f>
        <v>1624.262</v>
      </c>
      <c r="D58" s="291">
        <f>D59+D60+D61+D62+D63+D65+D64</f>
        <v>1405.6497299999999</v>
      </c>
      <c r="E58" s="203">
        <f>SUM(D58/C58*100)</f>
        <v>86.54082469453819</v>
      </c>
      <c r="F58" s="203">
        <f>SUM(D58-C58)</f>
        <v>-218.61227000000008</v>
      </c>
    </row>
    <row r="59" spans="1:6" s="140" customFormat="1" ht="16.5" customHeight="1" hidden="1">
      <c r="A59" s="204" t="s">
        <v>215</v>
      </c>
      <c r="B59" s="205" t="s">
        <v>216</v>
      </c>
      <c r="C59" s="284"/>
      <c r="D59" s="284"/>
      <c r="E59" s="206"/>
      <c r="F59" s="206"/>
    </row>
    <row r="60" spans="1:6" ht="14.25" customHeight="1">
      <c r="A60" s="204" t="s">
        <v>217</v>
      </c>
      <c r="B60" s="207" t="s">
        <v>218</v>
      </c>
      <c r="C60" s="284">
        <v>1601.268</v>
      </c>
      <c r="D60" s="284">
        <v>1387.65573</v>
      </c>
      <c r="E60" s="206">
        <f>SUM(D60/C60*100)</f>
        <v>86.65980522935574</v>
      </c>
      <c r="F60" s="206">
        <f aca="true" t="shared" si="3" ref="F60:F72">SUM(D60-C60)</f>
        <v>-213.61227000000008</v>
      </c>
    </row>
    <row r="61" spans="1:6" ht="15.75" customHeight="1" hidden="1">
      <c r="A61" s="204" t="s">
        <v>219</v>
      </c>
      <c r="B61" s="207" t="s">
        <v>220</v>
      </c>
      <c r="C61" s="284"/>
      <c r="D61" s="284"/>
      <c r="E61" s="206"/>
      <c r="F61" s="206">
        <f t="shared" si="3"/>
        <v>0</v>
      </c>
    </row>
    <row r="62" spans="1:6" ht="18" customHeight="1" hidden="1">
      <c r="A62" s="204" t="s">
        <v>221</v>
      </c>
      <c r="B62" s="207" t="s">
        <v>222</v>
      </c>
      <c r="C62" s="284"/>
      <c r="D62" s="284"/>
      <c r="E62" s="206" t="e">
        <f aca="true" t="shared" si="4" ref="E62:E72">SUM(D62/C62*100)</f>
        <v>#DIV/0!</v>
      </c>
      <c r="F62" s="206">
        <f t="shared" si="3"/>
        <v>0</v>
      </c>
    </row>
    <row r="63" spans="1:6" ht="15.75" customHeight="1">
      <c r="A63" s="204" t="s">
        <v>223</v>
      </c>
      <c r="B63" s="207" t="s">
        <v>224</v>
      </c>
      <c r="C63" s="284"/>
      <c r="D63" s="284">
        <v>0</v>
      </c>
      <c r="E63" s="206" t="e">
        <f t="shared" si="4"/>
        <v>#DIV/0!</v>
      </c>
      <c r="F63" s="206">
        <f t="shared" si="3"/>
        <v>0</v>
      </c>
    </row>
    <row r="64" spans="1:6" ht="16.5" customHeight="1">
      <c r="A64" s="204" t="s">
        <v>225</v>
      </c>
      <c r="B64" s="207" t="s">
        <v>226</v>
      </c>
      <c r="C64" s="294">
        <v>5</v>
      </c>
      <c r="D64" s="294">
        <v>0</v>
      </c>
      <c r="E64" s="206">
        <f t="shared" si="4"/>
        <v>0</v>
      </c>
      <c r="F64" s="206">
        <f t="shared" si="3"/>
        <v>-5</v>
      </c>
    </row>
    <row r="65" spans="1:6" ht="18" customHeight="1">
      <c r="A65" s="204" t="s">
        <v>227</v>
      </c>
      <c r="B65" s="207" t="s">
        <v>228</v>
      </c>
      <c r="C65" s="284">
        <v>17.994</v>
      </c>
      <c r="D65" s="284">
        <v>17.994</v>
      </c>
      <c r="E65" s="206">
        <f t="shared" si="4"/>
        <v>100</v>
      </c>
      <c r="F65" s="206">
        <f t="shared" si="3"/>
        <v>0</v>
      </c>
    </row>
    <row r="66" spans="1:6" s="140" customFormat="1" ht="15" customHeight="1">
      <c r="A66" s="209" t="s">
        <v>35</v>
      </c>
      <c r="B66" s="210" t="s">
        <v>229</v>
      </c>
      <c r="C66" s="282">
        <f>C67</f>
        <v>206.767</v>
      </c>
      <c r="D66" s="282">
        <f>D67</f>
        <v>176.09828</v>
      </c>
      <c r="E66" s="203">
        <f t="shared" si="4"/>
        <v>85.16749771481909</v>
      </c>
      <c r="F66" s="203">
        <f t="shared" si="3"/>
        <v>-30.668720000000008</v>
      </c>
    </row>
    <row r="67" spans="1:6" ht="15.75">
      <c r="A67" s="211" t="s">
        <v>230</v>
      </c>
      <c r="B67" s="212" t="s">
        <v>231</v>
      </c>
      <c r="C67" s="284">
        <v>206.767</v>
      </c>
      <c r="D67" s="284">
        <v>176.09828</v>
      </c>
      <c r="E67" s="206">
        <f t="shared" si="4"/>
        <v>85.16749771481909</v>
      </c>
      <c r="F67" s="206">
        <f t="shared" si="3"/>
        <v>-30.668720000000008</v>
      </c>
    </row>
    <row r="68" spans="1:6" s="140" customFormat="1" ht="16.5" customHeight="1">
      <c r="A68" s="201" t="s">
        <v>37</v>
      </c>
      <c r="B68" s="202" t="s">
        <v>232</v>
      </c>
      <c r="C68" s="282">
        <f>C71+C72+C73</f>
        <v>14.234</v>
      </c>
      <c r="D68" s="282">
        <f>SUM(D71+D72+D73)</f>
        <v>14.04548</v>
      </c>
      <c r="E68" s="203">
        <f t="shared" si="4"/>
        <v>98.67556554728115</v>
      </c>
      <c r="F68" s="203">
        <f t="shared" si="3"/>
        <v>-0.18852000000000046</v>
      </c>
    </row>
    <row r="69" spans="1:6" ht="15.75" hidden="1">
      <c r="A69" s="204" t="s">
        <v>233</v>
      </c>
      <c r="B69" s="207" t="s">
        <v>234</v>
      </c>
      <c r="C69" s="284"/>
      <c r="D69" s="284"/>
      <c r="E69" s="203" t="e">
        <f t="shared" si="4"/>
        <v>#DIV/0!</v>
      </c>
      <c r="F69" s="203">
        <f t="shared" si="3"/>
        <v>0</v>
      </c>
    </row>
    <row r="70" spans="1:6" ht="15.75" hidden="1">
      <c r="A70" s="213" t="s">
        <v>235</v>
      </c>
      <c r="B70" s="207" t="s">
        <v>317</v>
      </c>
      <c r="C70" s="284"/>
      <c r="D70" s="284"/>
      <c r="E70" s="203" t="e">
        <f t="shared" si="4"/>
        <v>#DIV/0!</v>
      </c>
      <c r="F70" s="203">
        <f t="shared" si="3"/>
        <v>0</v>
      </c>
    </row>
    <row r="71" spans="1:6" ht="15.75" customHeight="1">
      <c r="A71" s="214" t="s">
        <v>237</v>
      </c>
      <c r="B71" s="215" t="s">
        <v>238</v>
      </c>
      <c r="C71" s="301">
        <v>3</v>
      </c>
      <c r="D71" s="284">
        <v>2.81148</v>
      </c>
      <c r="E71" s="203">
        <f t="shared" si="4"/>
        <v>93.716</v>
      </c>
      <c r="F71" s="203">
        <f t="shared" si="3"/>
        <v>-0.18852000000000002</v>
      </c>
    </row>
    <row r="72" spans="1:6" ht="15.75" customHeight="1">
      <c r="A72" s="214" t="s">
        <v>239</v>
      </c>
      <c r="B72" s="215" t="s">
        <v>240</v>
      </c>
      <c r="C72" s="284">
        <v>9.234</v>
      </c>
      <c r="D72" s="284">
        <v>9.234</v>
      </c>
      <c r="E72" s="203">
        <f t="shared" si="4"/>
        <v>100</v>
      </c>
      <c r="F72" s="203">
        <f t="shared" si="3"/>
        <v>0</v>
      </c>
    </row>
    <row r="73" spans="1:6" ht="15.75" customHeight="1">
      <c r="A73" s="214" t="s">
        <v>241</v>
      </c>
      <c r="B73" s="215" t="s">
        <v>363</v>
      </c>
      <c r="C73" s="284">
        <v>2</v>
      </c>
      <c r="D73" s="284">
        <v>2</v>
      </c>
      <c r="E73" s="203"/>
      <c r="F73" s="203"/>
    </row>
    <row r="74" spans="1:6" s="140" customFormat="1" ht="15" customHeight="1">
      <c r="A74" s="201" t="s">
        <v>39</v>
      </c>
      <c r="B74" s="202" t="s">
        <v>243</v>
      </c>
      <c r="C74" s="252">
        <f>SUM(C75:C78)</f>
        <v>2103.19743</v>
      </c>
      <c r="D74" s="252">
        <f>SUM(D75:D78)</f>
        <v>1955.30116</v>
      </c>
      <c r="E74" s="203">
        <f aca="true" t="shared" si="5" ref="E74:E88">SUM(D74/C74*100)</f>
        <v>92.96802725743156</v>
      </c>
      <c r="F74" s="203">
        <f aca="true" t="shared" si="6" ref="F74:F89">SUM(D74-C74)</f>
        <v>-147.8962700000002</v>
      </c>
    </row>
    <row r="75" spans="1:6" ht="17.25" customHeight="1">
      <c r="A75" s="204" t="s">
        <v>246</v>
      </c>
      <c r="B75" s="207" t="s">
        <v>319</v>
      </c>
      <c r="C75" s="285"/>
      <c r="D75" s="284">
        <v>0</v>
      </c>
      <c r="E75" s="206" t="e">
        <f t="shared" si="5"/>
        <v>#DIV/0!</v>
      </c>
      <c r="F75" s="206">
        <f t="shared" si="6"/>
        <v>0</v>
      </c>
    </row>
    <row r="76" spans="1:7" s="140" customFormat="1" ht="19.5" customHeight="1">
      <c r="A76" s="204" t="s">
        <v>248</v>
      </c>
      <c r="B76" s="207" t="s">
        <v>320</v>
      </c>
      <c r="C76" s="285"/>
      <c r="D76" s="284">
        <v>0</v>
      </c>
      <c r="E76" s="206" t="e">
        <f t="shared" si="5"/>
        <v>#DIV/0!</v>
      </c>
      <c r="F76" s="206">
        <f t="shared" si="6"/>
        <v>0</v>
      </c>
      <c r="G76" s="143"/>
    </row>
    <row r="77" spans="1:6" ht="15.75">
      <c r="A77" s="204" t="s">
        <v>250</v>
      </c>
      <c r="B77" s="207" t="s">
        <v>251</v>
      </c>
      <c r="C77" s="285">
        <v>2100.69743</v>
      </c>
      <c r="D77" s="284">
        <v>1952.80116</v>
      </c>
      <c r="E77" s="206">
        <f t="shared" si="5"/>
        <v>92.95965864060679</v>
      </c>
      <c r="F77" s="206">
        <f t="shared" si="6"/>
        <v>-147.8962700000002</v>
      </c>
    </row>
    <row r="78" spans="1:6" ht="15.75">
      <c r="A78" s="204" t="s">
        <v>252</v>
      </c>
      <c r="B78" s="207" t="s">
        <v>253</v>
      </c>
      <c r="C78" s="285">
        <v>2.5</v>
      </c>
      <c r="D78" s="284">
        <v>2.5</v>
      </c>
      <c r="E78" s="206">
        <f t="shared" si="5"/>
        <v>100</v>
      </c>
      <c r="F78" s="206">
        <f t="shared" si="6"/>
        <v>0</v>
      </c>
    </row>
    <row r="79" spans="1:6" s="140" customFormat="1" ht="14.25" customHeight="1">
      <c r="A79" s="201" t="s">
        <v>41</v>
      </c>
      <c r="B79" s="202" t="s">
        <v>254</v>
      </c>
      <c r="C79" s="282">
        <f>SUM(C80:C82)</f>
        <v>8760.35989</v>
      </c>
      <c r="D79" s="282">
        <f>SUM(D80:D82)</f>
        <v>5579.82166</v>
      </c>
      <c r="E79" s="203">
        <f t="shared" si="5"/>
        <v>63.69397753132719</v>
      </c>
      <c r="F79" s="203">
        <f t="shared" si="6"/>
        <v>-3180.53823</v>
      </c>
    </row>
    <row r="80" spans="1:6" ht="20.25" customHeight="1">
      <c r="A80" s="204" t="s">
        <v>255</v>
      </c>
      <c r="B80" s="218" t="s">
        <v>256</v>
      </c>
      <c r="C80" s="284">
        <v>2696.98935</v>
      </c>
      <c r="D80" s="284"/>
      <c r="E80" s="206">
        <f t="shared" si="5"/>
        <v>0</v>
      </c>
      <c r="F80" s="206">
        <f t="shared" si="6"/>
        <v>-2696.98935</v>
      </c>
    </row>
    <row r="81" spans="1:6" ht="19.5" customHeight="1">
      <c r="A81" s="204" t="s">
        <v>257</v>
      </c>
      <c r="B81" s="218" t="s">
        <v>258</v>
      </c>
      <c r="C81" s="284">
        <v>3563.013</v>
      </c>
      <c r="D81" s="284">
        <v>3445.07407</v>
      </c>
      <c r="E81" s="206">
        <f t="shared" si="5"/>
        <v>96.68991019679132</v>
      </c>
      <c r="F81" s="206">
        <f t="shared" si="6"/>
        <v>-117.9389299999998</v>
      </c>
    </row>
    <row r="82" spans="1:6" ht="15.75">
      <c r="A82" s="204" t="s">
        <v>259</v>
      </c>
      <c r="B82" s="207" t="s">
        <v>260</v>
      </c>
      <c r="C82" s="284">
        <v>2500.35754</v>
      </c>
      <c r="D82" s="284">
        <v>2134.74759</v>
      </c>
      <c r="E82" s="206">
        <f t="shared" si="5"/>
        <v>85.3776932238259</v>
      </c>
      <c r="F82" s="206">
        <f t="shared" si="6"/>
        <v>-365.60995</v>
      </c>
    </row>
    <row r="83" spans="1:6" s="140" customFormat="1" ht="15.75">
      <c r="A83" s="201" t="s">
        <v>47</v>
      </c>
      <c r="B83" s="202" t="s">
        <v>275</v>
      </c>
      <c r="C83" s="282">
        <f>C84</f>
        <v>2463.792</v>
      </c>
      <c r="D83" s="282">
        <f>SUM(D84)</f>
        <v>1945.45291</v>
      </c>
      <c r="E83" s="203">
        <f t="shared" si="5"/>
        <v>78.96173500035717</v>
      </c>
      <c r="F83" s="203">
        <f t="shared" si="6"/>
        <v>-518.3390899999999</v>
      </c>
    </row>
    <row r="84" spans="1:6" ht="15" customHeight="1">
      <c r="A84" s="204" t="s">
        <v>276</v>
      </c>
      <c r="B84" s="207" t="s">
        <v>277</v>
      </c>
      <c r="C84" s="284">
        <v>2463.792</v>
      </c>
      <c r="D84" s="284">
        <v>1945.45291</v>
      </c>
      <c r="E84" s="206">
        <f t="shared" si="5"/>
        <v>78.96173500035717</v>
      </c>
      <c r="F84" s="206">
        <f t="shared" si="6"/>
        <v>-518.3390899999999</v>
      </c>
    </row>
    <row r="85" spans="1:6" s="140" customFormat="1" ht="15.75" customHeight="1" hidden="1">
      <c r="A85" s="219">
        <v>1000</v>
      </c>
      <c r="B85" s="202" t="s">
        <v>280</v>
      </c>
      <c r="C85" s="282">
        <f>SUM(C86:C89)</f>
        <v>0</v>
      </c>
      <c r="D85" s="282">
        <f>SUM(D86:D89)</f>
        <v>0</v>
      </c>
      <c r="E85" s="203" t="e">
        <f t="shared" si="5"/>
        <v>#DIV/0!</v>
      </c>
      <c r="F85" s="203">
        <f t="shared" si="6"/>
        <v>0</v>
      </c>
    </row>
    <row r="86" spans="1:6" ht="15.75" customHeight="1" hidden="1">
      <c r="A86" s="220">
        <v>1001</v>
      </c>
      <c r="B86" s="221" t="s">
        <v>281</v>
      </c>
      <c r="C86" s="284"/>
      <c r="D86" s="284"/>
      <c r="E86" s="206" t="e">
        <f t="shared" si="5"/>
        <v>#DIV/0!</v>
      </c>
      <c r="F86" s="206">
        <f t="shared" si="6"/>
        <v>0</v>
      </c>
    </row>
    <row r="87" spans="1:6" ht="15.75" customHeight="1" hidden="1">
      <c r="A87" s="220">
        <v>1003</v>
      </c>
      <c r="B87" s="221" t="s">
        <v>282</v>
      </c>
      <c r="C87" s="301">
        <v>0</v>
      </c>
      <c r="D87" s="284">
        <v>0</v>
      </c>
      <c r="E87" s="206" t="e">
        <f t="shared" si="5"/>
        <v>#DIV/0!</v>
      </c>
      <c r="F87" s="206">
        <f t="shared" si="6"/>
        <v>0</v>
      </c>
    </row>
    <row r="88" spans="1:6" ht="15.75" customHeight="1" hidden="1">
      <c r="A88" s="220">
        <v>1004</v>
      </c>
      <c r="B88" s="221" t="s">
        <v>283</v>
      </c>
      <c r="C88" s="284"/>
      <c r="D88" s="286"/>
      <c r="E88" s="206" t="e">
        <f t="shared" si="5"/>
        <v>#DIV/0!</v>
      </c>
      <c r="F88" s="206">
        <f t="shared" si="6"/>
        <v>0</v>
      </c>
    </row>
    <row r="89" spans="1:6" ht="15.75" customHeight="1" hidden="1">
      <c r="A89" s="204" t="s">
        <v>284</v>
      </c>
      <c r="B89" s="207" t="s">
        <v>285</v>
      </c>
      <c r="C89" s="284">
        <v>0</v>
      </c>
      <c r="D89" s="284">
        <v>0</v>
      </c>
      <c r="E89" s="206"/>
      <c r="F89" s="206">
        <f t="shared" si="6"/>
        <v>0</v>
      </c>
    </row>
    <row r="90" spans="1:6" ht="15.75" customHeight="1">
      <c r="A90" s="201" t="s">
        <v>51</v>
      </c>
      <c r="B90" s="202" t="s">
        <v>286</v>
      </c>
      <c r="C90" s="282">
        <f>C91</f>
        <v>15</v>
      </c>
      <c r="D90" s="282">
        <f>D91+D92+D93+D94+D95</f>
        <v>9.55</v>
      </c>
      <c r="E90" s="206"/>
      <c r="F90" s="191">
        <f>F91+F92+F93+F94+F95</f>
        <v>-5.449999999999999</v>
      </c>
    </row>
    <row r="91" spans="1:6" ht="16.5" customHeight="1">
      <c r="A91" s="204" t="s">
        <v>287</v>
      </c>
      <c r="B91" s="207" t="s">
        <v>288</v>
      </c>
      <c r="C91" s="284">
        <v>15</v>
      </c>
      <c r="D91" s="284">
        <v>9.55</v>
      </c>
      <c r="E91" s="206"/>
      <c r="F91" s="206">
        <f>SUM(D91-C91)</f>
        <v>-5.449999999999999</v>
      </c>
    </row>
    <row r="92" spans="1:6" ht="1.5" customHeight="1" hidden="1">
      <c r="A92" s="204" t="s">
        <v>289</v>
      </c>
      <c r="B92" s="207" t="s">
        <v>290</v>
      </c>
      <c r="C92" s="284"/>
      <c r="D92" s="284"/>
      <c r="E92" s="206" t="e">
        <f aca="true" t="shared" si="7" ref="E92:E100">SUM(D92/C92*100)</f>
        <v>#DIV/0!</v>
      </c>
      <c r="F92" s="206">
        <f>SUM(D92-C92)</f>
        <v>0</v>
      </c>
    </row>
    <row r="93" spans="1:6" ht="21.75" customHeight="1" hidden="1">
      <c r="A93" s="204" t="s">
        <v>291</v>
      </c>
      <c r="B93" s="207" t="s">
        <v>292</v>
      </c>
      <c r="C93" s="284"/>
      <c r="D93" s="284"/>
      <c r="E93" s="206" t="e">
        <f t="shared" si="7"/>
        <v>#DIV/0!</v>
      </c>
      <c r="F93" s="206"/>
    </row>
    <row r="94" spans="1:6" ht="15" customHeight="1" hidden="1">
      <c r="A94" s="204" t="s">
        <v>293</v>
      </c>
      <c r="B94" s="207" t="s">
        <v>294</v>
      </c>
      <c r="C94" s="284"/>
      <c r="D94" s="284"/>
      <c r="E94" s="206" t="e">
        <f t="shared" si="7"/>
        <v>#DIV/0!</v>
      </c>
      <c r="F94" s="206"/>
    </row>
    <row r="95" spans="1:6" ht="14.25" customHeight="1" hidden="1">
      <c r="A95" s="204" t="s">
        <v>295</v>
      </c>
      <c r="B95" s="207" t="s">
        <v>296</v>
      </c>
      <c r="C95" s="284"/>
      <c r="D95" s="284"/>
      <c r="E95" s="206" t="e">
        <f t="shared" si="7"/>
        <v>#DIV/0!</v>
      </c>
      <c r="F95" s="206"/>
    </row>
    <row r="96" spans="1:6" s="140" customFormat="1" ht="19.5" customHeight="1" hidden="1">
      <c r="A96" s="219">
        <v>1400</v>
      </c>
      <c r="B96" s="223" t="s">
        <v>303</v>
      </c>
      <c r="C96" s="252">
        <f>C97+C98+C99</f>
        <v>0</v>
      </c>
      <c r="D96" s="334">
        <f>SUM(D97:D99)</f>
        <v>0</v>
      </c>
      <c r="E96" s="203" t="e">
        <f t="shared" si="7"/>
        <v>#DIV/0!</v>
      </c>
      <c r="F96" s="203">
        <f>SUM(D96-C96)</f>
        <v>0</v>
      </c>
    </row>
    <row r="97" spans="1:6" ht="15" customHeight="1" hidden="1">
      <c r="A97" s="220">
        <v>1401</v>
      </c>
      <c r="B97" s="221" t="s">
        <v>304</v>
      </c>
      <c r="C97" s="285"/>
      <c r="D97" s="284"/>
      <c r="E97" s="206" t="e">
        <f t="shared" si="7"/>
        <v>#DIV/0!</v>
      </c>
      <c r="F97" s="206">
        <f>SUM(D97-C97)</f>
        <v>0</v>
      </c>
    </row>
    <row r="98" spans="1:6" ht="16.5" customHeight="1" hidden="1">
      <c r="A98" s="220">
        <v>1402</v>
      </c>
      <c r="B98" s="221" t="s">
        <v>305</v>
      </c>
      <c r="C98" s="285"/>
      <c r="D98" s="284"/>
      <c r="E98" s="206" t="e">
        <f t="shared" si="7"/>
        <v>#DIV/0!</v>
      </c>
      <c r="F98" s="206">
        <f>SUM(D98-C98)</f>
        <v>0</v>
      </c>
    </row>
    <row r="99" spans="1:6" ht="20.25" customHeight="1" hidden="1">
      <c r="A99" s="220">
        <v>1403</v>
      </c>
      <c r="B99" s="221" t="s">
        <v>306</v>
      </c>
      <c r="C99" s="285"/>
      <c r="D99" s="284"/>
      <c r="E99" s="206" t="e">
        <f t="shared" si="7"/>
        <v>#DIV/0!</v>
      </c>
      <c r="F99" s="206">
        <f>SUM(D99-C99)</f>
        <v>0</v>
      </c>
    </row>
    <row r="100" spans="1:6" s="140" customFormat="1" ht="21" customHeight="1">
      <c r="A100" s="219"/>
      <c r="B100" s="224" t="s">
        <v>307</v>
      </c>
      <c r="C100" s="279">
        <f>C58+C66+C68+C74+C79+C83+C90+C85</f>
        <v>15187.612319999998</v>
      </c>
      <c r="D100" s="279">
        <f>D58+D66+D68+D74+D79+D83+D90+D85</f>
        <v>11085.91922</v>
      </c>
      <c r="E100" s="203">
        <f t="shared" si="7"/>
        <v>72.9931669733324</v>
      </c>
      <c r="F100" s="203">
        <f>SUM(D100-C100)</f>
        <v>-4101.693099999999</v>
      </c>
    </row>
    <row r="101" ht="15.75">
      <c r="D101" s="297"/>
    </row>
    <row r="102" spans="1:5" s="144" customFormat="1" ht="18" customHeight="1">
      <c r="A102" s="229" t="s">
        <v>308</v>
      </c>
      <c r="B102" s="229"/>
      <c r="C102" s="335"/>
      <c r="D102" s="255"/>
      <c r="E102" s="255"/>
    </row>
    <row r="103" spans="1:3" s="144" customFormat="1" ht="12.75">
      <c r="A103" s="231" t="s">
        <v>309</v>
      </c>
      <c r="B103" s="231"/>
      <c r="C103" s="144" t="s">
        <v>310</v>
      </c>
    </row>
    <row r="104" ht="15.75">
      <c r="C104" s="265"/>
    </row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SheetLayoutView="70" zoomScalePageLayoutView="0" workbookViewId="0" topLeftCell="A34">
      <selection activeCell="D90" sqref="D90"/>
    </sheetView>
  </sheetViews>
  <sheetFormatPr defaultColWidth="9.140625" defaultRowHeight="12.75"/>
  <cols>
    <col min="1" max="1" width="14.7109375" style="136" customWidth="1"/>
    <col min="2" max="2" width="58.8515625" style="137" customWidth="1"/>
    <col min="3" max="3" width="19.421875" style="138" customWidth="1"/>
    <col min="4" max="4" width="16.421875" style="138" customWidth="1"/>
    <col min="5" max="5" width="12.57421875" style="138" customWidth="1"/>
    <col min="6" max="6" width="12.00390625" style="138" customWidth="1"/>
    <col min="7" max="7" width="15.421875" style="139" customWidth="1"/>
    <col min="8" max="8" width="12.8515625" style="139" customWidth="1"/>
    <col min="9" max="9" width="12.421875" style="139" customWidth="1"/>
    <col min="10" max="16384" width="9.140625" style="139" customWidth="1"/>
  </cols>
  <sheetData>
    <row r="1" spans="1:6" ht="12.75" customHeight="1">
      <c r="A1" s="468" t="s">
        <v>439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54.75" customHeight="1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2577.05</v>
      </c>
      <c r="D4" s="151">
        <f>D5+D12+D14+D17+D7</f>
        <v>2162.05593</v>
      </c>
      <c r="E4" s="151">
        <f aca="true" t="shared" si="0" ref="E4:E28">SUM(D4/C4*100)</f>
        <v>83.89654566267632</v>
      </c>
      <c r="F4" s="151">
        <f aca="true" t="shared" si="1" ref="F4:F28">SUM(D4-C4)</f>
        <v>-414.9940700000002</v>
      </c>
    </row>
    <row r="5" spans="1:6" s="140" customFormat="1" ht="15.75">
      <c r="A5" s="152">
        <v>1010000000</v>
      </c>
      <c r="B5" s="153" t="s">
        <v>146</v>
      </c>
      <c r="C5" s="151">
        <f>C6</f>
        <v>211.2</v>
      </c>
      <c r="D5" s="151">
        <f>D6</f>
        <v>170.97673</v>
      </c>
      <c r="E5" s="151">
        <f t="shared" si="0"/>
        <v>80.95489109848485</v>
      </c>
      <c r="F5" s="151">
        <f t="shared" si="1"/>
        <v>-40.223269999999985</v>
      </c>
    </row>
    <row r="6" spans="1:6" ht="15.75">
      <c r="A6" s="154">
        <v>1010200001</v>
      </c>
      <c r="B6" s="155" t="s">
        <v>147</v>
      </c>
      <c r="C6" s="156">
        <v>211.2</v>
      </c>
      <c r="D6" s="157">
        <v>170.97673</v>
      </c>
      <c r="E6" s="156">
        <f t="shared" si="0"/>
        <v>80.95489109848485</v>
      </c>
      <c r="F6" s="156">
        <f t="shared" si="1"/>
        <v>-40.223269999999985</v>
      </c>
    </row>
    <row r="7" spans="1:6" ht="31.5">
      <c r="A7" s="149">
        <v>1030000000</v>
      </c>
      <c r="B7" s="158" t="s">
        <v>148</v>
      </c>
      <c r="C7" s="151">
        <f>C8+C10+C9</f>
        <v>830.85</v>
      </c>
      <c r="D7" s="151">
        <f>D8+D10+D9+D11</f>
        <v>850.50466</v>
      </c>
      <c r="E7" s="151">
        <f t="shared" si="0"/>
        <v>102.3656087139676</v>
      </c>
      <c r="F7" s="151">
        <f t="shared" si="1"/>
        <v>19.65465999999992</v>
      </c>
    </row>
    <row r="8" spans="1:6" ht="15.75">
      <c r="A8" s="154">
        <v>1030223001</v>
      </c>
      <c r="B8" s="155" t="s">
        <v>149</v>
      </c>
      <c r="C8" s="156">
        <v>309.91</v>
      </c>
      <c r="D8" s="157">
        <v>389.83525</v>
      </c>
      <c r="E8" s="156">
        <f t="shared" si="0"/>
        <v>125.78982607853891</v>
      </c>
      <c r="F8" s="156">
        <f t="shared" si="1"/>
        <v>79.92524999999995</v>
      </c>
    </row>
    <row r="9" spans="1:6" ht="15.75">
      <c r="A9" s="154">
        <v>1030224001</v>
      </c>
      <c r="B9" s="155" t="s">
        <v>150</v>
      </c>
      <c r="C9" s="156">
        <v>3.32</v>
      </c>
      <c r="D9" s="157">
        <v>2.76519</v>
      </c>
      <c r="E9" s="156">
        <f t="shared" si="0"/>
        <v>83.28885542168675</v>
      </c>
      <c r="F9" s="156">
        <f t="shared" si="1"/>
        <v>-0.5548099999999998</v>
      </c>
    </row>
    <row r="10" spans="1:6" ht="15.75">
      <c r="A10" s="154">
        <v>1030225001</v>
      </c>
      <c r="B10" s="155" t="s">
        <v>151</v>
      </c>
      <c r="C10" s="156">
        <v>517.62</v>
      </c>
      <c r="D10" s="157">
        <v>523.95585</v>
      </c>
      <c r="E10" s="156">
        <f t="shared" si="0"/>
        <v>101.22403500637533</v>
      </c>
      <c r="F10" s="156">
        <f t="shared" si="1"/>
        <v>6.33585000000005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-66.05163</v>
      </c>
      <c r="E11" s="156" t="e">
        <f t="shared" si="0"/>
        <v>#DIV/0!</v>
      </c>
      <c r="F11" s="156">
        <f t="shared" si="1"/>
        <v>-66.05163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20</v>
      </c>
      <c r="D12" s="151">
        <f>SUM(D13:D13)</f>
        <v>8.8872</v>
      </c>
      <c r="E12" s="151">
        <f t="shared" si="0"/>
        <v>44.436</v>
      </c>
      <c r="F12" s="151">
        <f t="shared" si="1"/>
        <v>-11.1128</v>
      </c>
    </row>
    <row r="13" spans="1:6" ht="15.75" customHeight="1">
      <c r="A13" s="154">
        <v>1050300000</v>
      </c>
      <c r="B13" s="159" t="s">
        <v>156</v>
      </c>
      <c r="C13" s="160">
        <v>20</v>
      </c>
      <c r="D13" s="157">
        <v>8.8872</v>
      </c>
      <c r="E13" s="156">
        <f t="shared" si="0"/>
        <v>44.436</v>
      </c>
      <c r="F13" s="156">
        <f t="shared" si="1"/>
        <v>-11.1128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1500</v>
      </c>
      <c r="D14" s="151">
        <f>D15+D16</f>
        <v>1128.8073399999998</v>
      </c>
      <c r="E14" s="151">
        <f t="shared" si="0"/>
        <v>75.25382266666666</v>
      </c>
      <c r="F14" s="151">
        <f t="shared" si="1"/>
        <v>-371.19266000000016</v>
      </c>
    </row>
    <row r="15" spans="1:6" s="140" customFormat="1" ht="15.75" customHeight="1">
      <c r="A15" s="154">
        <v>1060100000</v>
      </c>
      <c r="B15" s="159" t="s">
        <v>159</v>
      </c>
      <c r="C15" s="156">
        <v>300</v>
      </c>
      <c r="D15" s="157">
        <v>168.76405</v>
      </c>
      <c r="E15" s="156">
        <f t="shared" si="0"/>
        <v>56.25468333333333</v>
      </c>
      <c r="F15" s="156">
        <f t="shared" si="1"/>
        <v>-131.23595</v>
      </c>
    </row>
    <row r="16" spans="1:6" ht="15.75" customHeight="1">
      <c r="A16" s="154">
        <v>1060600000</v>
      </c>
      <c r="B16" s="159" t="s">
        <v>162</v>
      </c>
      <c r="C16" s="156">
        <v>1200</v>
      </c>
      <c r="D16" s="157">
        <v>960.04329</v>
      </c>
      <c r="E16" s="156">
        <f t="shared" si="0"/>
        <v>80.0036075</v>
      </c>
      <c r="F16" s="156">
        <f t="shared" si="1"/>
        <v>-239.95671000000004</v>
      </c>
    </row>
    <row r="17" spans="1:6" s="140" customFormat="1" ht="15.75">
      <c r="A17" s="149">
        <v>1080000000</v>
      </c>
      <c r="B17" s="150" t="s">
        <v>165</v>
      </c>
      <c r="C17" s="151">
        <f>C18</f>
        <v>15</v>
      </c>
      <c r="D17" s="151">
        <f>D18</f>
        <v>2.88</v>
      </c>
      <c r="E17" s="151">
        <f t="shared" si="0"/>
        <v>19.2</v>
      </c>
      <c r="F17" s="151">
        <f t="shared" si="1"/>
        <v>-12.120000000000001</v>
      </c>
    </row>
    <row r="18" spans="1:6" ht="18" customHeight="1">
      <c r="A18" s="154">
        <v>1080400001</v>
      </c>
      <c r="B18" s="155" t="s">
        <v>167</v>
      </c>
      <c r="C18" s="156">
        <v>15</v>
      </c>
      <c r="D18" s="157">
        <v>2.88</v>
      </c>
      <c r="E18" s="156">
        <f t="shared" si="0"/>
        <v>19.2</v>
      </c>
      <c r="F18" s="156">
        <f t="shared" si="1"/>
        <v>-12.120000000000001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C26+C30+C32+C37+C35</f>
        <v>70.7</v>
      </c>
      <c r="D25" s="151">
        <f>D30+D37+D26+D35</f>
        <v>102.81729</v>
      </c>
      <c r="E25" s="151">
        <f t="shared" si="0"/>
        <v>145.42756718528994</v>
      </c>
      <c r="F25" s="151">
        <f t="shared" si="1"/>
        <v>32.11729</v>
      </c>
    </row>
    <row r="26" spans="1:6" s="140" customFormat="1" ht="33.75" customHeight="1">
      <c r="A26" s="152">
        <v>1110000000</v>
      </c>
      <c r="B26" s="161" t="s">
        <v>174</v>
      </c>
      <c r="C26" s="151">
        <f>C27+C28</f>
        <v>20.7</v>
      </c>
      <c r="D26" s="151">
        <f>D27+D28</f>
        <v>3.307</v>
      </c>
      <c r="E26" s="151">
        <f t="shared" si="0"/>
        <v>15.97584541062802</v>
      </c>
      <c r="F26" s="151">
        <f t="shared" si="1"/>
        <v>-17.393</v>
      </c>
    </row>
    <row r="27" spans="1:6" ht="15" customHeight="1">
      <c r="A27" s="163">
        <v>1110502510</v>
      </c>
      <c r="B27" s="164" t="s">
        <v>177</v>
      </c>
      <c r="C27" s="160">
        <v>20.7</v>
      </c>
      <c r="D27" s="157">
        <v>3.307</v>
      </c>
      <c r="E27" s="156">
        <f t="shared" si="0"/>
        <v>15.97584541062802</v>
      </c>
      <c r="F27" s="156">
        <f t="shared" si="1"/>
        <v>-17.393</v>
      </c>
    </row>
    <row r="28" spans="1:6" ht="15.75" customHeight="1">
      <c r="A28" s="154">
        <v>1110503510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ht="18.75" customHeight="1">
      <c r="A29" s="154">
        <v>1110532510</v>
      </c>
      <c r="B29" s="159" t="s">
        <v>371</v>
      </c>
      <c r="C29" s="160">
        <v>0</v>
      </c>
      <c r="D29" s="297">
        <v>0</v>
      </c>
      <c r="E29" s="156" t="e">
        <f>SUM(D28/C29*100)</f>
        <v>#DIV/0!</v>
      </c>
      <c r="F29" s="156">
        <f>SUM(D28-C29)</f>
        <v>0</v>
      </c>
    </row>
    <row r="30" spans="1:6" s="141" customFormat="1" ht="27" customHeight="1">
      <c r="A30" s="152">
        <v>1130000000</v>
      </c>
      <c r="B30" s="161" t="s">
        <v>185</v>
      </c>
      <c r="C30" s="151">
        <f>C31</f>
        <v>50</v>
      </c>
      <c r="D30" s="151">
        <f>D31</f>
        <v>67.531</v>
      </c>
      <c r="E30" s="151">
        <f aca="true" t="shared" si="2" ref="E30:E48">SUM(D30/C30*100)</f>
        <v>135.062</v>
      </c>
      <c r="F30" s="151">
        <f aca="true" t="shared" si="3" ref="F30:F52">SUM(D30-C30)</f>
        <v>17.531000000000006</v>
      </c>
    </row>
    <row r="31" spans="1:6" ht="32.25" customHeight="1">
      <c r="A31" s="154">
        <v>1130206005</v>
      </c>
      <c r="B31" s="155" t="s">
        <v>187</v>
      </c>
      <c r="C31" s="156">
        <v>50</v>
      </c>
      <c r="D31" s="157">
        <v>67.531</v>
      </c>
      <c r="E31" s="156">
        <f t="shared" si="2"/>
        <v>135.062</v>
      </c>
      <c r="F31" s="156">
        <f t="shared" si="3"/>
        <v>17.531000000000006</v>
      </c>
    </row>
    <row r="32" spans="1:6" ht="32.25" customHeight="1">
      <c r="A32" s="165">
        <v>1140000000</v>
      </c>
      <c r="B32" s="166" t="s">
        <v>188</v>
      </c>
      <c r="C32" s="151">
        <f>C33+C34</f>
        <v>0</v>
      </c>
      <c r="D32" s="151">
        <f>D33+D34</f>
        <v>0</v>
      </c>
      <c r="E32" s="151" t="e">
        <f t="shared" si="2"/>
        <v>#DIV/0!</v>
      </c>
      <c r="F32" s="151">
        <f t="shared" si="3"/>
        <v>0</v>
      </c>
    </row>
    <row r="33" spans="1:6" ht="27.75" customHeight="1">
      <c r="A33" s="163">
        <v>1140200000</v>
      </c>
      <c r="B33" s="167" t="s">
        <v>189</v>
      </c>
      <c r="C33" s="156">
        <v>0</v>
      </c>
      <c r="D33" s="157">
        <v>0</v>
      </c>
      <c r="E33" s="156" t="e">
        <f t="shared" si="2"/>
        <v>#DIV/0!</v>
      </c>
      <c r="F33" s="156">
        <f t="shared" si="3"/>
        <v>0</v>
      </c>
    </row>
    <row r="34" spans="1:6" ht="27" customHeight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2"/>
        <v>#DIV/0!</v>
      </c>
      <c r="F34" s="156">
        <f t="shared" si="3"/>
        <v>0</v>
      </c>
    </row>
    <row r="35" spans="1:6" ht="22.5" customHeight="1">
      <c r="A35" s="149">
        <v>1160000000</v>
      </c>
      <c r="B35" s="158" t="s">
        <v>325</v>
      </c>
      <c r="C35" s="151">
        <f>C36</f>
        <v>0</v>
      </c>
      <c r="D35" s="162">
        <f>D36</f>
        <v>19.32493</v>
      </c>
      <c r="E35" s="151" t="e">
        <f t="shared" si="2"/>
        <v>#DIV/0!</v>
      </c>
      <c r="F35" s="151">
        <f t="shared" si="3"/>
        <v>19.32493</v>
      </c>
    </row>
    <row r="36" spans="1:6" ht="48.75" customHeight="1">
      <c r="A36" s="154">
        <v>1160701010</v>
      </c>
      <c r="B36" s="155" t="s">
        <v>354</v>
      </c>
      <c r="C36" s="156">
        <v>0</v>
      </c>
      <c r="D36" s="157">
        <v>19.32493</v>
      </c>
      <c r="E36" s="156" t="e">
        <f t="shared" si="2"/>
        <v>#DIV/0!</v>
      </c>
      <c r="F36" s="156">
        <f t="shared" si="3"/>
        <v>19.32493</v>
      </c>
    </row>
    <row r="37" spans="1:6" ht="22.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12.65436</v>
      </c>
      <c r="E37" s="151" t="e">
        <f t="shared" si="2"/>
        <v>#DIV/0!</v>
      </c>
      <c r="F37" s="151">
        <f t="shared" si="3"/>
        <v>12.65436</v>
      </c>
    </row>
    <row r="38" spans="1:6" ht="23.25" customHeight="1">
      <c r="A38" s="154">
        <v>1170105010</v>
      </c>
      <c r="B38" s="155" t="s">
        <v>199</v>
      </c>
      <c r="C38" s="156">
        <v>0</v>
      </c>
      <c r="D38" s="156">
        <v>12.65436</v>
      </c>
      <c r="E38" s="156" t="e">
        <f t="shared" si="2"/>
        <v>#DIV/0!</v>
      </c>
      <c r="F38" s="156">
        <f t="shared" si="3"/>
        <v>12.65436</v>
      </c>
    </row>
    <row r="39" spans="1:6" ht="21.75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2"/>
        <v>#DIV/0!</v>
      </c>
      <c r="F39" s="156">
        <f t="shared" si="3"/>
        <v>0</v>
      </c>
    </row>
    <row r="40" spans="1:6" s="140" customFormat="1" ht="18" customHeight="1">
      <c r="A40" s="149">
        <v>1000000000</v>
      </c>
      <c r="B40" s="150" t="s">
        <v>26</v>
      </c>
      <c r="C40" s="169">
        <f>SUM(C4,C25)</f>
        <v>2647.75</v>
      </c>
      <c r="D40" s="169">
        <f>D4+D25</f>
        <v>2264.87322</v>
      </c>
      <c r="E40" s="151">
        <f t="shared" si="2"/>
        <v>85.53954187517704</v>
      </c>
      <c r="F40" s="151">
        <f t="shared" si="3"/>
        <v>-382.87678000000005</v>
      </c>
    </row>
    <row r="41" spans="1:7" s="140" customFormat="1" ht="15.75">
      <c r="A41" s="149">
        <v>2000000000</v>
      </c>
      <c r="B41" s="150" t="s">
        <v>201</v>
      </c>
      <c r="C41" s="151">
        <f>C42+C44+C45+C47+C48+C49+C43+C51</f>
        <v>15226.498169999999</v>
      </c>
      <c r="D41" s="151">
        <f>D42+D44+D45+D47+D48+D49+D43+D51</f>
        <v>8445.53615</v>
      </c>
      <c r="E41" s="151">
        <f t="shared" si="2"/>
        <v>55.46604383823336</v>
      </c>
      <c r="F41" s="151">
        <f t="shared" si="3"/>
        <v>-6780.962019999999</v>
      </c>
      <c r="G41" s="171"/>
    </row>
    <row r="42" spans="1:6" ht="17.25" customHeight="1">
      <c r="A42" s="163">
        <v>2021000000</v>
      </c>
      <c r="B42" s="164" t="s">
        <v>202</v>
      </c>
      <c r="C42" s="160">
        <v>3577.8</v>
      </c>
      <c r="D42" s="325">
        <v>3279.672</v>
      </c>
      <c r="E42" s="156">
        <f t="shared" si="2"/>
        <v>91.66728156967969</v>
      </c>
      <c r="F42" s="156">
        <f t="shared" si="3"/>
        <v>-298.12800000000016</v>
      </c>
    </row>
    <row r="43" spans="1:6" ht="17.25" customHeight="1">
      <c r="A43" s="163">
        <v>2021500200</v>
      </c>
      <c r="B43" s="164" t="s">
        <v>205</v>
      </c>
      <c r="C43" s="336"/>
      <c r="D43" s="173">
        <v>0</v>
      </c>
      <c r="E43" s="156" t="e">
        <f t="shared" si="2"/>
        <v>#DIV/0!</v>
      </c>
      <c r="F43" s="156">
        <f t="shared" si="3"/>
        <v>0</v>
      </c>
    </row>
    <row r="44" spans="1:6" ht="15.75">
      <c r="A44" s="163">
        <v>2022000000</v>
      </c>
      <c r="B44" s="164" t="s">
        <v>206</v>
      </c>
      <c r="C44" s="160">
        <v>9503.26947</v>
      </c>
      <c r="D44" s="157">
        <v>3679.44396</v>
      </c>
      <c r="E44" s="156">
        <f t="shared" si="2"/>
        <v>38.71766418510282</v>
      </c>
      <c r="F44" s="156">
        <f t="shared" si="3"/>
        <v>-5823.825509999999</v>
      </c>
    </row>
    <row r="45" spans="1:6" ht="16.5" customHeight="1">
      <c r="A45" s="163">
        <v>2023000000</v>
      </c>
      <c r="B45" s="164" t="s">
        <v>207</v>
      </c>
      <c r="C45" s="160">
        <v>206.767</v>
      </c>
      <c r="D45" s="175">
        <v>188.74708</v>
      </c>
      <c r="E45" s="156">
        <f t="shared" si="2"/>
        <v>91.28491490421587</v>
      </c>
      <c r="F45" s="156">
        <f t="shared" si="3"/>
        <v>-18.019919999999985</v>
      </c>
    </row>
    <row r="46" spans="1:6" ht="19.5" customHeight="1">
      <c r="A46" s="163">
        <v>2070503010</v>
      </c>
      <c r="B46" s="164" t="s">
        <v>104</v>
      </c>
      <c r="C46" s="160">
        <v>0</v>
      </c>
      <c r="D46" s="175">
        <v>0</v>
      </c>
      <c r="E46" s="156" t="e">
        <f t="shared" si="2"/>
        <v>#DIV/0!</v>
      </c>
      <c r="F46" s="156">
        <f t="shared" si="3"/>
        <v>0</v>
      </c>
    </row>
    <row r="47" spans="1:6" ht="19.5" customHeight="1">
      <c r="A47" s="163">
        <v>2020400000</v>
      </c>
      <c r="B47" s="164" t="s">
        <v>102</v>
      </c>
      <c r="C47" s="160">
        <v>1714.834</v>
      </c>
      <c r="D47" s="176">
        <v>1067.13661</v>
      </c>
      <c r="E47" s="156">
        <f t="shared" si="2"/>
        <v>62.22973244057442</v>
      </c>
      <c r="F47" s="156">
        <f t="shared" si="3"/>
        <v>-647.69739</v>
      </c>
    </row>
    <row r="48" spans="1:6" ht="19.5" customHeight="1">
      <c r="A48" s="163">
        <v>2020900000</v>
      </c>
      <c r="B48" s="167" t="s">
        <v>329</v>
      </c>
      <c r="C48" s="160"/>
      <c r="D48" s="176"/>
      <c r="E48" s="156" t="e">
        <f t="shared" si="2"/>
        <v>#DIV/0!</v>
      </c>
      <c r="F48" s="156">
        <f t="shared" si="3"/>
        <v>0</v>
      </c>
    </row>
    <row r="49" spans="1:6" ht="17.25" customHeight="1">
      <c r="A49" s="154">
        <v>2190500005</v>
      </c>
      <c r="B49" s="159" t="s">
        <v>209</v>
      </c>
      <c r="C49" s="162"/>
      <c r="D49" s="162"/>
      <c r="E49" s="151"/>
      <c r="F49" s="151">
        <f t="shared" si="3"/>
        <v>0</v>
      </c>
    </row>
    <row r="50" spans="1:6" s="140" customFormat="1" ht="17.25" customHeight="1">
      <c r="A50" s="149">
        <v>3000000000</v>
      </c>
      <c r="B50" s="158" t="s">
        <v>210</v>
      </c>
      <c r="C50" s="304">
        <v>0</v>
      </c>
      <c r="D50" s="337">
        <v>0</v>
      </c>
      <c r="E50" s="151" t="e">
        <f>SUM(D50/C50*100)</f>
        <v>#DIV/0!</v>
      </c>
      <c r="F50" s="151">
        <f t="shared" si="3"/>
        <v>0</v>
      </c>
    </row>
    <row r="51" spans="1:6" s="140" customFormat="1" ht="15.75">
      <c r="A51" s="154">
        <v>2070502010</v>
      </c>
      <c r="B51" s="155" t="s">
        <v>28</v>
      </c>
      <c r="C51" s="338">
        <v>223.8277</v>
      </c>
      <c r="D51" s="178">
        <v>230.5365</v>
      </c>
      <c r="E51" s="156">
        <f>SUM(D51/C51*100)</f>
        <v>102.99730551669879</v>
      </c>
      <c r="F51" s="156">
        <f t="shared" si="3"/>
        <v>6.7087999999999965</v>
      </c>
    </row>
    <row r="52" spans="1:8" s="140" customFormat="1" ht="15.75">
      <c r="A52" s="149"/>
      <c r="B52" s="150" t="s">
        <v>211</v>
      </c>
      <c r="C52" s="289">
        <f>SUM(C40,C41,C50)</f>
        <v>17874.24817</v>
      </c>
      <c r="D52" s="280">
        <f>D40+D41</f>
        <v>10710.40937</v>
      </c>
      <c r="E52" s="151">
        <f>SUM(D52/C52*100)</f>
        <v>59.92089439586202</v>
      </c>
      <c r="F52" s="151">
        <f t="shared" si="3"/>
        <v>-7163.8387999999995</v>
      </c>
      <c r="G52" s="142"/>
      <c r="H52" s="187"/>
    </row>
    <row r="53" spans="1:6" s="140" customFormat="1" ht="15.75">
      <c r="A53" s="149"/>
      <c r="B53" s="189" t="s">
        <v>212</v>
      </c>
      <c r="C53" s="339">
        <f>C52-C99</f>
        <v>-252.92273000000205</v>
      </c>
      <c r="D53" s="339">
        <f>D52-D99</f>
        <v>135.04631999999947</v>
      </c>
      <c r="E53" s="191"/>
      <c r="F53" s="191"/>
    </row>
    <row r="54" spans="1:6" ht="9" customHeight="1">
      <c r="A54" s="192"/>
      <c r="B54" s="193"/>
      <c r="C54" s="262"/>
      <c r="D54" s="263"/>
      <c r="E54" s="195"/>
      <c r="F54" s="244"/>
    </row>
    <row r="55" spans="1:6" ht="55.5" customHeight="1">
      <c r="A55" s="197" t="s">
        <v>141</v>
      </c>
      <c r="B55" s="197" t="s">
        <v>213</v>
      </c>
      <c r="C55" s="146" t="s">
        <v>143</v>
      </c>
      <c r="D55" s="147" t="s">
        <v>424</v>
      </c>
      <c r="E55" s="146" t="s">
        <v>144</v>
      </c>
      <c r="F55" s="148" t="s">
        <v>145</v>
      </c>
    </row>
    <row r="56" spans="1:6" ht="15.75">
      <c r="A56" s="246">
        <v>1</v>
      </c>
      <c r="B56" s="197">
        <v>2</v>
      </c>
      <c r="C56" s="200">
        <v>3</v>
      </c>
      <c r="D56" s="200">
        <v>4</v>
      </c>
      <c r="E56" s="200">
        <v>5</v>
      </c>
      <c r="F56" s="200">
        <v>6</v>
      </c>
    </row>
    <row r="57" spans="1:6" s="140" customFormat="1" ht="18" customHeight="1">
      <c r="A57" s="201" t="s">
        <v>33</v>
      </c>
      <c r="B57" s="202" t="s">
        <v>214</v>
      </c>
      <c r="C57" s="282">
        <f>C58+C59+C60+C61+C62+C64+C63</f>
        <v>1773.1462299999998</v>
      </c>
      <c r="D57" s="291">
        <f>D58+D59+D60+D61+D62+D64+D63</f>
        <v>1553.35355</v>
      </c>
      <c r="E57" s="203">
        <f>SUM(D57/C57*100)</f>
        <v>87.60436808418221</v>
      </c>
      <c r="F57" s="203">
        <f>SUM(D57-C57)</f>
        <v>-219.7926799999998</v>
      </c>
    </row>
    <row r="58" spans="1:6" s="140" customFormat="1" ht="15" customHeight="1" hidden="1">
      <c r="A58" s="204" t="s">
        <v>215</v>
      </c>
      <c r="B58" s="205" t="s">
        <v>216</v>
      </c>
      <c r="C58" s="284"/>
      <c r="D58" s="284"/>
      <c r="E58" s="206"/>
      <c r="F58" s="206"/>
    </row>
    <row r="59" spans="1:6" ht="15.75" customHeight="1">
      <c r="A59" s="204" t="s">
        <v>217</v>
      </c>
      <c r="B59" s="207" t="s">
        <v>218</v>
      </c>
      <c r="C59" s="284">
        <v>1646.3</v>
      </c>
      <c r="D59" s="284">
        <v>1437.18732</v>
      </c>
      <c r="E59" s="206">
        <f>SUM(D59/C59*100)</f>
        <v>87.29802101682561</v>
      </c>
      <c r="F59" s="206">
        <f aca="true" t="shared" si="4" ref="F59:F88">SUM(D59-C59)</f>
        <v>-209.11267999999995</v>
      </c>
    </row>
    <row r="60" spans="1:6" ht="16.5" customHeight="1" hidden="1">
      <c r="A60" s="204" t="s">
        <v>219</v>
      </c>
      <c r="B60" s="207" t="s">
        <v>220</v>
      </c>
      <c r="C60" s="284"/>
      <c r="D60" s="284"/>
      <c r="E60" s="206"/>
      <c r="F60" s="206">
        <f t="shared" si="4"/>
        <v>0</v>
      </c>
    </row>
    <row r="61" spans="1:6" ht="31.5" customHeight="1" hidden="1">
      <c r="A61" s="204" t="s">
        <v>221</v>
      </c>
      <c r="B61" s="207" t="s">
        <v>222</v>
      </c>
      <c r="C61" s="284"/>
      <c r="D61" s="284"/>
      <c r="E61" s="206" t="e">
        <f aca="true" t="shared" si="5" ref="E61:E87">SUM(D61/C61*100)</f>
        <v>#DIV/0!</v>
      </c>
      <c r="F61" s="206">
        <f t="shared" si="4"/>
        <v>0</v>
      </c>
    </row>
    <row r="62" spans="1:6" ht="15" customHeight="1">
      <c r="A62" s="204" t="s">
        <v>223</v>
      </c>
      <c r="B62" s="207" t="s">
        <v>224</v>
      </c>
      <c r="C62" s="284">
        <v>11.02</v>
      </c>
      <c r="D62" s="284">
        <v>11.02</v>
      </c>
      <c r="E62" s="206">
        <f t="shared" si="5"/>
        <v>100</v>
      </c>
      <c r="F62" s="206">
        <f t="shared" si="4"/>
        <v>0</v>
      </c>
    </row>
    <row r="63" spans="1:6" ht="15.75" customHeight="1">
      <c r="A63" s="204" t="s">
        <v>225</v>
      </c>
      <c r="B63" s="207" t="s">
        <v>226</v>
      </c>
      <c r="C63" s="294">
        <v>10</v>
      </c>
      <c r="D63" s="294">
        <v>0</v>
      </c>
      <c r="E63" s="206">
        <f t="shared" si="5"/>
        <v>0</v>
      </c>
      <c r="F63" s="206">
        <f t="shared" si="4"/>
        <v>-10</v>
      </c>
    </row>
    <row r="64" spans="1:6" ht="15" customHeight="1">
      <c r="A64" s="204" t="s">
        <v>227</v>
      </c>
      <c r="B64" s="207" t="s">
        <v>228</v>
      </c>
      <c r="C64" s="284">
        <v>105.82623</v>
      </c>
      <c r="D64" s="284">
        <v>105.14623</v>
      </c>
      <c r="E64" s="206">
        <f t="shared" si="5"/>
        <v>99.35743718735894</v>
      </c>
      <c r="F64" s="206">
        <f t="shared" si="4"/>
        <v>-0.6799999999999926</v>
      </c>
    </row>
    <row r="65" spans="1:6" s="140" customFormat="1" ht="15.75">
      <c r="A65" s="209" t="s">
        <v>35</v>
      </c>
      <c r="B65" s="210" t="s">
        <v>229</v>
      </c>
      <c r="C65" s="282">
        <f>C66</f>
        <v>206.767</v>
      </c>
      <c r="D65" s="282">
        <f>D66</f>
        <v>172.05147</v>
      </c>
      <c r="E65" s="203">
        <f t="shared" si="5"/>
        <v>83.2103140249653</v>
      </c>
      <c r="F65" s="203">
        <f t="shared" si="4"/>
        <v>-34.71553</v>
      </c>
    </row>
    <row r="66" spans="1:6" ht="15.75">
      <c r="A66" s="211" t="s">
        <v>230</v>
      </c>
      <c r="B66" s="212" t="s">
        <v>231</v>
      </c>
      <c r="C66" s="284">
        <v>206.767</v>
      </c>
      <c r="D66" s="284">
        <v>172.05147</v>
      </c>
      <c r="E66" s="206">
        <f t="shared" si="5"/>
        <v>83.2103140249653</v>
      </c>
      <c r="F66" s="206">
        <f t="shared" si="4"/>
        <v>-34.71553</v>
      </c>
    </row>
    <row r="67" spans="1:6" s="140" customFormat="1" ht="16.5" customHeight="1">
      <c r="A67" s="201" t="s">
        <v>37</v>
      </c>
      <c r="B67" s="202" t="s">
        <v>232</v>
      </c>
      <c r="C67" s="282">
        <f>C71+C70+C72</f>
        <v>73.5</v>
      </c>
      <c r="D67" s="282">
        <f>D71+D70+D72</f>
        <v>65.48847</v>
      </c>
      <c r="E67" s="203">
        <f t="shared" si="5"/>
        <v>89.09995918367348</v>
      </c>
      <c r="F67" s="203">
        <f t="shared" si="4"/>
        <v>-8.011529999999993</v>
      </c>
    </row>
    <row r="68" spans="1:6" ht="15.75" hidden="1">
      <c r="A68" s="204" t="s">
        <v>233</v>
      </c>
      <c r="B68" s="207" t="s">
        <v>234</v>
      </c>
      <c r="C68" s="284"/>
      <c r="D68" s="284"/>
      <c r="E68" s="203" t="e">
        <f t="shared" si="5"/>
        <v>#DIV/0!</v>
      </c>
      <c r="F68" s="203">
        <f t="shared" si="4"/>
        <v>0</v>
      </c>
    </row>
    <row r="69" spans="1:6" ht="15.75" hidden="1">
      <c r="A69" s="213" t="s">
        <v>235</v>
      </c>
      <c r="B69" s="207" t="s">
        <v>317</v>
      </c>
      <c r="C69" s="284"/>
      <c r="D69" s="284"/>
      <c r="E69" s="203" t="e">
        <f t="shared" si="5"/>
        <v>#DIV/0!</v>
      </c>
      <c r="F69" s="203">
        <f t="shared" si="4"/>
        <v>0</v>
      </c>
    </row>
    <row r="70" spans="1:6" ht="17.25" customHeight="1">
      <c r="A70" s="214" t="s">
        <v>237</v>
      </c>
      <c r="B70" s="215" t="s">
        <v>238</v>
      </c>
      <c r="C70" s="301">
        <v>3</v>
      </c>
      <c r="D70" s="284">
        <v>2.81148</v>
      </c>
      <c r="E70" s="203">
        <f t="shared" si="5"/>
        <v>93.716</v>
      </c>
      <c r="F70" s="203">
        <f t="shared" si="4"/>
        <v>-0.18852000000000002</v>
      </c>
    </row>
    <row r="71" spans="1:6" ht="15.75" customHeight="1">
      <c r="A71" s="214" t="s">
        <v>239</v>
      </c>
      <c r="B71" s="215" t="s">
        <v>240</v>
      </c>
      <c r="C71" s="284">
        <v>68.5</v>
      </c>
      <c r="D71" s="284">
        <v>60.67699</v>
      </c>
      <c r="E71" s="203">
        <f t="shared" si="5"/>
        <v>88.57954744525549</v>
      </c>
      <c r="F71" s="203">
        <f t="shared" si="4"/>
        <v>-7.8230099999999965</v>
      </c>
    </row>
    <row r="72" spans="1:6" ht="15.75" customHeight="1">
      <c r="A72" s="214" t="s">
        <v>241</v>
      </c>
      <c r="B72" s="215" t="s">
        <v>363</v>
      </c>
      <c r="C72" s="284">
        <v>2</v>
      </c>
      <c r="D72" s="284">
        <v>2</v>
      </c>
      <c r="E72" s="203">
        <f t="shared" si="5"/>
        <v>100</v>
      </c>
      <c r="F72" s="203">
        <f t="shared" si="4"/>
        <v>0</v>
      </c>
    </row>
    <row r="73" spans="1:6" s="140" customFormat="1" ht="24" customHeight="1">
      <c r="A73" s="201" t="s">
        <v>39</v>
      </c>
      <c r="B73" s="202" t="s">
        <v>243</v>
      </c>
      <c r="C73" s="252">
        <f>C74+C75+C76+C77</f>
        <v>4430.90056</v>
      </c>
      <c r="D73" s="252">
        <f>SUM(D74:D77)</f>
        <v>3816.76176</v>
      </c>
      <c r="E73" s="203">
        <f t="shared" si="5"/>
        <v>86.13963929716355</v>
      </c>
      <c r="F73" s="203">
        <f t="shared" si="4"/>
        <v>-614.1388000000002</v>
      </c>
    </row>
    <row r="74" spans="1:6" ht="16.5" customHeight="1">
      <c r="A74" s="204" t="s">
        <v>246</v>
      </c>
      <c r="B74" s="207" t="s">
        <v>319</v>
      </c>
      <c r="C74" s="285"/>
      <c r="D74" s="284">
        <v>0</v>
      </c>
      <c r="E74" s="206" t="e">
        <f t="shared" si="5"/>
        <v>#DIV/0!</v>
      </c>
      <c r="F74" s="206">
        <f t="shared" si="4"/>
        <v>0</v>
      </c>
    </row>
    <row r="75" spans="1:7" s="140" customFormat="1" ht="17.25" customHeight="1">
      <c r="A75" s="204" t="s">
        <v>248</v>
      </c>
      <c r="B75" s="207" t="s">
        <v>320</v>
      </c>
      <c r="C75" s="285"/>
      <c r="D75" s="284"/>
      <c r="E75" s="206" t="e">
        <f t="shared" si="5"/>
        <v>#DIV/0!</v>
      </c>
      <c r="F75" s="206">
        <f t="shared" si="4"/>
        <v>0</v>
      </c>
      <c r="G75" s="143"/>
    </row>
    <row r="76" spans="1:6" ht="18" customHeight="1">
      <c r="A76" s="204" t="s">
        <v>250</v>
      </c>
      <c r="B76" s="207" t="s">
        <v>251</v>
      </c>
      <c r="C76" s="285">
        <v>4068.21377</v>
      </c>
      <c r="D76" s="284">
        <v>3633.59476</v>
      </c>
      <c r="E76" s="206">
        <f t="shared" si="5"/>
        <v>89.31671159453354</v>
      </c>
      <c r="F76" s="206">
        <f t="shared" si="4"/>
        <v>-434.6190099999999</v>
      </c>
    </row>
    <row r="77" spans="1:6" ht="15.75">
      <c r="A77" s="204" t="s">
        <v>252</v>
      </c>
      <c r="B77" s="207" t="s">
        <v>253</v>
      </c>
      <c r="C77" s="285">
        <v>362.68679</v>
      </c>
      <c r="D77" s="284">
        <v>183.167</v>
      </c>
      <c r="E77" s="206">
        <f t="shared" si="5"/>
        <v>50.502804361857244</v>
      </c>
      <c r="F77" s="206">
        <f t="shared" si="4"/>
        <v>-179.51978999999997</v>
      </c>
    </row>
    <row r="78" spans="1:6" s="140" customFormat="1" ht="15.75" customHeight="1">
      <c r="A78" s="201" t="s">
        <v>41</v>
      </c>
      <c r="B78" s="202" t="s">
        <v>254</v>
      </c>
      <c r="C78" s="282">
        <f>SUM(C79:C81)</f>
        <v>9655.33411</v>
      </c>
      <c r="D78" s="282">
        <f>SUM(D79:D81)</f>
        <v>3330.80539</v>
      </c>
      <c r="E78" s="203">
        <f t="shared" si="5"/>
        <v>34.49704952778688</v>
      </c>
      <c r="F78" s="203">
        <f t="shared" si="4"/>
        <v>-6324.52872</v>
      </c>
    </row>
    <row r="79" spans="1:6" ht="15.75" hidden="1">
      <c r="A79" s="204" t="s">
        <v>255</v>
      </c>
      <c r="B79" s="218" t="s">
        <v>256</v>
      </c>
      <c r="C79" s="284">
        <v>0</v>
      </c>
      <c r="D79" s="284">
        <v>0</v>
      </c>
      <c r="E79" s="206" t="e">
        <f t="shared" si="5"/>
        <v>#DIV/0!</v>
      </c>
      <c r="F79" s="206">
        <f t="shared" si="4"/>
        <v>0</v>
      </c>
    </row>
    <row r="80" spans="1:6" ht="15.75" customHeight="1">
      <c r="A80" s="204" t="s">
        <v>257</v>
      </c>
      <c r="B80" s="218" t="s">
        <v>258</v>
      </c>
      <c r="C80" s="284">
        <v>429</v>
      </c>
      <c r="D80" s="284">
        <v>403.00638</v>
      </c>
      <c r="E80" s="206">
        <f t="shared" si="5"/>
        <v>93.94088111888111</v>
      </c>
      <c r="F80" s="206">
        <f t="shared" si="4"/>
        <v>-25.99362000000002</v>
      </c>
    </row>
    <row r="81" spans="1:6" ht="15.75">
      <c r="A81" s="204" t="s">
        <v>259</v>
      </c>
      <c r="B81" s="207" t="s">
        <v>260</v>
      </c>
      <c r="C81" s="284">
        <v>9226.33411</v>
      </c>
      <c r="D81" s="284">
        <v>2927.79901</v>
      </c>
      <c r="E81" s="206">
        <f t="shared" si="5"/>
        <v>31.733069441162915</v>
      </c>
      <c r="F81" s="206">
        <f t="shared" si="4"/>
        <v>-6298.535099999999</v>
      </c>
    </row>
    <row r="82" spans="1:6" s="140" customFormat="1" ht="15.75">
      <c r="A82" s="201" t="s">
        <v>47</v>
      </c>
      <c r="B82" s="202" t="s">
        <v>275</v>
      </c>
      <c r="C82" s="282">
        <f>C83</f>
        <v>1975.523</v>
      </c>
      <c r="D82" s="282">
        <f>SUM(D83)</f>
        <v>1624.90241</v>
      </c>
      <c r="E82" s="203">
        <f t="shared" si="5"/>
        <v>82.2517586482162</v>
      </c>
      <c r="F82" s="203">
        <f t="shared" si="4"/>
        <v>-350.62059</v>
      </c>
    </row>
    <row r="83" spans="1:6" ht="18.75" customHeight="1">
      <c r="A83" s="204" t="s">
        <v>276</v>
      </c>
      <c r="B83" s="207" t="s">
        <v>277</v>
      </c>
      <c r="C83" s="284">
        <v>1975.523</v>
      </c>
      <c r="D83" s="284">
        <v>1624.90241</v>
      </c>
      <c r="E83" s="206">
        <f t="shared" si="5"/>
        <v>82.2517586482162</v>
      </c>
      <c r="F83" s="206">
        <f t="shared" si="4"/>
        <v>-350.62059</v>
      </c>
    </row>
    <row r="84" spans="1:6" s="140" customFormat="1" ht="0.75" customHeight="1" hidden="1">
      <c r="A84" s="219">
        <v>1000</v>
      </c>
      <c r="B84" s="202" t="s">
        <v>280</v>
      </c>
      <c r="C84" s="282">
        <f>SUM(C85:C88)</f>
        <v>0</v>
      </c>
      <c r="D84" s="282">
        <f>SUM(D85:D88)</f>
        <v>0</v>
      </c>
      <c r="E84" s="203" t="e">
        <f t="shared" si="5"/>
        <v>#DIV/0!</v>
      </c>
      <c r="F84" s="203">
        <f t="shared" si="4"/>
        <v>0</v>
      </c>
    </row>
    <row r="85" spans="1:6" ht="15" customHeight="1" hidden="1">
      <c r="A85" s="220">
        <v>1001</v>
      </c>
      <c r="B85" s="221" t="s">
        <v>281</v>
      </c>
      <c r="C85" s="284"/>
      <c r="D85" s="284"/>
      <c r="E85" s="206" t="e">
        <f t="shared" si="5"/>
        <v>#DIV/0!</v>
      </c>
      <c r="F85" s="206">
        <f t="shared" si="4"/>
        <v>0</v>
      </c>
    </row>
    <row r="86" spans="1:6" ht="14.25" customHeight="1" hidden="1">
      <c r="A86" s="220">
        <v>1003</v>
      </c>
      <c r="B86" s="221" t="s">
        <v>282</v>
      </c>
      <c r="C86" s="284">
        <v>0</v>
      </c>
      <c r="D86" s="284">
        <v>0</v>
      </c>
      <c r="E86" s="206" t="e">
        <f t="shared" si="5"/>
        <v>#DIV/0!</v>
      </c>
      <c r="F86" s="206">
        <f t="shared" si="4"/>
        <v>0</v>
      </c>
    </row>
    <row r="87" spans="1:6" ht="1.5" customHeight="1" hidden="1">
      <c r="A87" s="220">
        <v>1004</v>
      </c>
      <c r="B87" s="221" t="s">
        <v>283</v>
      </c>
      <c r="C87" s="284"/>
      <c r="D87" s="286"/>
      <c r="E87" s="206" t="e">
        <f t="shared" si="5"/>
        <v>#DIV/0!</v>
      </c>
      <c r="F87" s="206">
        <f t="shared" si="4"/>
        <v>0</v>
      </c>
    </row>
    <row r="88" spans="1:6" ht="10.5" customHeight="1" hidden="1">
      <c r="A88" s="204" t="s">
        <v>284</v>
      </c>
      <c r="B88" s="207" t="s">
        <v>285</v>
      </c>
      <c r="C88" s="284"/>
      <c r="D88" s="284"/>
      <c r="E88" s="206"/>
      <c r="F88" s="206">
        <f t="shared" si="4"/>
        <v>0</v>
      </c>
    </row>
    <row r="89" spans="1:6" ht="15.75">
      <c r="A89" s="201" t="s">
        <v>51</v>
      </c>
      <c r="B89" s="202" t="s">
        <v>286</v>
      </c>
      <c r="C89" s="282">
        <f>C90+C91+C92+C93+C94</f>
        <v>12</v>
      </c>
      <c r="D89" s="282">
        <f>D90+D91+D92+D93+D94</f>
        <v>12</v>
      </c>
      <c r="E89" s="206">
        <f aca="true" t="shared" si="6" ref="E89:E99">SUM(D89/C89*100)</f>
        <v>100</v>
      </c>
      <c r="F89" s="191">
        <f>F90+F91+F92+F93+F94</f>
        <v>0</v>
      </c>
    </row>
    <row r="90" spans="1:6" ht="17.25" customHeight="1">
      <c r="A90" s="204" t="s">
        <v>287</v>
      </c>
      <c r="B90" s="207" t="s">
        <v>288</v>
      </c>
      <c r="C90" s="284">
        <v>12</v>
      </c>
      <c r="D90" s="284">
        <v>12</v>
      </c>
      <c r="E90" s="206">
        <f t="shared" si="6"/>
        <v>100</v>
      </c>
      <c r="F90" s="206">
        <f>SUM(D90-C90)</f>
        <v>0</v>
      </c>
    </row>
    <row r="91" spans="1:6" ht="15.75" customHeight="1" hidden="1">
      <c r="A91" s="204" t="s">
        <v>289</v>
      </c>
      <c r="B91" s="207" t="s">
        <v>290</v>
      </c>
      <c r="C91" s="284"/>
      <c r="D91" s="284"/>
      <c r="E91" s="206" t="e">
        <f t="shared" si="6"/>
        <v>#DIV/0!</v>
      </c>
      <c r="F91" s="206">
        <f>SUM(D91-C91)</f>
        <v>0</v>
      </c>
    </row>
    <row r="92" spans="1:6" ht="15.75" customHeight="1" hidden="1">
      <c r="A92" s="204" t="s">
        <v>291</v>
      </c>
      <c r="B92" s="207" t="s">
        <v>292</v>
      </c>
      <c r="C92" s="284"/>
      <c r="D92" s="284"/>
      <c r="E92" s="206" t="e">
        <f t="shared" si="6"/>
        <v>#DIV/0!</v>
      </c>
      <c r="F92" s="206"/>
    </row>
    <row r="93" spans="1:6" ht="15.75" customHeight="1" hidden="1">
      <c r="A93" s="204" t="s">
        <v>293</v>
      </c>
      <c r="B93" s="207" t="s">
        <v>294</v>
      </c>
      <c r="C93" s="284"/>
      <c r="D93" s="284"/>
      <c r="E93" s="206" t="e">
        <f t="shared" si="6"/>
        <v>#DIV/0!</v>
      </c>
      <c r="F93" s="206"/>
    </row>
    <row r="94" spans="1:6" ht="15.75" customHeight="1" hidden="1">
      <c r="A94" s="204" t="s">
        <v>295</v>
      </c>
      <c r="B94" s="207" t="s">
        <v>296</v>
      </c>
      <c r="C94" s="284"/>
      <c r="D94" s="284"/>
      <c r="E94" s="206" t="e">
        <f t="shared" si="6"/>
        <v>#DIV/0!</v>
      </c>
      <c r="F94" s="206"/>
    </row>
    <row r="95" spans="1:6" s="140" customFormat="1" ht="15.75" customHeight="1" hidden="1">
      <c r="A95" s="219">
        <v>1400</v>
      </c>
      <c r="B95" s="223" t="s">
        <v>303</v>
      </c>
      <c r="C95" s="252">
        <f>C96+C97+C98</f>
        <v>0</v>
      </c>
      <c r="D95" s="252">
        <f>SUM(D96:D98)</f>
        <v>0</v>
      </c>
      <c r="E95" s="203" t="e">
        <f t="shared" si="6"/>
        <v>#DIV/0!</v>
      </c>
      <c r="F95" s="203">
        <f>SUM(D95-C95)</f>
        <v>0</v>
      </c>
    </row>
    <row r="96" spans="1:6" ht="15.75" hidden="1">
      <c r="A96" s="220">
        <v>1401</v>
      </c>
      <c r="B96" s="221" t="s">
        <v>304</v>
      </c>
      <c r="C96" s="285"/>
      <c r="D96" s="284"/>
      <c r="E96" s="206" t="e">
        <f t="shared" si="6"/>
        <v>#DIV/0!</v>
      </c>
      <c r="F96" s="206">
        <f>SUM(D96-C96)</f>
        <v>0</v>
      </c>
    </row>
    <row r="97" spans="1:6" ht="15.75" hidden="1">
      <c r="A97" s="220">
        <v>1402</v>
      </c>
      <c r="B97" s="221" t="s">
        <v>305</v>
      </c>
      <c r="C97" s="285"/>
      <c r="D97" s="284"/>
      <c r="E97" s="206" t="e">
        <f t="shared" si="6"/>
        <v>#DIV/0!</v>
      </c>
      <c r="F97" s="206">
        <f>SUM(D97-C97)</f>
        <v>0</v>
      </c>
    </row>
    <row r="98" spans="1:6" ht="16.5" customHeight="1" hidden="1">
      <c r="A98" s="220">
        <v>1403</v>
      </c>
      <c r="B98" s="221" t="s">
        <v>306</v>
      </c>
      <c r="C98" s="285">
        <v>0</v>
      </c>
      <c r="D98" s="284">
        <v>0</v>
      </c>
      <c r="E98" s="206" t="e">
        <f t="shared" si="6"/>
        <v>#DIV/0!</v>
      </c>
      <c r="F98" s="206">
        <f>SUM(D98-C98)</f>
        <v>0</v>
      </c>
    </row>
    <row r="99" spans="1:8" s="140" customFormat="1" ht="20.25" customHeight="1">
      <c r="A99" s="219"/>
      <c r="B99" s="224" t="s">
        <v>307</v>
      </c>
      <c r="C99" s="311">
        <f>C57+C65+C67+C73+C78+C82+C84+C89+C95</f>
        <v>18127.1709</v>
      </c>
      <c r="D99" s="311">
        <f>D57+D65+D67+D73+D78+D82+D84+D89+D95</f>
        <v>10575.36305</v>
      </c>
      <c r="E99" s="203">
        <f t="shared" si="6"/>
        <v>58.33984303640012</v>
      </c>
      <c r="F99" s="203">
        <f>SUM(D99-C99)</f>
        <v>-7551.807850000001</v>
      </c>
      <c r="G99" s="187"/>
      <c r="H99" s="281"/>
    </row>
    <row r="100" spans="3:4" ht="13.5" customHeight="1">
      <c r="C100" s="340"/>
      <c r="D100" s="253"/>
    </row>
    <row r="101" spans="1:4" s="144" customFormat="1" ht="12.75">
      <c r="A101" s="229" t="s">
        <v>308</v>
      </c>
      <c r="B101" s="229"/>
      <c r="C101" s="299"/>
      <c r="D101" s="299"/>
    </row>
    <row r="102" spans="1:3" s="144" customFormat="1" ht="12.75">
      <c r="A102" s="231" t="s">
        <v>309</v>
      </c>
      <c r="B102" s="231"/>
      <c r="C102" s="298" t="s">
        <v>310</v>
      </c>
    </row>
    <row r="104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70" zoomScaleSheetLayoutView="70" zoomScalePageLayoutView="0" workbookViewId="0" topLeftCell="A12">
      <selection activeCell="D96" sqref="D96"/>
    </sheetView>
  </sheetViews>
  <sheetFormatPr defaultColWidth="9.140625" defaultRowHeight="12.75"/>
  <cols>
    <col min="1" max="1" width="14.7109375" style="136" customWidth="1"/>
    <col min="2" max="2" width="58.8515625" style="137" customWidth="1"/>
    <col min="3" max="3" width="19.421875" style="138" customWidth="1"/>
    <col min="4" max="4" width="17.00390625" style="138" customWidth="1"/>
    <col min="5" max="5" width="10.8515625" style="138" customWidth="1"/>
    <col min="6" max="6" width="13.7109375" style="138" customWidth="1"/>
    <col min="7" max="7" width="15.421875" style="139" customWidth="1"/>
    <col min="8" max="16384" width="9.140625" style="139" customWidth="1"/>
  </cols>
  <sheetData>
    <row r="1" spans="1:6" ht="19.5" customHeight="1">
      <c r="A1" s="468" t="s">
        <v>440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47.25" customHeight="1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7.25" customHeight="1">
      <c r="A4" s="149"/>
      <c r="B4" s="150" t="s">
        <v>7</v>
      </c>
      <c r="C4" s="151">
        <f>C5+C12+C14+C17+C7</f>
        <v>1909.85</v>
      </c>
      <c r="D4" s="151">
        <f>D5+D12+D14+D17+D7</f>
        <v>1222.3480399999999</v>
      </c>
      <c r="E4" s="151">
        <f aca="true" t="shared" si="0" ref="E4:E36">SUM(D4/C4*100)</f>
        <v>64.00230594025709</v>
      </c>
      <c r="F4" s="151">
        <f aca="true" t="shared" si="1" ref="F4:F36">SUM(D4-C4)</f>
        <v>-687.50196</v>
      </c>
    </row>
    <row r="5" spans="1:6" s="140" customFormat="1" ht="15.75">
      <c r="A5" s="149">
        <v>1010000000</v>
      </c>
      <c r="B5" s="150" t="s">
        <v>146</v>
      </c>
      <c r="C5" s="151">
        <f>C6</f>
        <v>117.6</v>
      </c>
      <c r="D5" s="151">
        <f>D6</f>
        <v>104.61549</v>
      </c>
      <c r="E5" s="151">
        <f t="shared" si="0"/>
        <v>88.95875</v>
      </c>
      <c r="F5" s="151">
        <f t="shared" si="1"/>
        <v>-12.98451</v>
      </c>
    </row>
    <row r="6" spans="1:6" ht="15.75">
      <c r="A6" s="154">
        <v>1010200001</v>
      </c>
      <c r="B6" s="155" t="s">
        <v>147</v>
      </c>
      <c r="C6" s="156">
        <v>117.6</v>
      </c>
      <c r="D6" s="157">
        <v>104.61549</v>
      </c>
      <c r="E6" s="156">
        <f t="shared" si="0"/>
        <v>88.95875</v>
      </c>
      <c r="F6" s="156">
        <f t="shared" si="1"/>
        <v>-12.98451</v>
      </c>
    </row>
    <row r="7" spans="1:6" ht="31.5">
      <c r="A7" s="149">
        <v>1030000000</v>
      </c>
      <c r="B7" s="158" t="s">
        <v>148</v>
      </c>
      <c r="C7" s="151">
        <f>C8+C10+C9</f>
        <v>477.25</v>
      </c>
      <c r="D7" s="151">
        <f>D8+D10+D9+D11</f>
        <v>488.53387999999995</v>
      </c>
      <c r="E7" s="151">
        <f t="shared" si="0"/>
        <v>102.36435411210056</v>
      </c>
      <c r="F7" s="151">
        <f t="shared" si="1"/>
        <v>11.283879999999954</v>
      </c>
    </row>
    <row r="8" spans="1:6" ht="15.75">
      <c r="A8" s="154">
        <v>1030223001</v>
      </c>
      <c r="B8" s="155" t="s">
        <v>149</v>
      </c>
      <c r="C8" s="156">
        <v>178.01</v>
      </c>
      <c r="D8" s="157">
        <v>223.9232</v>
      </c>
      <c r="E8" s="156">
        <f t="shared" si="0"/>
        <v>125.79248356833888</v>
      </c>
      <c r="F8" s="156">
        <f t="shared" si="1"/>
        <v>45.91320000000002</v>
      </c>
    </row>
    <row r="9" spans="1:6" ht="15.75">
      <c r="A9" s="154">
        <v>1030224001</v>
      </c>
      <c r="B9" s="155" t="s">
        <v>150</v>
      </c>
      <c r="C9" s="156">
        <v>1.91</v>
      </c>
      <c r="D9" s="157">
        <v>1.58832</v>
      </c>
      <c r="E9" s="156">
        <f t="shared" si="0"/>
        <v>83.15811518324607</v>
      </c>
      <c r="F9" s="156">
        <f t="shared" si="1"/>
        <v>-0.32167999999999997</v>
      </c>
    </row>
    <row r="10" spans="1:6" ht="15.75">
      <c r="A10" s="154">
        <v>1030225001</v>
      </c>
      <c r="B10" s="155" t="s">
        <v>151</v>
      </c>
      <c r="C10" s="156">
        <v>297.33</v>
      </c>
      <c r="D10" s="157">
        <v>300.9627</v>
      </c>
      <c r="E10" s="156">
        <f t="shared" si="0"/>
        <v>101.22177378670165</v>
      </c>
      <c r="F10" s="156">
        <f t="shared" si="1"/>
        <v>3.6327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-37.94034</v>
      </c>
      <c r="E11" s="156" t="e">
        <f t="shared" si="0"/>
        <v>#DIV/0!</v>
      </c>
      <c r="F11" s="156">
        <f t="shared" si="1"/>
        <v>-37.94034</v>
      </c>
    </row>
    <row r="12" spans="1:6" s="140" customFormat="1" ht="15.75">
      <c r="A12" s="149">
        <v>1050000000</v>
      </c>
      <c r="B12" s="150" t="s">
        <v>153</v>
      </c>
      <c r="C12" s="151">
        <f>SUM(C13:C13)</f>
        <v>10</v>
      </c>
      <c r="D12" s="151">
        <f>SUM(D13:D13)</f>
        <v>0.26730000000000004</v>
      </c>
      <c r="E12" s="151">
        <f t="shared" si="0"/>
        <v>2.6730000000000005</v>
      </c>
      <c r="F12" s="151">
        <f t="shared" si="1"/>
        <v>-9.7327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0.26730000000000004</v>
      </c>
      <c r="E13" s="156">
        <f t="shared" si="0"/>
        <v>2.6730000000000005</v>
      </c>
      <c r="F13" s="156">
        <f t="shared" si="1"/>
        <v>-9.7327</v>
      </c>
    </row>
    <row r="14" spans="1:6" s="140" customFormat="1" ht="15.75" customHeight="1">
      <c r="A14" s="149">
        <v>1060000000</v>
      </c>
      <c r="B14" s="150" t="s">
        <v>158</v>
      </c>
      <c r="C14" s="151">
        <f>C15+C16</f>
        <v>1300</v>
      </c>
      <c r="D14" s="151">
        <f>D15+D16</f>
        <v>625.53137</v>
      </c>
      <c r="E14" s="151">
        <f t="shared" si="0"/>
        <v>48.1177976923077</v>
      </c>
      <c r="F14" s="151">
        <f t="shared" si="1"/>
        <v>-674.46863</v>
      </c>
    </row>
    <row r="15" spans="1:6" s="140" customFormat="1" ht="15.75" customHeight="1">
      <c r="A15" s="154">
        <v>1060100000</v>
      </c>
      <c r="B15" s="159" t="s">
        <v>159</v>
      </c>
      <c r="C15" s="156">
        <v>380</v>
      </c>
      <c r="D15" s="157">
        <v>88.53191</v>
      </c>
      <c r="E15" s="156">
        <f t="shared" si="0"/>
        <v>23.297871052631578</v>
      </c>
      <c r="F15" s="156">
        <f t="shared" si="1"/>
        <v>-291.46809</v>
      </c>
    </row>
    <row r="16" spans="1:6" ht="15.75" customHeight="1">
      <c r="A16" s="154">
        <v>1060600000</v>
      </c>
      <c r="B16" s="159" t="s">
        <v>162</v>
      </c>
      <c r="C16" s="156">
        <v>920</v>
      </c>
      <c r="D16" s="157">
        <v>536.99946</v>
      </c>
      <c r="E16" s="156">
        <f t="shared" si="0"/>
        <v>58.36950652173913</v>
      </c>
      <c r="F16" s="156">
        <f t="shared" si="1"/>
        <v>-383.00054</v>
      </c>
    </row>
    <row r="17" spans="1:6" s="140" customFormat="1" ht="15.75">
      <c r="A17" s="149">
        <v>1080000000</v>
      </c>
      <c r="B17" s="150" t="s">
        <v>165</v>
      </c>
      <c r="C17" s="151">
        <f>C18</f>
        <v>5</v>
      </c>
      <c r="D17" s="151">
        <f>D18</f>
        <v>3.4</v>
      </c>
      <c r="E17" s="151">
        <f t="shared" si="0"/>
        <v>68</v>
      </c>
      <c r="F17" s="151">
        <f t="shared" si="1"/>
        <v>-1.6</v>
      </c>
    </row>
    <row r="18" spans="1:6" ht="15.75">
      <c r="A18" s="154">
        <v>1080400001</v>
      </c>
      <c r="B18" s="155" t="s">
        <v>167</v>
      </c>
      <c r="C18" s="156">
        <v>5</v>
      </c>
      <c r="D18" s="157">
        <v>3.4</v>
      </c>
      <c r="E18" s="156">
        <f t="shared" si="0"/>
        <v>68</v>
      </c>
      <c r="F18" s="156">
        <f t="shared" si="1"/>
        <v>-1.6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1.5" hidden="1">
      <c r="A20" s="149">
        <v>1090000000</v>
      </c>
      <c r="B20" s="158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C26+C29+C31+C34</f>
        <v>400</v>
      </c>
      <c r="D25" s="151">
        <f>D26+D29+D31+D34+D36</f>
        <v>459.78663</v>
      </c>
      <c r="E25" s="151">
        <f t="shared" si="0"/>
        <v>114.94665749999999</v>
      </c>
      <c r="F25" s="151">
        <f t="shared" si="1"/>
        <v>59.78663</v>
      </c>
    </row>
    <row r="26" spans="1:6" s="140" customFormat="1" ht="32.25" customHeight="1">
      <c r="A26" s="149">
        <v>1110000000</v>
      </c>
      <c r="B26" s="158" t="s">
        <v>174</v>
      </c>
      <c r="C26" s="151">
        <f>C27+C28</f>
        <v>400</v>
      </c>
      <c r="D26" s="151">
        <f>D27</f>
        <v>459.48143</v>
      </c>
      <c r="E26" s="151">
        <f t="shared" si="0"/>
        <v>114.87035749999998</v>
      </c>
      <c r="F26" s="151">
        <f t="shared" si="1"/>
        <v>59.48142999999999</v>
      </c>
    </row>
    <row r="27" spans="1:6" ht="15" customHeight="1">
      <c r="A27" s="163">
        <v>1110502510</v>
      </c>
      <c r="B27" s="164" t="s">
        <v>177</v>
      </c>
      <c r="C27" s="160">
        <v>400</v>
      </c>
      <c r="D27" s="157">
        <v>459.48143</v>
      </c>
      <c r="E27" s="151">
        <f t="shared" si="0"/>
        <v>114.87035749999998</v>
      </c>
      <c r="F27" s="156">
        <f t="shared" si="1"/>
        <v>59.48142999999999</v>
      </c>
    </row>
    <row r="28" spans="1:6" ht="19.5" customHeight="1" hidden="1">
      <c r="A28" s="154">
        <v>1110503505</v>
      </c>
      <c r="B28" s="159" t="s">
        <v>178</v>
      </c>
      <c r="C28" s="160">
        <v>0</v>
      </c>
      <c r="D28" s="157"/>
      <c r="E28" s="156" t="e">
        <f t="shared" si="0"/>
        <v>#DIV/0!</v>
      </c>
      <c r="F28" s="156">
        <f t="shared" si="1"/>
        <v>0</v>
      </c>
    </row>
    <row r="29" spans="1:6" s="141" customFormat="1" ht="31.5" hidden="1">
      <c r="A29" s="149">
        <v>1130000000</v>
      </c>
      <c r="B29" s="158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15.75" hidden="1">
      <c r="A30" s="154">
        <v>1130305005</v>
      </c>
      <c r="B30" s="155" t="s">
        <v>187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33" customHeight="1" hidden="1">
      <c r="A31" s="341">
        <v>1140000000</v>
      </c>
      <c r="B31" s="342" t="s">
        <v>188</v>
      </c>
      <c r="C31" s="151">
        <f>C33+C32</f>
        <v>0</v>
      </c>
      <c r="D31" s="151">
        <f>D33+D32</f>
        <v>0</v>
      </c>
      <c r="E31" s="151" t="e">
        <f t="shared" si="0"/>
        <v>#DIV/0!</v>
      </c>
      <c r="F31" s="151">
        <f t="shared" si="1"/>
        <v>0</v>
      </c>
    </row>
    <row r="32" spans="1:6" ht="14.25" customHeight="1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3.5" customHeight="1" hidden="1">
      <c r="A33" s="154">
        <v>1140600000</v>
      </c>
      <c r="B33" s="155" t="s">
        <v>190</v>
      </c>
      <c r="C33" s="156"/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8.75" customHeight="1">
      <c r="A34" s="149">
        <v>1160000000</v>
      </c>
      <c r="B34" s="158" t="s">
        <v>325</v>
      </c>
      <c r="C34" s="151">
        <f>C35+C36</f>
        <v>0</v>
      </c>
      <c r="D34" s="151">
        <f>SUM(D35)</f>
        <v>0.3052</v>
      </c>
      <c r="E34" s="151" t="e">
        <f t="shared" si="0"/>
        <v>#DIV/0!</v>
      </c>
      <c r="F34" s="151">
        <f t="shared" si="1"/>
        <v>0.3052</v>
      </c>
    </row>
    <row r="35" spans="1:6" ht="30.75" customHeight="1">
      <c r="A35" s="154">
        <v>1160701010</v>
      </c>
      <c r="B35" s="155" t="s">
        <v>354</v>
      </c>
      <c r="C35" s="156">
        <v>0</v>
      </c>
      <c r="D35" s="156">
        <v>0.3052</v>
      </c>
      <c r="E35" s="156" t="e">
        <f t="shared" si="0"/>
        <v>#DIV/0!</v>
      </c>
      <c r="F35" s="156">
        <f t="shared" si="1"/>
        <v>0.3052</v>
      </c>
    </row>
    <row r="36" spans="1:6" ht="18" customHeight="1">
      <c r="A36" s="149">
        <v>1170000000</v>
      </c>
      <c r="B36" s="343" t="s">
        <v>200</v>
      </c>
      <c r="C36" s="151">
        <v>0</v>
      </c>
      <c r="D36" s="162">
        <f>SUM(D37)</f>
        <v>0</v>
      </c>
      <c r="E36" s="151" t="e">
        <f t="shared" si="0"/>
        <v>#DIV/0!</v>
      </c>
      <c r="F36" s="151">
        <f t="shared" si="1"/>
        <v>0</v>
      </c>
    </row>
    <row r="37" spans="1:6" ht="18" customHeight="1">
      <c r="A37" s="154">
        <v>1170100000</v>
      </c>
      <c r="B37" s="344" t="s">
        <v>372</v>
      </c>
      <c r="C37" s="156"/>
      <c r="D37" s="157"/>
      <c r="E37" s="156"/>
      <c r="F37" s="156"/>
    </row>
    <row r="38" spans="1:6" s="140" customFormat="1" ht="15" customHeight="1">
      <c r="A38" s="149">
        <v>1000000000</v>
      </c>
      <c r="B38" s="150" t="s">
        <v>26</v>
      </c>
      <c r="C38" s="169">
        <f>SUM(C4,C25)</f>
        <v>2309.85</v>
      </c>
      <c r="D38" s="169">
        <f>D4+D25</f>
        <v>1682.13467</v>
      </c>
      <c r="E38" s="151">
        <f aca="true" t="shared" si="2" ref="E38:E46">SUM(D38/C38*100)</f>
        <v>72.82441154187501</v>
      </c>
      <c r="F38" s="151">
        <f aca="true" t="shared" si="3" ref="F38:F49">SUM(D38-C38)</f>
        <v>-627.71533</v>
      </c>
    </row>
    <row r="39" spans="1:7" s="140" customFormat="1" ht="15.75">
      <c r="A39" s="149">
        <v>2000000000</v>
      </c>
      <c r="B39" s="150" t="s">
        <v>201</v>
      </c>
      <c r="C39" s="151">
        <f>C40+C42+C43+C45+C46+C47+C41</f>
        <v>2585.8079999999995</v>
      </c>
      <c r="D39" s="241">
        <f>D40+D42+D43+D45+D46+D47+D41</f>
        <v>1997.7094199999997</v>
      </c>
      <c r="E39" s="151">
        <f t="shared" si="2"/>
        <v>77.25668031037107</v>
      </c>
      <c r="F39" s="151">
        <f t="shared" si="3"/>
        <v>-588.0985799999999</v>
      </c>
      <c r="G39" s="171"/>
    </row>
    <row r="40" spans="1:6" ht="15.75">
      <c r="A40" s="163">
        <v>2021000000</v>
      </c>
      <c r="B40" s="164" t="s">
        <v>202</v>
      </c>
      <c r="C40" s="160">
        <v>1658.6</v>
      </c>
      <c r="D40" s="325">
        <v>1520.398</v>
      </c>
      <c r="E40" s="156">
        <f t="shared" si="2"/>
        <v>91.66755094658146</v>
      </c>
      <c r="F40" s="156">
        <f t="shared" si="3"/>
        <v>-138.202</v>
      </c>
    </row>
    <row r="41" spans="1:6" ht="15.75" customHeight="1">
      <c r="A41" s="163">
        <v>2021500200</v>
      </c>
      <c r="B41" s="164" t="s">
        <v>205</v>
      </c>
      <c r="C41" s="160"/>
      <c r="D41" s="173">
        <v>0</v>
      </c>
      <c r="E41" s="156" t="e">
        <f t="shared" si="2"/>
        <v>#DIV/0!</v>
      </c>
      <c r="F41" s="156">
        <f t="shared" si="3"/>
        <v>0</v>
      </c>
    </row>
    <row r="42" spans="1:6" ht="15.75">
      <c r="A42" s="163">
        <v>2022000000</v>
      </c>
      <c r="B42" s="164" t="s">
        <v>206</v>
      </c>
      <c r="C42" s="160">
        <v>637.37</v>
      </c>
      <c r="D42" s="157">
        <v>242.032</v>
      </c>
      <c r="E42" s="156">
        <f t="shared" si="2"/>
        <v>37.973547546950755</v>
      </c>
      <c r="F42" s="156">
        <f t="shared" si="3"/>
        <v>-395.33799999999997</v>
      </c>
    </row>
    <row r="43" spans="1:6" ht="13.5" customHeight="1">
      <c r="A43" s="163">
        <v>2023000000</v>
      </c>
      <c r="B43" s="164" t="s">
        <v>207</v>
      </c>
      <c r="C43" s="160">
        <v>103.383</v>
      </c>
      <c r="D43" s="175">
        <v>94.3723</v>
      </c>
      <c r="E43" s="156">
        <f t="shared" si="2"/>
        <v>91.28415696971456</v>
      </c>
      <c r="F43" s="156">
        <f t="shared" si="3"/>
        <v>-9.0107</v>
      </c>
    </row>
    <row r="44" spans="1:6" ht="15.75" hidden="1">
      <c r="A44" s="163">
        <v>2070503010</v>
      </c>
      <c r="B44" s="164" t="s">
        <v>104</v>
      </c>
      <c r="C44" s="160">
        <v>0</v>
      </c>
      <c r="D44" s="175">
        <v>0</v>
      </c>
      <c r="E44" s="156" t="e">
        <f t="shared" si="2"/>
        <v>#DIV/0!</v>
      </c>
      <c r="F44" s="156">
        <f t="shared" si="3"/>
        <v>0</v>
      </c>
    </row>
    <row r="45" spans="1:6" ht="19.5" customHeight="1">
      <c r="A45" s="163">
        <v>2020400000</v>
      </c>
      <c r="B45" s="164" t="s">
        <v>102</v>
      </c>
      <c r="C45" s="160">
        <v>186.455</v>
      </c>
      <c r="D45" s="176">
        <v>143.704</v>
      </c>
      <c r="E45" s="156">
        <f t="shared" si="2"/>
        <v>77.07167949371161</v>
      </c>
      <c r="F45" s="156">
        <f t="shared" si="3"/>
        <v>-42.751000000000005</v>
      </c>
    </row>
    <row r="46" spans="1:8" ht="18" customHeight="1">
      <c r="A46" s="163">
        <v>2070000000</v>
      </c>
      <c r="B46" s="167" t="s">
        <v>344</v>
      </c>
      <c r="C46" s="160">
        <v>0</v>
      </c>
      <c r="D46" s="176">
        <v>0</v>
      </c>
      <c r="E46" s="156" t="e">
        <f t="shared" si="2"/>
        <v>#DIV/0!</v>
      </c>
      <c r="F46" s="156">
        <f t="shared" si="3"/>
        <v>0</v>
      </c>
      <c r="G46" s="314"/>
      <c r="H46" s="314"/>
    </row>
    <row r="47" spans="1:6" ht="15" customHeight="1">
      <c r="A47" s="154">
        <v>2190500005</v>
      </c>
      <c r="B47" s="159" t="s">
        <v>209</v>
      </c>
      <c r="C47" s="162"/>
      <c r="D47" s="162">
        <v>-2.79688</v>
      </c>
      <c r="E47" s="151"/>
      <c r="F47" s="151">
        <f t="shared" si="3"/>
        <v>-2.79688</v>
      </c>
    </row>
    <row r="48" spans="1:6" s="140" customFormat="1" ht="15.75" customHeight="1">
      <c r="A48" s="149">
        <v>3000000000</v>
      </c>
      <c r="B48" s="158" t="s">
        <v>210</v>
      </c>
      <c r="C48" s="261">
        <v>0</v>
      </c>
      <c r="D48" s="162">
        <v>0</v>
      </c>
      <c r="E48" s="151" t="e">
        <f>SUM(D48/C48*100)</f>
        <v>#DIV/0!</v>
      </c>
      <c r="F48" s="151">
        <f t="shared" si="3"/>
        <v>0</v>
      </c>
    </row>
    <row r="49" spans="1:8" s="140" customFormat="1" ht="15" customHeight="1">
      <c r="A49" s="149"/>
      <c r="B49" s="150" t="s">
        <v>211</v>
      </c>
      <c r="C49" s="345">
        <f>SUM(C38,C39,C48)</f>
        <v>4895.657999999999</v>
      </c>
      <c r="D49" s="280">
        <f>D38+D39</f>
        <v>3679.8440899999996</v>
      </c>
      <c r="E49" s="151">
        <f>SUM(D49/C49*100)</f>
        <v>75.1654647853261</v>
      </c>
      <c r="F49" s="151">
        <f t="shared" si="3"/>
        <v>-1215.8139099999999</v>
      </c>
      <c r="G49" s="187"/>
      <c r="H49" s="187"/>
    </row>
    <row r="50" spans="1:6" s="140" customFormat="1" ht="15.75">
      <c r="A50" s="149"/>
      <c r="B50" s="189" t="s">
        <v>212</v>
      </c>
      <c r="C50" s="289">
        <f>C49-C96</f>
        <v>-376.43935000000056</v>
      </c>
      <c r="D50" s="289">
        <f>D49-D96</f>
        <v>693.2729599999998</v>
      </c>
      <c r="E50" s="191"/>
      <c r="F50" s="191"/>
    </row>
    <row r="51" spans="1:6" ht="8.25" customHeight="1">
      <c r="A51" s="192"/>
      <c r="B51" s="193"/>
      <c r="C51" s="283"/>
      <c r="D51" s="283"/>
      <c r="E51" s="195"/>
      <c r="F51" s="244"/>
    </row>
    <row r="52" spans="1:6" ht="50.25" customHeight="1">
      <c r="A52" s="197" t="s">
        <v>141</v>
      </c>
      <c r="B52" s="197" t="s">
        <v>213</v>
      </c>
      <c r="C52" s="146" t="s">
        <v>143</v>
      </c>
      <c r="D52" s="147" t="s">
        <v>424</v>
      </c>
      <c r="E52" s="146" t="s">
        <v>144</v>
      </c>
      <c r="F52" s="148" t="s">
        <v>145</v>
      </c>
    </row>
    <row r="53" spans="1:6" ht="18" customHeight="1">
      <c r="A53" s="246">
        <v>1</v>
      </c>
      <c r="B53" s="197">
        <v>2</v>
      </c>
      <c r="C53" s="200">
        <v>3</v>
      </c>
      <c r="D53" s="200">
        <v>4</v>
      </c>
      <c r="E53" s="200">
        <v>5</v>
      </c>
      <c r="F53" s="200">
        <v>6</v>
      </c>
    </row>
    <row r="54" spans="1:6" s="140" customFormat="1" ht="15.75">
      <c r="A54" s="201" t="s">
        <v>33</v>
      </c>
      <c r="B54" s="202" t="s">
        <v>214</v>
      </c>
      <c r="C54" s="282">
        <f>C55+C56+C57+C58+C59+C61+C60</f>
        <v>1528.036</v>
      </c>
      <c r="D54" s="282">
        <f>D55+D56+D57+D58+D59+D61+D60</f>
        <v>1224.9087700000002</v>
      </c>
      <c r="E54" s="203">
        <f>SUM(D54/C54*100)</f>
        <v>80.16229787779871</v>
      </c>
      <c r="F54" s="203">
        <f>SUM(D54-C54)</f>
        <v>-303.1272299999998</v>
      </c>
    </row>
    <row r="55" spans="1:6" s="140" customFormat="1" ht="31.5" hidden="1">
      <c r="A55" s="204" t="s">
        <v>215</v>
      </c>
      <c r="B55" s="205" t="s">
        <v>216</v>
      </c>
      <c r="C55" s="284"/>
      <c r="D55" s="284"/>
      <c r="E55" s="206"/>
      <c r="F55" s="206"/>
    </row>
    <row r="56" spans="1:6" ht="17.25" customHeight="1">
      <c r="A56" s="204" t="s">
        <v>217</v>
      </c>
      <c r="B56" s="207" t="s">
        <v>218</v>
      </c>
      <c r="C56" s="284">
        <v>1445.5</v>
      </c>
      <c r="D56" s="284">
        <v>1196.25277</v>
      </c>
      <c r="E56" s="206">
        <f>SUM(D56/C56*100)</f>
        <v>82.75702317537184</v>
      </c>
      <c r="F56" s="206">
        <f aca="true" t="shared" si="4" ref="F56:F68">SUM(D56-C56)</f>
        <v>-249.24722999999994</v>
      </c>
    </row>
    <row r="57" spans="1:6" ht="16.5" customHeight="1" hidden="1">
      <c r="A57" s="204" t="s">
        <v>219</v>
      </c>
      <c r="B57" s="207" t="s">
        <v>220</v>
      </c>
      <c r="C57" s="284"/>
      <c r="D57" s="284"/>
      <c r="E57" s="206"/>
      <c r="F57" s="206">
        <f t="shared" si="4"/>
        <v>0</v>
      </c>
    </row>
    <row r="58" spans="1:6" ht="31.5" customHeight="1" hidden="1">
      <c r="A58" s="204" t="s">
        <v>221</v>
      </c>
      <c r="B58" s="207" t="s">
        <v>222</v>
      </c>
      <c r="C58" s="284"/>
      <c r="D58" s="284"/>
      <c r="E58" s="206" t="e">
        <f aca="true" t="shared" si="5" ref="E58:E68">SUM(D58/C58*100)</f>
        <v>#DIV/0!</v>
      </c>
      <c r="F58" s="206">
        <f t="shared" si="4"/>
        <v>0</v>
      </c>
    </row>
    <row r="59" spans="1:6" ht="15" customHeight="1">
      <c r="A59" s="204" t="s">
        <v>223</v>
      </c>
      <c r="B59" s="207" t="s">
        <v>224</v>
      </c>
      <c r="C59" s="284">
        <v>8.9</v>
      </c>
      <c r="D59" s="284">
        <v>8.9</v>
      </c>
      <c r="E59" s="206">
        <f t="shared" si="5"/>
        <v>100</v>
      </c>
      <c r="F59" s="206">
        <f t="shared" si="4"/>
        <v>0</v>
      </c>
    </row>
    <row r="60" spans="1:6" ht="13.5" customHeight="1">
      <c r="A60" s="204" t="s">
        <v>225</v>
      </c>
      <c r="B60" s="207" t="s">
        <v>226</v>
      </c>
      <c r="C60" s="294">
        <v>50</v>
      </c>
      <c r="D60" s="294">
        <v>0</v>
      </c>
      <c r="E60" s="206">
        <f t="shared" si="5"/>
        <v>0</v>
      </c>
      <c r="F60" s="206">
        <f t="shared" si="4"/>
        <v>-50</v>
      </c>
    </row>
    <row r="61" spans="1:6" ht="15.75" customHeight="1">
      <c r="A61" s="204" t="s">
        <v>227</v>
      </c>
      <c r="B61" s="207" t="s">
        <v>228</v>
      </c>
      <c r="C61" s="284">
        <v>23.636</v>
      </c>
      <c r="D61" s="284">
        <v>19.756</v>
      </c>
      <c r="E61" s="206">
        <f t="shared" si="5"/>
        <v>83.58436283635133</v>
      </c>
      <c r="F61" s="206">
        <f t="shared" si="4"/>
        <v>-3.879999999999999</v>
      </c>
    </row>
    <row r="62" spans="1:6" s="140" customFormat="1" ht="15.75">
      <c r="A62" s="209" t="s">
        <v>35</v>
      </c>
      <c r="B62" s="210" t="s">
        <v>229</v>
      </c>
      <c r="C62" s="282">
        <f>C63</f>
        <v>103.383</v>
      </c>
      <c r="D62" s="282">
        <f>D63</f>
        <v>15.35981</v>
      </c>
      <c r="E62" s="203">
        <f t="shared" si="5"/>
        <v>14.857191220993782</v>
      </c>
      <c r="F62" s="203">
        <f t="shared" si="4"/>
        <v>-88.02319</v>
      </c>
    </row>
    <row r="63" spans="1:6" ht="15.75">
      <c r="A63" s="211" t="s">
        <v>230</v>
      </c>
      <c r="B63" s="212" t="s">
        <v>231</v>
      </c>
      <c r="C63" s="284">
        <v>103.383</v>
      </c>
      <c r="D63" s="284">
        <v>15.35981</v>
      </c>
      <c r="E63" s="206">
        <f t="shared" si="5"/>
        <v>14.857191220993782</v>
      </c>
      <c r="F63" s="206">
        <f t="shared" si="4"/>
        <v>-88.02319</v>
      </c>
    </row>
    <row r="64" spans="1:6" s="140" customFormat="1" ht="16.5" customHeight="1">
      <c r="A64" s="201" t="s">
        <v>37</v>
      </c>
      <c r="B64" s="202" t="s">
        <v>232</v>
      </c>
      <c r="C64" s="282">
        <f>C68+C67+C69</f>
        <v>16.31148</v>
      </c>
      <c r="D64" s="282">
        <f>D68+D67+D69</f>
        <v>14.31148</v>
      </c>
      <c r="E64" s="203">
        <f t="shared" si="5"/>
        <v>87.73869691775363</v>
      </c>
      <c r="F64" s="203">
        <f t="shared" si="4"/>
        <v>-2</v>
      </c>
    </row>
    <row r="65" spans="1:6" ht="15.75" hidden="1">
      <c r="A65" s="204" t="s">
        <v>233</v>
      </c>
      <c r="B65" s="207" t="s">
        <v>234</v>
      </c>
      <c r="C65" s="284"/>
      <c r="D65" s="284"/>
      <c r="E65" s="203" t="e">
        <f t="shared" si="5"/>
        <v>#DIV/0!</v>
      </c>
      <c r="F65" s="203">
        <f t="shared" si="4"/>
        <v>0</v>
      </c>
    </row>
    <row r="66" spans="1:6" ht="19.5" customHeight="1" hidden="1">
      <c r="A66" s="213" t="s">
        <v>235</v>
      </c>
      <c r="B66" s="207" t="s">
        <v>317</v>
      </c>
      <c r="C66" s="284"/>
      <c r="D66" s="284"/>
      <c r="E66" s="203" t="e">
        <f t="shared" si="5"/>
        <v>#DIV/0!</v>
      </c>
      <c r="F66" s="203">
        <f t="shared" si="4"/>
        <v>0</v>
      </c>
    </row>
    <row r="67" spans="1:6" ht="18" customHeight="1">
      <c r="A67" s="214" t="s">
        <v>237</v>
      </c>
      <c r="B67" s="215" t="s">
        <v>238</v>
      </c>
      <c r="C67" s="301">
        <v>2.81148</v>
      </c>
      <c r="D67" s="284">
        <v>2.81148</v>
      </c>
      <c r="E67" s="203">
        <f t="shared" si="5"/>
        <v>100</v>
      </c>
      <c r="F67" s="203">
        <f t="shared" si="4"/>
        <v>0</v>
      </c>
    </row>
    <row r="68" spans="1:6" ht="15.75" customHeight="1">
      <c r="A68" s="214" t="s">
        <v>239</v>
      </c>
      <c r="B68" s="215" t="s">
        <v>240</v>
      </c>
      <c r="C68" s="284">
        <v>11.5</v>
      </c>
      <c r="D68" s="284">
        <v>9.5</v>
      </c>
      <c r="E68" s="203">
        <f t="shared" si="5"/>
        <v>82.6086956521739</v>
      </c>
      <c r="F68" s="203">
        <f t="shared" si="4"/>
        <v>-2</v>
      </c>
    </row>
    <row r="69" spans="1:6" ht="15.75" customHeight="1">
      <c r="A69" s="214" t="s">
        <v>241</v>
      </c>
      <c r="B69" s="215" t="s">
        <v>242</v>
      </c>
      <c r="C69" s="284">
        <v>2</v>
      </c>
      <c r="D69" s="284">
        <v>2</v>
      </c>
      <c r="E69" s="203"/>
      <c r="F69" s="203"/>
    </row>
    <row r="70" spans="1:6" s="140" customFormat="1" ht="15" customHeight="1">
      <c r="A70" s="201" t="s">
        <v>39</v>
      </c>
      <c r="B70" s="202" t="s">
        <v>243</v>
      </c>
      <c r="C70" s="252">
        <f>SUM(C71:C74)</f>
        <v>1491.7593499999998</v>
      </c>
      <c r="D70" s="252">
        <f>SUM(D71:D74)</f>
        <v>427.02454</v>
      </c>
      <c r="E70" s="203">
        <f aca="true" t="shared" si="6" ref="E70:E84">SUM(D70/C70*100)</f>
        <v>28.62556484060248</v>
      </c>
      <c r="F70" s="203">
        <f aca="true" t="shared" si="7" ref="F70:F85">SUM(D70-C70)</f>
        <v>-1064.73481</v>
      </c>
    </row>
    <row r="71" spans="1:6" ht="15" customHeight="1" hidden="1">
      <c r="A71" s="204" t="s">
        <v>246</v>
      </c>
      <c r="B71" s="207" t="s">
        <v>319</v>
      </c>
      <c r="C71" s="285"/>
      <c r="D71" s="284">
        <v>0</v>
      </c>
      <c r="E71" s="206" t="e">
        <f t="shared" si="6"/>
        <v>#DIV/0!</v>
      </c>
      <c r="F71" s="206">
        <f t="shared" si="7"/>
        <v>0</v>
      </c>
    </row>
    <row r="72" spans="1:7" s="140" customFormat="1" ht="18" customHeight="1" hidden="1">
      <c r="A72" s="204" t="s">
        <v>248</v>
      </c>
      <c r="B72" s="207" t="s">
        <v>320</v>
      </c>
      <c r="C72" s="285"/>
      <c r="D72" s="284">
        <v>0</v>
      </c>
      <c r="E72" s="206" t="e">
        <f t="shared" si="6"/>
        <v>#DIV/0!</v>
      </c>
      <c r="F72" s="206">
        <f t="shared" si="7"/>
        <v>0</v>
      </c>
      <c r="G72" s="143"/>
    </row>
    <row r="73" spans="1:6" ht="15.75">
      <c r="A73" s="204" t="s">
        <v>250</v>
      </c>
      <c r="B73" s="207" t="s">
        <v>251</v>
      </c>
      <c r="C73" s="285">
        <v>1331.15935</v>
      </c>
      <c r="D73" s="284">
        <v>268.92454</v>
      </c>
      <c r="E73" s="206">
        <f t="shared" si="6"/>
        <v>20.202280065117673</v>
      </c>
      <c r="F73" s="206">
        <f t="shared" si="7"/>
        <v>-1062.23481</v>
      </c>
    </row>
    <row r="74" spans="1:6" ht="15.75">
      <c r="A74" s="204" t="s">
        <v>252</v>
      </c>
      <c r="B74" s="207" t="s">
        <v>253</v>
      </c>
      <c r="C74" s="285">
        <v>160.6</v>
      </c>
      <c r="D74" s="284">
        <v>158.1</v>
      </c>
      <c r="E74" s="206">
        <f t="shared" si="6"/>
        <v>98.44333748443339</v>
      </c>
      <c r="F74" s="206">
        <f t="shared" si="7"/>
        <v>-2.5</v>
      </c>
    </row>
    <row r="75" spans="1:6" s="140" customFormat="1" ht="16.5" customHeight="1">
      <c r="A75" s="201" t="s">
        <v>41</v>
      </c>
      <c r="B75" s="202" t="s">
        <v>254</v>
      </c>
      <c r="C75" s="282">
        <f>SUM(C76:C78)</f>
        <v>1015.30752</v>
      </c>
      <c r="D75" s="282">
        <f>SUM(D77:D78)</f>
        <v>369.76853</v>
      </c>
      <c r="E75" s="203">
        <f t="shared" si="6"/>
        <v>36.41936287441267</v>
      </c>
      <c r="F75" s="203">
        <f t="shared" si="7"/>
        <v>-645.53899</v>
      </c>
    </row>
    <row r="76" spans="1:6" ht="15.75" hidden="1">
      <c r="A76" s="204" t="s">
        <v>255</v>
      </c>
      <c r="B76" s="218" t="s">
        <v>256</v>
      </c>
      <c r="C76" s="284">
        <v>0</v>
      </c>
      <c r="D76" s="284">
        <v>0</v>
      </c>
      <c r="E76" s="206" t="e">
        <f t="shared" si="6"/>
        <v>#DIV/0!</v>
      </c>
      <c r="F76" s="206">
        <f t="shared" si="7"/>
        <v>0</v>
      </c>
    </row>
    <row r="77" spans="1:6" ht="15" customHeight="1">
      <c r="A77" s="204" t="s">
        <v>257</v>
      </c>
      <c r="B77" s="218" t="s">
        <v>258</v>
      </c>
      <c r="C77" s="284">
        <v>180</v>
      </c>
      <c r="D77" s="284">
        <v>72.25174</v>
      </c>
      <c r="E77" s="206">
        <f t="shared" si="6"/>
        <v>40.139855555555556</v>
      </c>
      <c r="F77" s="206">
        <f t="shared" si="7"/>
        <v>-107.74826</v>
      </c>
    </row>
    <row r="78" spans="1:6" ht="15.75">
      <c r="A78" s="204" t="s">
        <v>259</v>
      </c>
      <c r="B78" s="207" t="s">
        <v>260</v>
      </c>
      <c r="C78" s="284">
        <v>835.30752</v>
      </c>
      <c r="D78" s="284">
        <v>297.51679</v>
      </c>
      <c r="E78" s="206">
        <f t="shared" si="6"/>
        <v>35.61763576604698</v>
      </c>
      <c r="F78" s="206">
        <f t="shared" si="7"/>
        <v>-537.7907299999999</v>
      </c>
    </row>
    <row r="79" spans="1:6" s="140" customFormat="1" ht="15.75">
      <c r="A79" s="201" t="s">
        <v>47</v>
      </c>
      <c r="B79" s="202" t="s">
        <v>275</v>
      </c>
      <c r="C79" s="282">
        <f>C80</f>
        <v>1087.3</v>
      </c>
      <c r="D79" s="282">
        <f>SUM(D80)</f>
        <v>911.25</v>
      </c>
      <c r="E79" s="203">
        <f t="shared" si="6"/>
        <v>83.80851650878323</v>
      </c>
      <c r="F79" s="203">
        <f t="shared" si="7"/>
        <v>-176.04999999999995</v>
      </c>
    </row>
    <row r="80" spans="1:6" ht="20.25" customHeight="1">
      <c r="A80" s="204" t="s">
        <v>276</v>
      </c>
      <c r="B80" s="207" t="s">
        <v>277</v>
      </c>
      <c r="C80" s="284">
        <v>1087.3</v>
      </c>
      <c r="D80" s="284">
        <v>911.25</v>
      </c>
      <c r="E80" s="206">
        <f t="shared" si="6"/>
        <v>83.80851650878323</v>
      </c>
      <c r="F80" s="206">
        <f t="shared" si="7"/>
        <v>-176.04999999999995</v>
      </c>
    </row>
    <row r="81" spans="1:6" s="140" customFormat="1" ht="0.75" customHeight="1" hidden="1">
      <c r="A81" s="219">
        <v>1000</v>
      </c>
      <c r="B81" s="202" t="s">
        <v>280</v>
      </c>
      <c r="C81" s="282">
        <f>SUM(C82:C85)</f>
        <v>0</v>
      </c>
      <c r="D81" s="282">
        <f>SUM(D82:D85)</f>
        <v>0</v>
      </c>
      <c r="E81" s="203" t="e">
        <f t="shared" si="6"/>
        <v>#DIV/0!</v>
      </c>
      <c r="F81" s="203">
        <f t="shared" si="7"/>
        <v>0</v>
      </c>
    </row>
    <row r="82" spans="1:6" ht="1.5" customHeight="1" hidden="1">
      <c r="A82" s="220">
        <v>1001</v>
      </c>
      <c r="B82" s="221" t="s">
        <v>281</v>
      </c>
      <c r="C82" s="284"/>
      <c r="D82" s="284"/>
      <c r="E82" s="206" t="e">
        <f t="shared" si="6"/>
        <v>#DIV/0!</v>
      </c>
      <c r="F82" s="206">
        <f t="shared" si="7"/>
        <v>0</v>
      </c>
    </row>
    <row r="83" spans="1:6" ht="27" customHeight="1" hidden="1">
      <c r="A83" s="220">
        <v>1003</v>
      </c>
      <c r="B83" s="221" t="s">
        <v>282</v>
      </c>
      <c r="C83" s="284">
        <v>0</v>
      </c>
      <c r="D83" s="284">
        <v>0</v>
      </c>
      <c r="E83" s="206" t="e">
        <f t="shared" si="6"/>
        <v>#DIV/0!</v>
      </c>
      <c r="F83" s="206">
        <f t="shared" si="7"/>
        <v>0</v>
      </c>
    </row>
    <row r="84" spans="1:6" ht="27.75" customHeight="1" hidden="1">
      <c r="A84" s="220">
        <v>1004</v>
      </c>
      <c r="B84" s="221" t="s">
        <v>283</v>
      </c>
      <c r="C84" s="284"/>
      <c r="D84" s="286"/>
      <c r="E84" s="206" t="e">
        <f t="shared" si="6"/>
        <v>#DIV/0!</v>
      </c>
      <c r="F84" s="206">
        <f t="shared" si="7"/>
        <v>0</v>
      </c>
    </row>
    <row r="85" spans="1:6" ht="23.25" customHeight="1" hidden="1">
      <c r="A85" s="204" t="s">
        <v>284</v>
      </c>
      <c r="B85" s="207" t="s">
        <v>285</v>
      </c>
      <c r="C85" s="284">
        <v>0</v>
      </c>
      <c r="D85" s="284">
        <v>0</v>
      </c>
      <c r="E85" s="206"/>
      <c r="F85" s="206">
        <f t="shared" si="7"/>
        <v>0</v>
      </c>
    </row>
    <row r="86" spans="1:6" ht="17.25" customHeight="1">
      <c r="A86" s="201" t="s">
        <v>51</v>
      </c>
      <c r="B86" s="202" t="s">
        <v>286</v>
      </c>
      <c r="C86" s="282">
        <f>C87+C88+C89+C90+C91</f>
        <v>30</v>
      </c>
      <c r="D86" s="282">
        <f>D87+D88+D89+D90+D91</f>
        <v>23.948</v>
      </c>
      <c r="E86" s="206">
        <f aca="true" t="shared" si="8" ref="E86:E96">SUM(D86/C86*100)</f>
        <v>79.82666666666667</v>
      </c>
      <c r="F86" s="191">
        <f>F87+F88+F89+F90+F91</f>
        <v>-6.052</v>
      </c>
    </row>
    <row r="87" spans="1:6" ht="15" customHeight="1">
      <c r="A87" s="204" t="s">
        <v>287</v>
      </c>
      <c r="B87" s="207" t="s">
        <v>288</v>
      </c>
      <c r="C87" s="292">
        <v>30</v>
      </c>
      <c r="D87" s="292">
        <v>23.948</v>
      </c>
      <c r="E87" s="206">
        <f t="shared" si="8"/>
        <v>79.82666666666667</v>
      </c>
      <c r="F87" s="206">
        <f>SUM(D87-C87)</f>
        <v>-6.052</v>
      </c>
    </row>
    <row r="88" spans="1:6" ht="15.75" customHeight="1" hidden="1">
      <c r="A88" s="204" t="s">
        <v>289</v>
      </c>
      <c r="B88" s="207" t="s">
        <v>290</v>
      </c>
      <c r="C88" s="292"/>
      <c r="D88" s="292"/>
      <c r="E88" s="206" t="e">
        <f t="shared" si="8"/>
        <v>#DIV/0!</v>
      </c>
      <c r="F88" s="206">
        <f>SUM(D88-C88)</f>
        <v>0</v>
      </c>
    </row>
    <row r="89" spans="1:6" ht="15.75" customHeight="1" hidden="1">
      <c r="A89" s="204" t="s">
        <v>291</v>
      </c>
      <c r="B89" s="207" t="s">
        <v>292</v>
      </c>
      <c r="C89" s="292"/>
      <c r="D89" s="292"/>
      <c r="E89" s="206" t="e">
        <f t="shared" si="8"/>
        <v>#DIV/0!</v>
      </c>
      <c r="F89" s="206"/>
    </row>
    <row r="90" spans="1:6" ht="15.75" customHeight="1" hidden="1">
      <c r="A90" s="204" t="s">
        <v>293</v>
      </c>
      <c r="B90" s="207" t="s">
        <v>294</v>
      </c>
      <c r="C90" s="292"/>
      <c r="D90" s="292"/>
      <c r="E90" s="206" t="e">
        <f t="shared" si="8"/>
        <v>#DIV/0!</v>
      </c>
      <c r="F90" s="206"/>
    </row>
    <row r="91" spans="1:6" ht="15.75" customHeight="1" hidden="1">
      <c r="A91" s="204" t="s">
        <v>295</v>
      </c>
      <c r="B91" s="207" t="s">
        <v>296</v>
      </c>
      <c r="C91" s="292"/>
      <c r="D91" s="292"/>
      <c r="E91" s="206" t="e">
        <f t="shared" si="8"/>
        <v>#DIV/0!</v>
      </c>
      <c r="F91" s="206"/>
    </row>
    <row r="92" spans="1:6" s="140" customFormat="1" ht="16.5" customHeight="1" hidden="1">
      <c r="A92" s="219">
        <v>1400</v>
      </c>
      <c r="B92" s="223" t="s">
        <v>303</v>
      </c>
      <c r="C92" s="346">
        <f>C93+C94+C95</f>
        <v>0</v>
      </c>
      <c r="D92" s="346">
        <f>SUM(D93:D95)</f>
        <v>0</v>
      </c>
      <c r="E92" s="203" t="e">
        <f t="shared" si="8"/>
        <v>#DIV/0!</v>
      </c>
      <c r="F92" s="203">
        <f>SUM(D92-C92)</f>
        <v>0</v>
      </c>
    </row>
    <row r="93" spans="1:6" ht="23.25" customHeight="1" hidden="1">
      <c r="A93" s="220">
        <v>1401</v>
      </c>
      <c r="B93" s="221" t="s">
        <v>304</v>
      </c>
      <c r="C93" s="347"/>
      <c r="D93" s="292"/>
      <c r="E93" s="206" t="e">
        <f t="shared" si="8"/>
        <v>#DIV/0!</v>
      </c>
      <c r="F93" s="206">
        <f>SUM(D93-C93)</f>
        <v>0</v>
      </c>
    </row>
    <row r="94" spans="1:6" ht="19.5" customHeight="1" hidden="1">
      <c r="A94" s="220">
        <v>1402</v>
      </c>
      <c r="B94" s="221" t="s">
        <v>305</v>
      </c>
      <c r="C94" s="347"/>
      <c r="D94" s="292"/>
      <c r="E94" s="206" t="e">
        <f t="shared" si="8"/>
        <v>#DIV/0!</v>
      </c>
      <c r="F94" s="206">
        <f>SUM(D94-C94)</f>
        <v>0</v>
      </c>
    </row>
    <row r="95" spans="1:6" ht="17.25" customHeight="1" hidden="1">
      <c r="A95" s="220">
        <v>1403</v>
      </c>
      <c r="B95" s="221" t="s">
        <v>306</v>
      </c>
      <c r="C95" s="348">
        <v>0</v>
      </c>
      <c r="D95" s="349">
        <v>0</v>
      </c>
      <c r="E95" s="206" t="e">
        <f t="shared" si="8"/>
        <v>#DIV/0!</v>
      </c>
      <c r="F95" s="206">
        <f>SUM(D95-C95)</f>
        <v>0</v>
      </c>
    </row>
    <row r="96" spans="1:6" s="140" customFormat="1" ht="15.75" customHeight="1">
      <c r="A96" s="219"/>
      <c r="B96" s="224" t="s">
        <v>307</v>
      </c>
      <c r="C96" s="280">
        <f>C54+C62+C64+C70+C75+C79+C86</f>
        <v>5272.09735</v>
      </c>
      <c r="D96" s="280">
        <f>D54+D62+D64+D70+D75+D79+D86</f>
        <v>2986.57113</v>
      </c>
      <c r="E96" s="203">
        <f t="shared" si="8"/>
        <v>56.64863396348324</v>
      </c>
      <c r="F96" s="203">
        <f>SUM(D96-C96)</f>
        <v>-2285.52622</v>
      </c>
    </row>
    <row r="97" spans="3:4" ht="16.5" customHeight="1">
      <c r="C97" s="227"/>
      <c r="D97" s="228"/>
    </row>
    <row r="98" spans="1:4" s="353" customFormat="1" ht="20.25" customHeight="1">
      <c r="A98" s="350" t="s">
        <v>308</v>
      </c>
      <c r="B98" s="350"/>
      <c r="C98" s="351"/>
      <c r="D98" s="352"/>
    </row>
    <row r="99" spans="1:3" s="353" customFormat="1" ht="13.5" customHeight="1">
      <c r="A99" s="354" t="s">
        <v>309</v>
      </c>
      <c r="B99" s="354"/>
      <c r="C99" s="355" t="s">
        <v>310</v>
      </c>
    </row>
    <row r="101" ht="5.25" customHeight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="75" zoomScaleSheetLayoutView="75" zoomScalePageLayoutView="0" workbookViewId="0" topLeftCell="A10">
      <pane xSplit="2" ySplit="4" topLeftCell="C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L12" sqref="L1:W16384"/>
    </sheetView>
  </sheetViews>
  <sheetFormatPr defaultColWidth="9.140625" defaultRowHeight="12.75"/>
  <cols>
    <col min="1" max="1" width="6.140625" style="39" customWidth="1"/>
    <col min="2" max="2" width="26.421875" style="39" customWidth="1"/>
    <col min="3" max="3" width="17.00390625" style="39" customWidth="1"/>
    <col min="4" max="4" width="20.7109375" style="40" customWidth="1"/>
    <col min="5" max="5" width="11.421875" style="39" customWidth="1"/>
    <col min="6" max="6" width="15.421875" style="39" customWidth="1"/>
    <col min="7" max="7" width="15.57421875" style="39" customWidth="1"/>
    <col min="8" max="8" width="11.00390625" style="39" customWidth="1"/>
    <col min="9" max="9" width="15.57421875" style="39" customWidth="1"/>
    <col min="10" max="10" width="17.00390625" style="39" customWidth="1"/>
    <col min="11" max="11" width="13.00390625" style="39" customWidth="1"/>
    <col min="12" max="12" width="15.140625" style="39" customWidth="1"/>
    <col min="13" max="13" width="14.421875" style="39" customWidth="1"/>
    <col min="14" max="14" width="13.00390625" style="39" customWidth="1"/>
    <col min="15" max="15" width="14.140625" style="39" customWidth="1"/>
    <col min="16" max="16" width="15.7109375" style="39" customWidth="1"/>
    <col min="17" max="17" width="10.140625" style="39" customWidth="1"/>
    <col min="18" max="18" width="16.7109375" style="39" customWidth="1"/>
    <col min="19" max="19" width="17.28125" style="39" customWidth="1"/>
    <col min="20" max="20" width="10.00390625" style="39" customWidth="1"/>
    <col min="21" max="21" width="13.57421875" style="39" customWidth="1"/>
    <col min="22" max="22" width="14.7109375" style="39" customWidth="1"/>
    <col min="23" max="23" width="12.28125" style="39" customWidth="1"/>
    <col min="24" max="24" width="15.140625" style="39" customWidth="1"/>
    <col min="25" max="25" width="17.8515625" style="39" customWidth="1"/>
    <col min="26" max="26" width="12.57421875" style="39" customWidth="1"/>
    <col min="27" max="28" width="14.8515625" style="39" customWidth="1"/>
    <col min="29" max="29" width="10.7109375" style="39" customWidth="1"/>
    <col min="30" max="30" width="17.00390625" style="39" customWidth="1"/>
    <col min="31" max="31" width="15.7109375" style="39" customWidth="1"/>
    <col min="32" max="32" width="10.00390625" style="39" customWidth="1"/>
    <col min="33" max="33" width="13.8515625" style="39" customWidth="1"/>
    <col min="34" max="34" width="12.28125" style="39" customWidth="1"/>
    <col min="35" max="35" width="11.8515625" style="39" customWidth="1"/>
    <col min="36" max="36" width="11.00390625" style="39" customWidth="1"/>
    <col min="37" max="37" width="14.57421875" style="39" customWidth="1"/>
    <col min="38" max="38" width="13.7109375" style="39" customWidth="1"/>
    <col min="39" max="39" width="15.421875" style="39" customWidth="1"/>
    <col min="40" max="40" width="16.00390625" style="39" customWidth="1"/>
    <col min="41" max="41" width="16.28125" style="39" customWidth="1"/>
    <col min="42" max="42" width="14.28125" style="39" customWidth="1"/>
    <col min="43" max="43" width="15.28125" style="39" customWidth="1"/>
    <col min="44" max="44" width="11.00390625" style="39" customWidth="1"/>
    <col min="45" max="45" width="14.421875" style="39" customWidth="1"/>
    <col min="46" max="46" width="14.7109375" style="39" customWidth="1"/>
    <col min="47" max="47" width="12.421875" style="39" customWidth="1"/>
    <col min="48" max="50" width="0" style="39" hidden="1" customWidth="1"/>
    <col min="51" max="51" width="13.8515625" style="39" customWidth="1"/>
    <col min="52" max="52" width="12.8515625" style="39" customWidth="1"/>
    <col min="53" max="53" width="11.7109375" style="39" customWidth="1"/>
    <col min="54" max="56" width="0" style="39" hidden="1" customWidth="1"/>
    <col min="57" max="57" width="15.140625" style="39" customWidth="1"/>
    <col min="58" max="58" width="14.8515625" style="39" customWidth="1"/>
    <col min="59" max="59" width="16.00390625" style="39" customWidth="1"/>
    <col min="60" max="65" width="0" style="39" hidden="1" customWidth="1"/>
    <col min="66" max="66" width="15.28125" style="39" customWidth="1"/>
    <col min="67" max="67" width="15.57421875" style="39" customWidth="1"/>
    <col min="68" max="68" width="13.8515625" style="39" customWidth="1"/>
    <col min="69" max="69" width="15.28125" style="39" customWidth="1"/>
    <col min="70" max="70" width="15.00390625" style="39" customWidth="1"/>
    <col min="71" max="71" width="12.421875" style="39" customWidth="1"/>
    <col min="72" max="77" width="0" style="39" hidden="1" customWidth="1"/>
    <col min="78" max="78" width="20.00390625" style="39" customWidth="1"/>
    <col min="79" max="79" width="17.00390625" style="39" customWidth="1"/>
    <col min="80" max="80" width="10.00390625" style="39" customWidth="1"/>
    <col min="81" max="81" width="16.421875" style="39" customWidth="1"/>
    <col min="82" max="82" width="15.7109375" style="39" customWidth="1"/>
    <col min="83" max="83" width="12.140625" style="39" customWidth="1"/>
    <col min="84" max="84" width="20.421875" style="39" customWidth="1"/>
    <col min="85" max="85" width="21.421875" style="39" customWidth="1"/>
    <col min="86" max="86" width="18.421875" style="39" customWidth="1"/>
    <col min="87" max="87" width="17.421875" style="39" customWidth="1"/>
    <col min="88" max="88" width="16.57421875" style="39" customWidth="1"/>
    <col min="89" max="89" width="10.00390625" style="39" customWidth="1"/>
    <col min="90" max="90" width="19.8515625" style="39" customWidth="1"/>
    <col min="91" max="91" width="18.00390625" style="39" customWidth="1"/>
    <col min="92" max="92" width="13.28125" style="39" customWidth="1"/>
    <col min="93" max="93" width="19.8515625" style="39" customWidth="1"/>
    <col min="94" max="94" width="22.28125" style="39" customWidth="1"/>
    <col min="95" max="95" width="14.8515625" style="39" customWidth="1"/>
    <col min="96" max="96" width="16.7109375" style="39" customWidth="1"/>
    <col min="97" max="97" width="16.8515625" style="39" customWidth="1"/>
    <col min="98" max="98" width="14.421875" style="39" customWidth="1"/>
    <col min="99" max="99" width="9.8515625" style="39" customWidth="1"/>
    <col min="100" max="100" width="14.421875" style="39" customWidth="1"/>
    <col min="101" max="101" width="14.28125" style="39" customWidth="1"/>
    <col min="102" max="110" width="0" style="39" hidden="1" customWidth="1"/>
    <col min="111" max="111" width="17.57421875" style="39" customWidth="1"/>
    <col min="112" max="112" width="20.28125" style="39" customWidth="1"/>
    <col min="113" max="113" width="13.00390625" style="39" customWidth="1"/>
    <col min="114" max="114" width="18.00390625" style="39" customWidth="1"/>
    <col min="115" max="115" width="20.57421875" style="39" customWidth="1"/>
    <col min="116" max="116" width="13.28125" style="39" customWidth="1"/>
    <col min="117" max="117" width="16.7109375" style="39" customWidth="1"/>
    <col min="118" max="118" width="16.8515625" style="39" customWidth="1"/>
    <col min="119" max="119" width="12.28125" style="39" customWidth="1"/>
    <col min="120" max="120" width="15.28125" style="39" customWidth="1"/>
    <col min="121" max="121" width="14.28125" style="39" customWidth="1"/>
    <col min="122" max="122" width="13.8515625" style="39" customWidth="1"/>
    <col min="123" max="123" width="18.8515625" style="39" customWidth="1"/>
    <col min="124" max="124" width="13.7109375" style="39" customWidth="1"/>
    <col min="125" max="125" width="10.140625" style="39" customWidth="1"/>
    <col min="126" max="126" width="16.00390625" style="39" customWidth="1"/>
    <col min="127" max="127" width="15.421875" style="39" customWidth="1"/>
    <col min="128" max="128" width="10.140625" style="39" customWidth="1"/>
    <col min="129" max="129" width="15.140625" style="39" customWidth="1"/>
    <col min="130" max="130" width="18.57421875" style="39" customWidth="1"/>
    <col min="131" max="131" width="12.421875" style="39" customWidth="1"/>
    <col min="132" max="132" width="15.28125" style="39" customWidth="1"/>
    <col min="133" max="133" width="12.421875" style="39" customWidth="1"/>
    <col min="134" max="134" width="10.140625" style="39" customWidth="1"/>
    <col min="135" max="135" width="18.00390625" style="39" customWidth="1"/>
    <col min="136" max="136" width="18.140625" style="39" customWidth="1"/>
    <col min="137" max="137" width="10.57421875" style="39" customWidth="1"/>
    <col min="138" max="138" width="16.7109375" style="39" customWidth="1"/>
    <col min="139" max="139" width="19.7109375" style="39" customWidth="1"/>
    <col min="140" max="140" width="8.7109375" style="39" customWidth="1"/>
    <col min="141" max="141" width="15.57421875" style="39" customWidth="1"/>
    <col min="142" max="142" width="16.00390625" style="39" customWidth="1"/>
    <col min="143" max="144" width="10.140625" style="39" customWidth="1"/>
    <col min="145" max="145" width="10.8515625" style="39" customWidth="1"/>
    <col min="146" max="146" width="11.421875" style="39" customWidth="1"/>
    <col min="147" max="147" width="13.57421875" style="39" customWidth="1"/>
    <col min="148" max="148" width="14.8515625" style="39" customWidth="1"/>
    <col min="149" max="149" width="12.8515625" style="39" customWidth="1"/>
    <col min="150" max="150" width="9.8515625" style="39" customWidth="1"/>
    <col min="151" max="151" width="11.421875" style="39" customWidth="1"/>
    <col min="152" max="152" width="11.28125" style="39" customWidth="1"/>
    <col min="153" max="153" width="17.8515625" style="39" customWidth="1"/>
    <col min="154" max="154" width="16.421875" style="39" customWidth="1"/>
    <col min="155" max="155" width="12.7109375" style="39" customWidth="1"/>
    <col min="156" max="156" width="14.8515625" style="39" customWidth="1"/>
    <col min="157" max="16384" width="9.140625" style="39" customWidth="1"/>
  </cols>
  <sheetData>
    <row r="1" spans="24:38" ht="18" customHeight="1">
      <c r="X1" s="463" t="s">
        <v>61</v>
      </c>
      <c r="Y1" s="463"/>
      <c r="Z1" s="463"/>
      <c r="AA1" s="41"/>
      <c r="AB1" s="41"/>
      <c r="AC1" s="41"/>
      <c r="AD1" s="464"/>
      <c r="AE1" s="464"/>
      <c r="AF1" s="464"/>
      <c r="AG1" s="42"/>
      <c r="AH1" s="42"/>
      <c r="AI1" s="42"/>
      <c r="AJ1" s="42"/>
      <c r="AK1" s="42"/>
      <c r="AL1" s="42"/>
    </row>
    <row r="2" spans="24:38" ht="19.5" customHeight="1">
      <c r="X2" s="42" t="s">
        <v>62</v>
      </c>
      <c r="Y2" s="42"/>
      <c r="Z2" s="42"/>
      <c r="AA2" s="43"/>
      <c r="AB2" s="43"/>
      <c r="AC2" s="43"/>
      <c r="AD2" s="464"/>
      <c r="AE2" s="464"/>
      <c r="AF2" s="464"/>
      <c r="AG2" s="42"/>
      <c r="AH2" s="42"/>
      <c r="AI2" s="42"/>
      <c r="AJ2" s="42"/>
      <c r="AK2" s="42"/>
      <c r="AL2" s="42"/>
    </row>
    <row r="3" spans="1:143" ht="30.75" customHeight="1">
      <c r="A3" s="44"/>
      <c r="B3" s="45"/>
      <c r="C3" s="45"/>
      <c r="D3" s="46"/>
      <c r="E3" s="45"/>
      <c r="F3" s="45"/>
      <c r="G3" s="45"/>
      <c r="H3" s="45"/>
      <c r="I3" s="45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65" t="s">
        <v>63</v>
      </c>
      <c r="Y3" s="465"/>
      <c r="Z3" s="465"/>
      <c r="AA3" s="44"/>
      <c r="AB3" s="44"/>
      <c r="AC3" s="44"/>
      <c r="AD3" s="466"/>
      <c r="AE3" s="466"/>
      <c r="AF3" s="466"/>
      <c r="AG3" s="48"/>
      <c r="AH3" s="48"/>
      <c r="AI3" s="48"/>
      <c r="AJ3" s="48"/>
      <c r="AK3" s="48"/>
      <c r="AL3" s="48"/>
      <c r="AM3" s="44"/>
      <c r="AN3" s="44"/>
      <c r="AO3" s="44"/>
      <c r="AP3" s="44"/>
      <c r="AQ3" s="44"/>
      <c r="AR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</row>
    <row r="4" spans="2:143" ht="24" customHeight="1">
      <c r="B4" s="467" t="s">
        <v>64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9"/>
      <c r="AB4" s="49"/>
      <c r="AC4" s="49"/>
      <c r="AD4" s="49"/>
      <c r="AE4" s="49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</row>
    <row r="5" spans="2:143" ht="20.25" customHeight="1">
      <c r="B5" s="461" t="s">
        <v>445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50"/>
      <c r="AB5" s="50"/>
      <c r="AC5" s="50"/>
      <c r="AD5" s="50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</row>
    <row r="6" spans="2:256" s="44" customFormat="1" ht="15" customHeight="1">
      <c r="B6" s="51"/>
      <c r="C6" s="52"/>
      <c r="D6" s="53"/>
      <c r="E6" s="51"/>
      <c r="F6" s="51"/>
      <c r="G6" s="54"/>
      <c r="H6" s="54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51"/>
      <c r="Z6" s="54"/>
      <c r="EN6" s="39"/>
      <c r="EO6" s="39"/>
      <c r="EP6" s="39"/>
      <c r="EQ6" s="39"/>
      <c r="ER6" s="39"/>
      <c r="ES6" s="39"/>
      <c r="ET6" s="39"/>
      <c r="EU6" s="39"/>
      <c r="EV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57" customFormat="1" ht="15" customHeight="1">
      <c r="A7" s="453" t="s">
        <v>65</v>
      </c>
      <c r="B7" s="453" t="s">
        <v>66</v>
      </c>
      <c r="C7" s="453" t="s">
        <v>67</v>
      </c>
      <c r="D7" s="453"/>
      <c r="E7" s="453"/>
      <c r="F7" s="56" t="s">
        <v>68</v>
      </c>
      <c r="DC7" s="58"/>
      <c r="DF7" s="58"/>
      <c r="DG7" s="453" t="s">
        <v>69</v>
      </c>
      <c r="DH7" s="453"/>
      <c r="DI7" s="453"/>
      <c r="DJ7" s="457"/>
      <c r="DK7" s="457"/>
      <c r="DL7" s="457"/>
      <c r="DM7" s="457"/>
      <c r="DN7" s="457"/>
      <c r="DO7" s="457"/>
      <c r="DP7" s="457"/>
      <c r="DQ7" s="457"/>
      <c r="DR7" s="457"/>
      <c r="DS7" s="457"/>
      <c r="DT7" s="457"/>
      <c r="DU7" s="457"/>
      <c r="DV7" s="457"/>
      <c r="DW7" s="457"/>
      <c r="DX7" s="457"/>
      <c r="DY7" s="457"/>
      <c r="DZ7" s="457"/>
      <c r="EA7" s="457"/>
      <c r="EB7" s="457"/>
      <c r="EC7" s="457"/>
      <c r="ED7" s="457"/>
      <c r="EE7" s="457"/>
      <c r="EF7" s="457"/>
      <c r="EG7" s="457"/>
      <c r="EH7" s="457"/>
      <c r="EI7" s="457"/>
      <c r="EJ7" s="457"/>
      <c r="EK7" s="457"/>
      <c r="EL7" s="457"/>
      <c r="EM7" s="457"/>
      <c r="EN7" s="457"/>
      <c r="EO7" s="457"/>
      <c r="EP7" s="457"/>
      <c r="EQ7" s="457"/>
      <c r="ER7" s="457"/>
      <c r="ES7" s="457"/>
      <c r="ET7" s="457"/>
      <c r="EU7" s="457"/>
      <c r="EV7" s="457"/>
      <c r="EW7" s="453" t="s">
        <v>70</v>
      </c>
      <c r="EX7" s="453"/>
      <c r="EY7" s="453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55" s="59" customFormat="1" ht="15" customHeight="1">
      <c r="A8" s="453"/>
      <c r="B8" s="453"/>
      <c r="C8" s="453"/>
      <c r="D8" s="453"/>
      <c r="E8" s="453"/>
      <c r="F8" s="458" t="s">
        <v>71</v>
      </c>
      <c r="G8" s="458"/>
      <c r="H8" s="458"/>
      <c r="I8" s="459" t="s">
        <v>72</v>
      </c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1"/>
      <c r="BT8" s="62"/>
      <c r="BU8" s="62"/>
      <c r="BV8" s="62"/>
      <c r="BW8" s="63"/>
      <c r="BX8" s="63"/>
      <c r="BY8" s="63"/>
      <c r="BZ8" s="453" t="s">
        <v>73</v>
      </c>
      <c r="CA8" s="453"/>
      <c r="CB8" s="453"/>
      <c r="CC8" s="456" t="s">
        <v>72</v>
      </c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64"/>
      <c r="CP8" s="64"/>
      <c r="CQ8" s="64"/>
      <c r="CR8" s="64"/>
      <c r="CS8" s="64"/>
      <c r="CT8" s="64"/>
      <c r="CU8" s="65"/>
      <c r="CV8" s="65"/>
      <c r="CW8" s="66"/>
      <c r="CX8" s="458" t="s">
        <v>74</v>
      </c>
      <c r="CY8" s="458"/>
      <c r="CZ8" s="458"/>
      <c r="DA8" s="453"/>
      <c r="DB8" s="453"/>
      <c r="DC8" s="453"/>
      <c r="DD8" s="453"/>
      <c r="DE8" s="453"/>
      <c r="DF8" s="453"/>
      <c r="DG8" s="453"/>
      <c r="DH8" s="453"/>
      <c r="DI8" s="453"/>
      <c r="DJ8" s="460" t="s">
        <v>72</v>
      </c>
      <c r="DK8" s="460"/>
      <c r="DL8" s="460"/>
      <c r="DM8" s="460"/>
      <c r="DN8" s="460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H8" s="460"/>
      <c r="EI8" s="460"/>
      <c r="EJ8" s="460"/>
      <c r="EK8" s="460"/>
      <c r="EL8" s="460"/>
      <c r="EM8" s="460"/>
      <c r="EN8" s="460"/>
      <c r="EO8" s="460"/>
      <c r="EP8" s="460"/>
      <c r="EQ8" s="460"/>
      <c r="ER8" s="460"/>
      <c r="ES8" s="460"/>
      <c r="ET8" s="460"/>
      <c r="EU8" s="460"/>
      <c r="EV8" s="460"/>
      <c r="EW8" s="453"/>
      <c r="EX8" s="453"/>
      <c r="EY8" s="453"/>
    </row>
    <row r="9" spans="1:155" s="59" customFormat="1" ht="15" customHeight="1">
      <c r="A9" s="453"/>
      <c r="B9" s="453"/>
      <c r="C9" s="453"/>
      <c r="D9" s="453"/>
      <c r="E9" s="453"/>
      <c r="F9" s="458"/>
      <c r="G9" s="458"/>
      <c r="H9" s="458"/>
      <c r="I9" s="453" t="s">
        <v>75</v>
      </c>
      <c r="J9" s="453"/>
      <c r="K9" s="453"/>
      <c r="L9" s="453" t="s">
        <v>76</v>
      </c>
      <c r="M9" s="453"/>
      <c r="N9" s="453"/>
      <c r="O9" s="453" t="s">
        <v>77</v>
      </c>
      <c r="P9" s="453"/>
      <c r="Q9" s="453"/>
      <c r="R9" s="453" t="s">
        <v>78</v>
      </c>
      <c r="S9" s="453"/>
      <c r="T9" s="453"/>
      <c r="U9" s="453" t="s">
        <v>79</v>
      </c>
      <c r="V9" s="453"/>
      <c r="W9" s="453"/>
      <c r="X9" s="453" t="s">
        <v>80</v>
      </c>
      <c r="Y9" s="453"/>
      <c r="Z9" s="453"/>
      <c r="AA9" s="453" t="s">
        <v>81</v>
      </c>
      <c r="AB9" s="453"/>
      <c r="AC9" s="453"/>
      <c r="AD9" s="453" t="s">
        <v>82</v>
      </c>
      <c r="AE9" s="453"/>
      <c r="AF9" s="453"/>
      <c r="AG9" s="453" t="s">
        <v>83</v>
      </c>
      <c r="AH9" s="453"/>
      <c r="AI9" s="453"/>
      <c r="AJ9" s="453" t="s">
        <v>84</v>
      </c>
      <c r="AK9" s="453"/>
      <c r="AL9" s="453"/>
      <c r="AM9" s="453" t="s">
        <v>85</v>
      </c>
      <c r="AN9" s="453"/>
      <c r="AO9" s="453"/>
      <c r="AP9" s="453" t="s">
        <v>86</v>
      </c>
      <c r="AQ9" s="453"/>
      <c r="AR9" s="453"/>
      <c r="AS9" s="453" t="s">
        <v>87</v>
      </c>
      <c r="AT9" s="453"/>
      <c r="AU9" s="453"/>
      <c r="AV9" s="453" t="s">
        <v>88</v>
      </c>
      <c r="AW9" s="453"/>
      <c r="AX9" s="453"/>
      <c r="AY9" s="453" t="s">
        <v>89</v>
      </c>
      <c r="AZ9" s="453"/>
      <c r="BA9" s="453"/>
      <c r="BB9" s="453" t="s">
        <v>90</v>
      </c>
      <c r="BC9" s="453"/>
      <c r="BD9" s="453"/>
      <c r="BE9" s="453" t="s">
        <v>91</v>
      </c>
      <c r="BF9" s="453"/>
      <c r="BG9" s="453"/>
      <c r="BH9" s="453" t="s">
        <v>92</v>
      </c>
      <c r="BI9" s="453"/>
      <c r="BJ9" s="453"/>
      <c r="BK9" s="453" t="s">
        <v>93</v>
      </c>
      <c r="BL9" s="453"/>
      <c r="BM9" s="453"/>
      <c r="BN9" s="453" t="s">
        <v>94</v>
      </c>
      <c r="BO9" s="453"/>
      <c r="BP9" s="453"/>
      <c r="BQ9" s="453" t="s">
        <v>95</v>
      </c>
      <c r="BR9" s="453"/>
      <c r="BS9" s="453"/>
      <c r="BT9" s="453" t="s">
        <v>96</v>
      </c>
      <c r="BU9" s="453"/>
      <c r="BV9" s="453"/>
      <c r="BW9" s="456" t="s">
        <v>97</v>
      </c>
      <c r="BX9" s="456"/>
      <c r="BY9" s="456"/>
      <c r="BZ9" s="453"/>
      <c r="CA9" s="453"/>
      <c r="CB9" s="453"/>
      <c r="CC9" s="453" t="s">
        <v>98</v>
      </c>
      <c r="CD9" s="453"/>
      <c r="CE9" s="453"/>
      <c r="CF9" s="453" t="s">
        <v>99</v>
      </c>
      <c r="CG9" s="453"/>
      <c r="CH9" s="453"/>
      <c r="CI9" s="453" t="s">
        <v>100</v>
      </c>
      <c r="CJ9" s="453"/>
      <c r="CK9" s="453"/>
      <c r="CL9" s="453" t="s">
        <v>101</v>
      </c>
      <c r="CM9" s="453"/>
      <c r="CN9" s="453"/>
      <c r="CO9" s="453" t="s">
        <v>102</v>
      </c>
      <c r="CP9" s="453"/>
      <c r="CQ9" s="453"/>
      <c r="CR9" s="453" t="s">
        <v>28</v>
      </c>
      <c r="CS9" s="453"/>
      <c r="CT9" s="453"/>
      <c r="CU9" s="453" t="s">
        <v>103</v>
      </c>
      <c r="CV9" s="453"/>
      <c r="CW9" s="453"/>
      <c r="CX9" s="458"/>
      <c r="CY9" s="458"/>
      <c r="CZ9" s="458"/>
      <c r="DA9" s="453" t="s">
        <v>104</v>
      </c>
      <c r="DB9" s="453"/>
      <c r="DC9" s="453"/>
      <c r="DD9" s="453" t="s">
        <v>105</v>
      </c>
      <c r="DE9" s="453"/>
      <c r="DF9" s="453"/>
      <c r="DG9" s="453"/>
      <c r="DH9" s="453"/>
      <c r="DI9" s="453"/>
      <c r="DJ9" s="455" t="s">
        <v>106</v>
      </c>
      <c r="DK9" s="455"/>
      <c r="DL9" s="455"/>
      <c r="DM9" s="455" t="s">
        <v>68</v>
      </c>
      <c r="DN9" s="455"/>
      <c r="DO9" s="455"/>
      <c r="DP9" s="455"/>
      <c r="DQ9" s="455"/>
      <c r="DR9" s="455"/>
      <c r="DS9" s="455"/>
      <c r="DT9" s="455"/>
      <c r="DU9" s="455"/>
      <c r="DV9" s="455"/>
      <c r="DW9" s="455"/>
      <c r="DX9" s="455"/>
      <c r="DY9" s="455" t="s">
        <v>107</v>
      </c>
      <c r="DZ9" s="455"/>
      <c r="EA9" s="455"/>
      <c r="EB9" s="455" t="s">
        <v>108</v>
      </c>
      <c r="EC9" s="455"/>
      <c r="ED9" s="455"/>
      <c r="EE9" s="455" t="s">
        <v>109</v>
      </c>
      <c r="EF9" s="455"/>
      <c r="EG9" s="455"/>
      <c r="EH9" s="455" t="s">
        <v>110</v>
      </c>
      <c r="EI9" s="455"/>
      <c r="EJ9" s="455"/>
      <c r="EK9" s="453" t="s">
        <v>111</v>
      </c>
      <c r="EL9" s="453"/>
      <c r="EM9" s="453"/>
      <c r="EN9" s="453" t="s">
        <v>112</v>
      </c>
      <c r="EO9" s="453"/>
      <c r="EP9" s="453"/>
      <c r="EQ9" s="453" t="s">
        <v>113</v>
      </c>
      <c r="ER9" s="453"/>
      <c r="ES9" s="453"/>
      <c r="ET9" s="453" t="s">
        <v>114</v>
      </c>
      <c r="EU9" s="453"/>
      <c r="EV9" s="453"/>
      <c r="EW9" s="453"/>
      <c r="EX9" s="453"/>
      <c r="EY9" s="453"/>
    </row>
    <row r="10" spans="1:256" s="55" customFormat="1" ht="82.5" customHeight="1">
      <c r="A10" s="453"/>
      <c r="B10" s="453"/>
      <c r="C10" s="453"/>
      <c r="D10" s="453"/>
      <c r="E10" s="453"/>
      <c r="F10" s="458"/>
      <c r="G10" s="458"/>
      <c r="H10" s="458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6"/>
      <c r="BX10" s="456"/>
      <c r="BY10" s="456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8"/>
      <c r="CY10" s="458"/>
      <c r="CZ10" s="458"/>
      <c r="DA10" s="453"/>
      <c r="DB10" s="453"/>
      <c r="DC10" s="453"/>
      <c r="DD10" s="453"/>
      <c r="DE10" s="453"/>
      <c r="DF10" s="453"/>
      <c r="DG10" s="453"/>
      <c r="DH10" s="453"/>
      <c r="DI10" s="453"/>
      <c r="DJ10" s="455"/>
      <c r="DK10" s="455"/>
      <c r="DL10" s="455"/>
      <c r="DM10" s="67"/>
      <c r="DN10" s="68"/>
      <c r="DO10" s="68"/>
      <c r="DP10" s="69"/>
      <c r="DQ10" s="69"/>
      <c r="DR10" s="69"/>
      <c r="DS10" s="68"/>
      <c r="DT10" s="68"/>
      <c r="DU10" s="68"/>
      <c r="DV10" s="68"/>
      <c r="DW10" s="68"/>
      <c r="DX10" s="70"/>
      <c r="DY10" s="455"/>
      <c r="DZ10" s="455"/>
      <c r="EA10" s="455"/>
      <c r="EB10" s="455"/>
      <c r="EC10" s="455"/>
      <c r="ED10" s="455"/>
      <c r="EE10" s="455"/>
      <c r="EF10" s="455"/>
      <c r="EG10" s="455"/>
      <c r="EH10" s="455"/>
      <c r="EI10" s="455"/>
      <c r="EJ10" s="455"/>
      <c r="EK10" s="453"/>
      <c r="EL10" s="453"/>
      <c r="EM10" s="453"/>
      <c r="EN10" s="453"/>
      <c r="EO10" s="453"/>
      <c r="EP10" s="453"/>
      <c r="EQ10" s="453"/>
      <c r="ER10" s="453"/>
      <c r="ES10" s="453"/>
      <c r="ET10" s="453"/>
      <c r="EU10" s="453"/>
      <c r="EV10" s="453"/>
      <c r="EW10" s="453"/>
      <c r="EX10" s="453"/>
      <c r="EY10" s="453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5" customFormat="1" ht="109.5" customHeight="1">
      <c r="A11" s="453"/>
      <c r="B11" s="453"/>
      <c r="C11" s="453"/>
      <c r="D11" s="453"/>
      <c r="E11" s="453"/>
      <c r="F11" s="458"/>
      <c r="G11" s="458"/>
      <c r="H11" s="458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6"/>
      <c r="BX11" s="456"/>
      <c r="BY11" s="456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8"/>
      <c r="CY11" s="458"/>
      <c r="CZ11" s="458"/>
      <c r="DA11" s="453"/>
      <c r="DB11" s="453"/>
      <c r="DC11" s="453"/>
      <c r="DD11" s="453"/>
      <c r="DE11" s="453"/>
      <c r="DF11" s="453"/>
      <c r="DG11" s="453"/>
      <c r="DH11" s="453"/>
      <c r="DI11" s="453"/>
      <c r="DJ11" s="455"/>
      <c r="DK11" s="455"/>
      <c r="DL11" s="455"/>
      <c r="DM11" s="454" t="s">
        <v>115</v>
      </c>
      <c r="DN11" s="454"/>
      <c r="DO11" s="454"/>
      <c r="DP11" s="455" t="s">
        <v>116</v>
      </c>
      <c r="DQ11" s="455"/>
      <c r="DR11" s="455"/>
      <c r="DS11" s="454" t="s">
        <v>117</v>
      </c>
      <c r="DT11" s="454"/>
      <c r="DU11" s="454"/>
      <c r="DV11" s="454" t="s">
        <v>118</v>
      </c>
      <c r="DW11" s="454"/>
      <c r="DX11" s="454"/>
      <c r="DY11" s="455"/>
      <c r="DZ11" s="455"/>
      <c r="EA11" s="455"/>
      <c r="EB11" s="455"/>
      <c r="EC11" s="455"/>
      <c r="ED11" s="455"/>
      <c r="EE11" s="455"/>
      <c r="EF11" s="455"/>
      <c r="EG11" s="455"/>
      <c r="EH11" s="455"/>
      <c r="EI11" s="455"/>
      <c r="EJ11" s="455"/>
      <c r="EK11" s="453"/>
      <c r="EL11" s="453"/>
      <c r="EM11" s="453"/>
      <c r="EN11" s="453"/>
      <c r="EO11" s="453"/>
      <c r="EP11" s="453"/>
      <c r="EQ11" s="453"/>
      <c r="ER11" s="453"/>
      <c r="ES11" s="453"/>
      <c r="ET11" s="453"/>
      <c r="EU11" s="453"/>
      <c r="EV11" s="453"/>
      <c r="EW11" s="453"/>
      <c r="EX11" s="453"/>
      <c r="EY11" s="453"/>
      <c r="EZ11" s="59"/>
      <c r="FA11" s="71"/>
      <c r="FB11" s="71"/>
      <c r="FC11" s="71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159" s="59" customFormat="1" ht="42.75" customHeight="1">
      <c r="A12" s="453"/>
      <c r="B12" s="453"/>
      <c r="C12" s="55" t="s">
        <v>119</v>
      </c>
      <c r="D12" s="72" t="s">
        <v>120</v>
      </c>
      <c r="E12" s="55" t="s">
        <v>121</v>
      </c>
      <c r="F12" s="55" t="s">
        <v>119</v>
      </c>
      <c r="G12" s="55" t="s">
        <v>120</v>
      </c>
      <c r="H12" s="55" t="s">
        <v>121</v>
      </c>
      <c r="I12" s="55" t="s">
        <v>119</v>
      </c>
      <c r="J12" s="55" t="s">
        <v>120</v>
      </c>
      <c r="K12" s="55" t="s">
        <v>121</v>
      </c>
      <c r="L12" s="55" t="s">
        <v>119</v>
      </c>
      <c r="M12" s="55" t="s">
        <v>120</v>
      </c>
      <c r="N12" s="55" t="s">
        <v>121</v>
      </c>
      <c r="O12" s="55" t="s">
        <v>119</v>
      </c>
      <c r="P12" s="55" t="s">
        <v>120</v>
      </c>
      <c r="Q12" s="55" t="s">
        <v>121</v>
      </c>
      <c r="R12" s="55" t="s">
        <v>119</v>
      </c>
      <c r="S12" s="55" t="s">
        <v>120</v>
      </c>
      <c r="T12" s="55" t="s">
        <v>121</v>
      </c>
      <c r="U12" s="55" t="s">
        <v>119</v>
      </c>
      <c r="V12" s="55" t="s">
        <v>120</v>
      </c>
      <c r="W12" s="55" t="s">
        <v>121</v>
      </c>
      <c r="X12" s="55" t="s">
        <v>119</v>
      </c>
      <c r="Y12" s="55" t="s">
        <v>120</v>
      </c>
      <c r="Z12" s="55" t="s">
        <v>121</v>
      </c>
      <c r="AA12" s="55" t="s">
        <v>119</v>
      </c>
      <c r="AB12" s="55" t="s">
        <v>120</v>
      </c>
      <c r="AC12" s="55" t="s">
        <v>121</v>
      </c>
      <c r="AD12" s="55" t="s">
        <v>119</v>
      </c>
      <c r="AE12" s="55" t="s">
        <v>120</v>
      </c>
      <c r="AF12" s="55" t="s">
        <v>121</v>
      </c>
      <c r="AG12" s="55" t="s">
        <v>119</v>
      </c>
      <c r="AH12" s="55" t="s">
        <v>120</v>
      </c>
      <c r="AI12" s="55" t="s">
        <v>121</v>
      </c>
      <c r="AJ12" s="55" t="s">
        <v>119</v>
      </c>
      <c r="AK12" s="55" t="s">
        <v>120</v>
      </c>
      <c r="AL12" s="55" t="s">
        <v>121</v>
      </c>
      <c r="AM12" s="55" t="s">
        <v>119</v>
      </c>
      <c r="AN12" s="55" t="s">
        <v>120</v>
      </c>
      <c r="AO12" s="55" t="s">
        <v>121</v>
      </c>
      <c r="AP12" s="55" t="s">
        <v>119</v>
      </c>
      <c r="AQ12" s="55" t="s">
        <v>120</v>
      </c>
      <c r="AR12" s="55" t="s">
        <v>121</v>
      </c>
      <c r="AS12" s="55" t="s">
        <v>119</v>
      </c>
      <c r="AT12" s="55" t="s">
        <v>120</v>
      </c>
      <c r="AU12" s="55" t="s">
        <v>121</v>
      </c>
      <c r="AV12" s="55" t="s">
        <v>119</v>
      </c>
      <c r="AW12" s="55" t="s">
        <v>120</v>
      </c>
      <c r="AX12" s="55" t="s">
        <v>121</v>
      </c>
      <c r="AY12" s="55" t="s">
        <v>119</v>
      </c>
      <c r="AZ12" s="55" t="s">
        <v>120</v>
      </c>
      <c r="BA12" s="55" t="s">
        <v>121</v>
      </c>
      <c r="BB12" s="55"/>
      <c r="BC12" s="55"/>
      <c r="BD12" s="55"/>
      <c r="BE12" s="55" t="s">
        <v>122</v>
      </c>
      <c r="BF12" s="55" t="s">
        <v>120</v>
      </c>
      <c r="BG12" s="55" t="s">
        <v>121</v>
      </c>
      <c r="BH12" s="55" t="s">
        <v>119</v>
      </c>
      <c r="BI12" s="55" t="s">
        <v>120</v>
      </c>
      <c r="BJ12" s="55" t="s">
        <v>121</v>
      </c>
      <c r="BK12" s="55" t="s">
        <v>119</v>
      </c>
      <c r="BL12" s="55" t="s">
        <v>120</v>
      </c>
      <c r="BM12" s="55" t="s">
        <v>121</v>
      </c>
      <c r="BN12" s="55" t="s">
        <v>122</v>
      </c>
      <c r="BO12" s="55" t="s">
        <v>120</v>
      </c>
      <c r="BP12" s="55" t="s">
        <v>121</v>
      </c>
      <c r="BQ12" s="55" t="s">
        <v>122</v>
      </c>
      <c r="BR12" s="55" t="s">
        <v>120</v>
      </c>
      <c r="BS12" s="55" t="s">
        <v>121</v>
      </c>
      <c r="BT12" s="55" t="s">
        <v>122</v>
      </c>
      <c r="BU12" s="55" t="s">
        <v>120</v>
      </c>
      <c r="BV12" s="55" t="s">
        <v>121</v>
      </c>
      <c r="BW12" s="55" t="s">
        <v>122</v>
      </c>
      <c r="BX12" s="55" t="s">
        <v>120</v>
      </c>
      <c r="BY12" s="55" t="s">
        <v>121</v>
      </c>
      <c r="BZ12" s="55" t="s">
        <v>119</v>
      </c>
      <c r="CA12" s="55" t="s">
        <v>120</v>
      </c>
      <c r="CB12" s="55" t="s">
        <v>121</v>
      </c>
      <c r="CC12" s="55" t="s">
        <v>119</v>
      </c>
      <c r="CD12" s="55" t="s">
        <v>120</v>
      </c>
      <c r="CE12" s="55" t="s">
        <v>121</v>
      </c>
      <c r="CF12" s="55" t="s">
        <v>119</v>
      </c>
      <c r="CG12" s="55" t="s">
        <v>120</v>
      </c>
      <c r="CH12" s="55" t="s">
        <v>121</v>
      </c>
      <c r="CI12" s="55" t="s">
        <v>119</v>
      </c>
      <c r="CJ12" s="55" t="s">
        <v>120</v>
      </c>
      <c r="CK12" s="55" t="s">
        <v>121</v>
      </c>
      <c r="CL12" s="55" t="s">
        <v>119</v>
      </c>
      <c r="CM12" s="55" t="s">
        <v>120</v>
      </c>
      <c r="CN12" s="55" t="s">
        <v>121</v>
      </c>
      <c r="CO12" s="55" t="s">
        <v>119</v>
      </c>
      <c r="CP12" s="55" t="s">
        <v>120</v>
      </c>
      <c r="CQ12" s="55" t="s">
        <v>121</v>
      </c>
      <c r="CR12" s="55" t="s">
        <v>119</v>
      </c>
      <c r="CS12" s="55" t="s">
        <v>120</v>
      </c>
      <c r="CT12" s="55" t="s">
        <v>121</v>
      </c>
      <c r="CU12" s="55" t="s">
        <v>119</v>
      </c>
      <c r="CV12" s="55" t="s">
        <v>120</v>
      </c>
      <c r="CW12" s="55" t="s">
        <v>121</v>
      </c>
      <c r="CX12" s="55" t="s">
        <v>119</v>
      </c>
      <c r="CY12" s="55" t="s">
        <v>120</v>
      </c>
      <c r="CZ12" s="55" t="s">
        <v>121</v>
      </c>
      <c r="DA12" s="55" t="s">
        <v>119</v>
      </c>
      <c r="DB12" s="55" t="s">
        <v>120</v>
      </c>
      <c r="DC12" s="55" t="s">
        <v>121</v>
      </c>
      <c r="DD12" s="55" t="s">
        <v>119</v>
      </c>
      <c r="DE12" s="55" t="s">
        <v>120</v>
      </c>
      <c r="DF12" s="55" t="s">
        <v>121</v>
      </c>
      <c r="DG12" s="55" t="s">
        <v>119</v>
      </c>
      <c r="DH12" s="55" t="s">
        <v>120</v>
      </c>
      <c r="DI12" s="55" t="s">
        <v>121</v>
      </c>
      <c r="DJ12" s="55" t="s">
        <v>119</v>
      </c>
      <c r="DK12" s="55" t="s">
        <v>120</v>
      </c>
      <c r="DL12" s="55" t="s">
        <v>121</v>
      </c>
      <c r="DM12" s="55" t="s">
        <v>119</v>
      </c>
      <c r="DN12" s="55" t="s">
        <v>120</v>
      </c>
      <c r="DO12" s="55" t="s">
        <v>121</v>
      </c>
      <c r="DP12" s="55" t="s">
        <v>119</v>
      </c>
      <c r="DQ12" s="55" t="s">
        <v>120</v>
      </c>
      <c r="DR12" s="55" t="s">
        <v>121</v>
      </c>
      <c r="DS12" s="55" t="s">
        <v>119</v>
      </c>
      <c r="DT12" s="55" t="s">
        <v>120</v>
      </c>
      <c r="DU12" s="55" t="s">
        <v>121</v>
      </c>
      <c r="DV12" s="55" t="s">
        <v>119</v>
      </c>
      <c r="DW12" s="55" t="s">
        <v>120</v>
      </c>
      <c r="DX12" s="55" t="s">
        <v>121</v>
      </c>
      <c r="DY12" s="55" t="s">
        <v>119</v>
      </c>
      <c r="DZ12" s="55" t="s">
        <v>120</v>
      </c>
      <c r="EA12" s="55" t="s">
        <v>121</v>
      </c>
      <c r="EB12" s="55" t="s">
        <v>119</v>
      </c>
      <c r="EC12" s="55" t="s">
        <v>120</v>
      </c>
      <c r="ED12" s="55" t="s">
        <v>121</v>
      </c>
      <c r="EE12" s="55" t="s">
        <v>119</v>
      </c>
      <c r="EF12" s="55" t="s">
        <v>120</v>
      </c>
      <c r="EG12" s="55" t="s">
        <v>121</v>
      </c>
      <c r="EH12" s="55" t="s">
        <v>119</v>
      </c>
      <c r="EI12" s="55" t="s">
        <v>120</v>
      </c>
      <c r="EJ12" s="55" t="s">
        <v>121</v>
      </c>
      <c r="EK12" s="55" t="s">
        <v>119</v>
      </c>
      <c r="EL12" s="55" t="s">
        <v>120</v>
      </c>
      <c r="EM12" s="55" t="s">
        <v>121</v>
      </c>
      <c r="EN12" s="55" t="s">
        <v>119</v>
      </c>
      <c r="EO12" s="55" t="s">
        <v>120</v>
      </c>
      <c r="EP12" s="55" t="s">
        <v>121</v>
      </c>
      <c r="EQ12" s="55" t="s">
        <v>119</v>
      </c>
      <c r="ER12" s="55" t="s">
        <v>120</v>
      </c>
      <c r="ES12" s="55" t="s">
        <v>121</v>
      </c>
      <c r="ET12" s="55" t="s">
        <v>119</v>
      </c>
      <c r="EU12" s="55" t="s">
        <v>120</v>
      </c>
      <c r="EV12" s="55" t="s">
        <v>121</v>
      </c>
      <c r="EW12" s="55" t="s">
        <v>119</v>
      </c>
      <c r="EX12" s="55" t="s">
        <v>120</v>
      </c>
      <c r="EY12" s="55" t="s">
        <v>121</v>
      </c>
      <c r="FA12" s="71"/>
      <c r="FB12" s="71"/>
      <c r="FC12" s="71"/>
    </row>
    <row r="13" spans="1:155" s="59" customFormat="1" ht="24" customHeight="1">
      <c r="A13" s="55">
        <v>1</v>
      </c>
      <c r="B13" s="55">
        <v>2</v>
      </c>
      <c r="C13" s="55">
        <v>3</v>
      </c>
      <c r="D13" s="72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5">
        <v>16</v>
      </c>
      <c r="Q13" s="55">
        <v>17</v>
      </c>
      <c r="R13" s="55">
        <v>18</v>
      </c>
      <c r="S13" s="55">
        <v>19</v>
      </c>
      <c r="T13" s="55">
        <v>20</v>
      </c>
      <c r="U13" s="55">
        <v>21</v>
      </c>
      <c r="V13" s="55">
        <v>22</v>
      </c>
      <c r="W13" s="55">
        <v>23</v>
      </c>
      <c r="X13" s="55">
        <v>24</v>
      </c>
      <c r="Y13" s="55">
        <v>25</v>
      </c>
      <c r="Z13" s="55">
        <v>26</v>
      </c>
      <c r="AA13" s="55">
        <v>27</v>
      </c>
      <c r="AB13" s="55">
        <v>28</v>
      </c>
      <c r="AC13" s="55">
        <v>29</v>
      </c>
      <c r="AD13" s="55">
        <v>30</v>
      </c>
      <c r="AE13" s="55">
        <v>31</v>
      </c>
      <c r="AF13" s="55">
        <v>32</v>
      </c>
      <c r="AG13" s="55">
        <v>33</v>
      </c>
      <c r="AH13" s="55">
        <v>34</v>
      </c>
      <c r="AI13" s="55">
        <v>35</v>
      </c>
      <c r="AJ13" s="55">
        <v>36</v>
      </c>
      <c r="AK13" s="55">
        <v>37</v>
      </c>
      <c r="AL13" s="55">
        <v>38</v>
      </c>
      <c r="AM13" s="55">
        <v>39</v>
      </c>
      <c r="AN13" s="55">
        <v>40</v>
      </c>
      <c r="AO13" s="55">
        <v>41</v>
      </c>
      <c r="AP13" s="55">
        <v>42</v>
      </c>
      <c r="AQ13" s="55">
        <v>43</v>
      </c>
      <c r="AR13" s="55">
        <v>44</v>
      </c>
      <c r="AS13" s="55">
        <v>45</v>
      </c>
      <c r="AT13" s="55">
        <v>46</v>
      </c>
      <c r="AU13" s="55">
        <v>47</v>
      </c>
      <c r="AV13" s="55">
        <v>48</v>
      </c>
      <c r="AW13" s="55">
        <v>49</v>
      </c>
      <c r="AX13" s="55">
        <v>50</v>
      </c>
      <c r="AY13" s="55">
        <v>48</v>
      </c>
      <c r="AZ13" s="55">
        <v>49</v>
      </c>
      <c r="BA13" s="55">
        <v>50</v>
      </c>
      <c r="BB13" s="55">
        <v>51</v>
      </c>
      <c r="BC13" s="55">
        <v>52</v>
      </c>
      <c r="BD13" s="55">
        <v>56</v>
      </c>
      <c r="BE13" s="55">
        <v>51</v>
      </c>
      <c r="BF13" s="55">
        <v>52</v>
      </c>
      <c r="BG13" s="55">
        <v>53</v>
      </c>
      <c r="BH13" s="55">
        <v>60</v>
      </c>
      <c r="BI13" s="73">
        <v>61</v>
      </c>
      <c r="BJ13" s="74">
        <v>62</v>
      </c>
      <c r="BK13" s="55">
        <v>63</v>
      </c>
      <c r="BL13" s="55">
        <v>64</v>
      </c>
      <c r="BM13" s="55">
        <v>65</v>
      </c>
      <c r="BN13" s="55">
        <v>66</v>
      </c>
      <c r="BO13" s="55">
        <v>67</v>
      </c>
      <c r="BP13" s="55">
        <v>68</v>
      </c>
      <c r="BQ13" s="55">
        <v>54</v>
      </c>
      <c r="BR13" s="55">
        <v>55</v>
      </c>
      <c r="BS13" s="55">
        <v>56</v>
      </c>
      <c r="BT13" s="55">
        <v>72</v>
      </c>
      <c r="BU13" s="55">
        <v>73</v>
      </c>
      <c r="BV13" s="55">
        <v>74</v>
      </c>
      <c r="BW13" s="55">
        <v>75</v>
      </c>
      <c r="BX13" s="55">
        <v>76</v>
      </c>
      <c r="BY13" s="55">
        <v>77</v>
      </c>
      <c r="BZ13" s="55">
        <v>57</v>
      </c>
      <c r="CA13" s="55">
        <v>58</v>
      </c>
      <c r="CB13" s="55">
        <v>59</v>
      </c>
      <c r="CC13" s="55">
        <v>60</v>
      </c>
      <c r="CD13" s="55">
        <v>61</v>
      </c>
      <c r="CE13" s="55">
        <v>62</v>
      </c>
      <c r="CF13" s="55">
        <v>63</v>
      </c>
      <c r="CG13" s="55">
        <v>64</v>
      </c>
      <c r="CH13" s="55">
        <v>65</v>
      </c>
      <c r="CI13" s="55">
        <v>66</v>
      </c>
      <c r="CJ13" s="55">
        <v>67</v>
      </c>
      <c r="CK13" s="55">
        <v>68</v>
      </c>
      <c r="CL13" s="55">
        <v>69</v>
      </c>
      <c r="CM13" s="55">
        <v>70</v>
      </c>
      <c r="CN13" s="55">
        <v>71</v>
      </c>
      <c r="CO13" s="55">
        <v>72</v>
      </c>
      <c r="CP13" s="55">
        <v>73</v>
      </c>
      <c r="CQ13" s="55">
        <v>74</v>
      </c>
      <c r="CR13" s="55">
        <v>75</v>
      </c>
      <c r="CS13" s="55">
        <v>76</v>
      </c>
      <c r="CT13" s="55">
        <v>77</v>
      </c>
      <c r="CU13" s="55">
        <v>78</v>
      </c>
      <c r="CV13" s="55">
        <v>79</v>
      </c>
      <c r="CW13" s="55">
        <v>80</v>
      </c>
      <c r="CX13" s="55">
        <v>96</v>
      </c>
      <c r="CY13" s="55">
        <v>97</v>
      </c>
      <c r="CZ13" s="55">
        <v>98</v>
      </c>
      <c r="DA13" s="55">
        <v>99</v>
      </c>
      <c r="DB13" s="55">
        <v>100</v>
      </c>
      <c r="DC13" s="55">
        <v>101</v>
      </c>
      <c r="DD13" s="55">
        <v>102</v>
      </c>
      <c r="DE13" s="55">
        <v>103</v>
      </c>
      <c r="DF13" s="55">
        <v>104</v>
      </c>
      <c r="DG13" s="55">
        <v>81</v>
      </c>
      <c r="DH13" s="55">
        <v>82</v>
      </c>
      <c r="DI13" s="55">
        <v>83</v>
      </c>
      <c r="DJ13" s="55">
        <v>84</v>
      </c>
      <c r="DK13" s="55">
        <v>85</v>
      </c>
      <c r="DL13" s="55">
        <v>86</v>
      </c>
      <c r="DM13" s="55">
        <v>87</v>
      </c>
      <c r="DN13" s="55">
        <v>88</v>
      </c>
      <c r="DO13" s="55">
        <v>89</v>
      </c>
      <c r="DP13" s="55">
        <v>90</v>
      </c>
      <c r="DQ13" s="55">
        <v>91</v>
      </c>
      <c r="DR13" s="55">
        <v>92</v>
      </c>
      <c r="DS13" s="55">
        <v>93</v>
      </c>
      <c r="DT13" s="55">
        <v>94</v>
      </c>
      <c r="DU13" s="55">
        <v>95</v>
      </c>
      <c r="DV13" s="55">
        <v>96</v>
      </c>
      <c r="DW13" s="55">
        <v>97</v>
      </c>
      <c r="DX13" s="55">
        <v>98</v>
      </c>
      <c r="DY13" s="55">
        <v>99</v>
      </c>
      <c r="DZ13" s="55">
        <v>100</v>
      </c>
      <c r="EA13" s="55">
        <v>101</v>
      </c>
      <c r="EB13" s="55">
        <v>102</v>
      </c>
      <c r="EC13" s="55">
        <v>103</v>
      </c>
      <c r="ED13" s="55">
        <v>104</v>
      </c>
      <c r="EE13" s="55">
        <v>105</v>
      </c>
      <c r="EF13" s="55">
        <v>106</v>
      </c>
      <c r="EG13" s="55">
        <v>107</v>
      </c>
      <c r="EH13" s="55">
        <v>108</v>
      </c>
      <c r="EI13" s="55">
        <v>109</v>
      </c>
      <c r="EJ13" s="55">
        <v>110</v>
      </c>
      <c r="EK13" s="55">
        <v>111</v>
      </c>
      <c r="EL13" s="55">
        <v>112</v>
      </c>
      <c r="EM13" s="55">
        <v>113</v>
      </c>
      <c r="EN13" s="55">
        <v>114</v>
      </c>
      <c r="EO13" s="55">
        <v>115</v>
      </c>
      <c r="EP13" s="55">
        <v>116</v>
      </c>
      <c r="EQ13" s="55">
        <v>117</v>
      </c>
      <c r="ER13" s="55">
        <v>118</v>
      </c>
      <c r="ES13" s="55">
        <v>119</v>
      </c>
      <c r="ET13" s="55">
        <v>120</v>
      </c>
      <c r="EU13" s="55">
        <v>121</v>
      </c>
      <c r="EV13" s="55">
        <v>122</v>
      </c>
      <c r="EW13" s="55">
        <v>123</v>
      </c>
      <c r="EX13" s="55">
        <v>124</v>
      </c>
      <c r="EY13" s="55">
        <v>125</v>
      </c>
    </row>
    <row r="14" spans="1:159" s="59" customFormat="1" ht="25.5" customHeight="1">
      <c r="A14" s="75">
        <v>1</v>
      </c>
      <c r="B14" s="76" t="s">
        <v>123</v>
      </c>
      <c r="C14" s="77">
        <f aca="true" t="shared" si="0" ref="C14:C29">F14+BZ14</f>
        <v>4314.688</v>
      </c>
      <c r="D14" s="78">
        <f aca="true" t="shared" si="1" ref="D14:D29">G14+CA14+CY14</f>
        <v>3015.07936</v>
      </c>
      <c r="E14" s="79">
        <f aca="true" t="shared" si="2" ref="E14:E29">D14/C14*100</f>
        <v>69.87942952074403</v>
      </c>
      <c r="F14" s="80">
        <f aca="true" t="shared" si="3" ref="F14:F29">I14+X14+AA14+AD14+AG14+AM14+AS14+BE14+BQ14+BN14+AJ14+AY14+L14+R14+O14+U14+AP14</f>
        <v>639.72</v>
      </c>
      <c r="G14" s="80">
        <f aca="true" t="shared" si="4" ref="G14:G29">J14+Y14+AB14+AE14+AH14+AN14+AT14+BF14+AK14+BR14+BO14+AZ14+M14+S14+P14+V14+AQ14</f>
        <v>537.09006</v>
      </c>
      <c r="H14" s="79">
        <f aca="true" t="shared" si="5" ref="H14:H29">G14/F14*100</f>
        <v>83.957053085725</v>
      </c>
      <c r="I14" s="81">
        <f>Але!C6</f>
        <v>62.67</v>
      </c>
      <c r="J14" s="82">
        <f>Але!D6</f>
        <v>61.4979</v>
      </c>
      <c r="K14" s="79">
        <f aca="true" t="shared" si="6" ref="K14:K29">J14/I14*100</f>
        <v>98.12972714217328</v>
      </c>
      <c r="L14" s="79">
        <f>Але!C8</f>
        <v>93.16</v>
      </c>
      <c r="M14" s="79">
        <f>Але!D8</f>
        <v>117.18257</v>
      </c>
      <c r="N14" s="79">
        <f aca="true" t="shared" si="7" ref="N14:N29">M14/L14*100</f>
        <v>125.78635680549593</v>
      </c>
      <c r="O14" s="79">
        <f>Але!C9</f>
        <v>1</v>
      </c>
      <c r="P14" s="79">
        <f>Але!D9</f>
        <v>0.83122</v>
      </c>
      <c r="Q14" s="79">
        <f aca="true" t="shared" si="8" ref="Q14:Q29">P14/O14*100</f>
        <v>83.122</v>
      </c>
      <c r="R14" s="79">
        <f>Але!C10</f>
        <v>155.59</v>
      </c>
      <c r="S14" s="79">
        <f>Але!D10</f>
        <v>157.49863</v>
      </c>
      <c r="T14" s="79">
        <f aca="true" t="shared" si="9" ref="T14:T29">S14/R14*100</f>
        <v>101.22670480107976</v>
      </c>
      <c r="U14" s="79">
        <f>Але!C11</f>
        <v>0</v>
      </c>
      <c r="V14" s="83">
        <f>Але!D11</f>
        <v>-19.85479</v>
      </c>
      <c r="W14" s="79" t="e">
        <f aca="true" t="shared" si="10" ref="W14:W29">V14/U14*100</f>
        <v>#DIV/0!</v>
      </c>
      <c r="X14" s="84">
        <f>Але!C13</f>
        <v>25</v>
      </c>
      <c r="Y14" s="85">
        <f>Але!D13</f>
        <v>0</v>
      </c>
      <c r="Z14" s="79">
        <f aca="true" t="shared" si="11" ref="Z14:Z29">Y14/X14*100</f>
        <v>0</v>
      </c>
      <c r="AA14" s="84">
        <f>Але!C15</f>
        <v>50</v>
      </c>
      <c r="AB14" s="86">
        <f>Але!D15</f>
        <v>37.05415</v>
      </c>
      <c r="AC14" s="79">
        <f aca="true" t="shared" si="12" ref="AC14:AC29">AB14/AA14*100</f>
        <v>74.1083</v>
      </c>
      <c r="AD14" s="84">
        <f>Але!C16</f>
        <v>195</v>
      </c>
      <c r="AE14" s="84">
        <f>Але!D16</f>
        <v>127.5957</v>
      </c>
      <c r="AF14" s="79">
        <f aca="true" t="shared" si="13" ref="AF14:AF29">AE14/AD14*100</f>
        <v>65.4336923076923</v>
      </c>
      <c r="AG14" s="79">
        <f>Але!C18</f>
        <v>3</v>
      </c>
      <c r="AH14" s="79">
        <f>Але!D18</f>
        <v>1</v>
      </c>
      <c r="AI14" s="79">
        <f aca="true" t="shared" si="14" ref="AI14:AI29">AH14/AG14*100</f>
        <v>33.33333333333333</v>
      </c>
      <c r="AJ14" s="79"/>
      <c r="AK14" s="79"/>
      <c r="AL14" s="87" t="e">
        <f aca="true" t="shared" si="15" ref="AL14:AL24">AK14/AJ14*100</f>
        <v>#DIV/0!</v>
      </c>
      <c r="AM14" s="84">
        <v>0</v>
      </c>
      <c r="AN14" s="84">
        <v>0</v>
      </c>
      <c r="AO14" s="87" t="e">
        <f aca="true" t="shared" si="16" ref="AO14:AO29">AN14/AM14*100</f>
        <v>#DIV/0!</v>
      </c>
      <c r="AP14" s="84">
        <f>Але!C27</f>
        <v>54.3</v>
      </c>
      <c r="AQ14" s="86">
        <f>Але!D27</f>
        <v>54.28468</v>
      </c>
      <c r="AR14" s="79">
        <f aca="true" t="shared" si="17" ref="AR14:AR29">AQ14/AP14*100</f>
        <v>99.97178637200737</v>
      </c>
      <c r="AS14" s="84">
        <f>Але!C28</f>
        <v>0</v>
      </c>
      <c r="AT14" s="86">
        <f>Але!D28</f>
        <v>0</v>
      </c>
      <c r="AU14" s="79" t="e">
        <f aca="true" t="shared" si="18" ref="AU14:AU29">AT14/AS14*100</f>
        <v>#DIV/0!</v>
      </c>
      <c r="AV14" s="84"/>
      <c r="AW14" s="84"/>
      <c r="AX14" s="79" t="e">
        <f aca="true" t="shared" si="19" ref="AX14:AX29">AW14/AV14*100</f>
        <v>#DIV/0!</v>
      </c>
      <c r="AY14" s="79">
        <f>Але!C29</f>
        <v>0</v>
      </c>
      <c r="AZ14" s="79">
        <f>Але!D29</f>
        <v>0</v>
      </c>
      <c r="BA14" s="79" t="e">
        <f aca="true" t="shared" si="20" ref="BA14:BA31">AZ14/AY14*100</f>
        <v>#DIV/0!</v>
      </c>
      <c r="BB14" s="79">
        <f>Але!C30</f>
        <v>0</v>
      </c>
      <c r="BC14" s="79">
        <f>Але!D30</f>
        <v>0</v>
      </c>
      <c r="BD14" s="79" t="e">
        <f>BC14/BB14*100</f>
        <v>#DIV/0!</v>
      </c>
      <c r="BE14" s="79">
        <f>Але!C32</f>
        <v>0</v>
      </c>
      <c r="BF14" s="79">
        <f>Але!D31</f>
        <v>0</v>
      </c>
      <c r="BG14" s="79" t="e">
        <f>BF14/BE14*100</f>
        <v>#DIV/0!</v>
      </c>
      <c r="BH14" s="79"/>
      <c r="BI14" s="79"/>
      <c r="BJ14" s="79" t="e">
        <f>BI14/BH14*100</f>
        <v>#DIV/0!</v>
      </c>
      <c r="BK14" s="79"/>
      <c r="BL14" s="79"/>
      <c r="BM14" s="79"/>
      <c r="BN14" s="79"/>
      <c r="BO14" s="88"/>
      <c r="BP14" s="89" t="e">
        <f aca="true" t="shared" si="21" ref="BP14:BP29">BO14/BN14*100</f>
        <v>#DIV/0!</v>
      </c>
      <c r="BQ14" s="79">
        <f>Але!C34</f>
        <v>0</v>
      </c>
      <c r="BR14" s="79">
        <f>Але!D35</f>
        <v>0</v>
      </c>
      <c r="BS14" s="79" t="e">
        <f aca="true" t="shared" si="22" ref="BS14:BS29">BR14/BQ14*100</f>
        <v>#DIV/0!</v>
      </c>
      <c r="BT14" s="79"/>
      <c r="BU14" s="79"/>
      <c r="BV14" s="90" t="e">
        <f aca="true" t="shared" si="23" ref="BV14:BV29">BT14/BU14*100</f>
        <v>#DIV/0!</v>
      </c>
      <c r="BW14" s="90"/>
      <c r="BX14" s="90"/>
      <c r="BY14" s="90" t="e">
        <f aca="true" t="shared" si="24" ref="BY14:BY29">BW14/BX14*100</f>
        <v>#DIV/0!</v>
      </c>
      <c r="BZ14" s="84">
        <f aca="true" t="shared" si="25" ref="BZ14:BZ29">CC14+CF14+CI14+CL14+CR14+CO14</f>
        <v>3674.968</v>
      </c>
      <c r="CA14" s="84">
        <f aca="true" t="shared" si="26" ref="CA14:CA29">CD14+CG14+CJ14+CM14+CS14+CP14+CV14</f>
        <v>2477.9893</v>
      </c>
      <c r="CB14" s="79">
        <f aca="true" t="shared" si="27" ref="CB14:CB29">CA14/BZ14*100</f>
        <v>67.42886740782505</v>
      </c>
      <c r="CC14" s="87">
        <f>Але!C39</f>
        <v>1901.5</v>
      </c>
      <c r="CD14" s="87">
        <f>Але!D39</f>
        <v>1743.06</v>
      </c>
      <c r="CE14" s="79">
        <f aca="true" t="shared" si="28" ref="CE14:CE29">CD14/CC14*100</f>
        <v>91.66763081777543</v>
      </c>
      <c r="CF14" s="79">
        <f>Але!C40</f>
        <v>0</v>
      </c>
      <c r="CG14" s="91">
        <f>Але!D40</f>
        <v>0</v>
      </c>
      <c r="CH14" s="79" t="e">
        <f aca="true" t="shared" si="29" ref="CH14:CH29">CG14/CF14*100</f>
        <v>#DIV/0!</v>
      </c>
      <c r="CI14" s="79">
        <f>Але!C41</f>
        <v>366.14</v>
      </c>
      <c r="CJ14" s="79">
        <f>Але!D41</f>
        <v>352.212</v>
      </c>
      <c r="CK14" s="79">
        <f aca="true" t="shared" si="30" ref="CK14:CK29">CJ14/CI14*100</f>
        <v>96.19599060468673</v>
      </c>
      <c r="CL14" s="79">
        <f>Але!C42</f>
        <v>103.383</v>
      </c>
      <c r="CM14" s="79">
        <f>Але!D42</f>
        <v>94.3723</v>
      </c>
      <c r="CN14" s="79">
        <f aca="true" t="shared" si="31" ref="CN14:CN29">CM14/CL14*100</f>
        <v>91.28415696971456</v>
      </c>
      <c r="CO14" s="79">
        <f>Але!C44</f>
        <v>1303.945</v>
      </c>
      <c r="CP14" s="79">
        <f>Але!D44</f>
        <v>288.345</v>
      </c>
      <c r="CQ14" s="79">
        <f aca="true" t="shared" si="32" ref="CQ14:CQ29">CP14/CO14*100</f>
        <v>22.11327931776264</v>
      </c>
      <c r="CR14" s="83">
        <f>Але!C43</f>
        <v>0</v>
      </c>
      <c r="CS14" s="79">
        <f>Але!D43</f>
        <v>0</v>
      </c>
      <c r="CT14" s="79" t="e">
        <f aca="true" t="shared" si="33" ref="CT14:CT29">CS14/CR14*100</f>
        <v>#DIV/0!</v>
      </c>
      <c r="CU14" s="79"/>
      <c r="CV14" s="79">
        <f>Але!D45</f>
        <v>0</v>
      </c>
      <c r="CW14" s="79" t="e">
        <f>CV13:CV14/CU14*100</f>
        <v>#DIV/0!</v>
      </c>
      <c r="CX14" s="84"/>
      <c r="CY14" s="84"/>
      <c r="CZ14" s="79" t="e">
        <f aca="true" t="shared" si="34" ref="CZ14:CZ29">CY14/CX14*100</f>
        <v>#DIV/0!</v>
      </c>
      <c r="DA14" s="79"/>
      <c r="DB14" s="79"/>
      <c r="DC14" s="79"/>
      <c r="DD14" s="79"/>
      <c r="DE14" s="79"/>
      <c r="DF14" s="79"/>
      <c r="DG14" s="84">
        <f aca="true" t="shared" si="35" ref="DG14:DG29">DJ14+DY14+EB14+EE14+EH14+EK14+EN14+EQ14+ET14</f>
        <v>4301.7522</v>
      </c>
      <c r="DH14" s="84">
        <f aca="true" t="shared" si="36" ref="DH14:DH29">DK14+DZ14+EC14+EF14+EI14+EL14+EO14+ER14+EU14</f>
        <v>2813.8346</v>
      </c>
      <c r="DI14" s="79">
        <f aca="true" t="shared" si="37" ref="DI14:DI29">DH14/DG14*100</f>
        <v>65.41135958505467</v>
      </c>
      <c r="DJ14" s="84">
        <f aca="true" t="shared" si="38" ref="DJ14:DK20">DM14+DP14+DS14+DV14</f>
        <v>1265.808</v>
      </c>
      <c r="DK14" s="84">
        <f t="shared" si="38"/>
        <v>1095.19869</v>
      </c>
      <c r="DL14" s="79">
        <f aca="true" t="shared" si="39" ref="DL14:DL29">DK14/DJ14*100</f>
        <v>86.52170708353873</v>
      </c>
      <c r="DM14" s="79">
        <f>Але!C54</f>
        <v>1195.8</v>
      </c>
      <c r="DN14" s="79">
        <f>Але!D54</f>
        <v>1075.19069</v>
      </c>
      <c r="DO14" s="79">
        <f aca="true" t="shared" si="40" ref="DO14:DO29">DN14/DM14*100</f>
        <v>89.91392289680547</v>
      </c>
      <c r="DP14" s="79">
        <f>Але!C57</f>
        <v>0</v>
      </c>
      <c r="DQ14" s="79">
        <f>Але!D57</f>
        <v>0</v>
      </c>
      <c r="DR14" s="79" t="e">
        <f aca="true" t="shared" si="41" ref="DR14:DR29">DQ14/DP14*100</f>
        <v>#DIV/0!</v>
      </c>
      <c r="DS14" s="79">
        <f>Але!C58</f>
        <v>50</v>
      </c>
      <c r="DT14" s="79">
        <f>Але!D58</f>
        <v>0</v>
      </c>
      <c r="DU14" s="79">
        <f aca="true" t="shared" si="42" ref="DU14:DU29">DT14/DS14*100</f>
        <v>0</v>
      </c>
      <c r="DV14" s="79">
        <f>Але!C59</f>
        <v>20.008</v>
      </c>
      <c r="DW14" s="79">
        <f>Але!D59</f>
        <v>20.008</v>
      </c>
      <c r="DX14" s="79">
        <f aca="true" t="shared" si="43" ref="DX14:DX29">DW14/DV14*100</f>
        <v>100</v>
      </c>
      <c r="DY14" s="79">
        <f>Але!C61</f>
        <v>103.383</v>
      </c>
      <c r="DZ14" s="79">
        <f>Але!D61</f>
        <v>87.18856</v>
      </c>
      <c r="EA14" s="79">
        <f aca="true" t="shared" si="44" ref="EA14:EA29">DZ14/DY14*100</f>
        <v>84.33549036108451</v>
      </c>
      <c r="EB14" s="79">
        <f>Але!C62</f>
        <v>18.5</v>
      </c>
      <c r="EC14" s="79">
        <f>Але!D62</f>
        <v>12.13554</v>
      </c>
      <c r="ED14" s="79">
        <f aca="true" t="shared" si="45" ref="ED14:ED29">EC14/EB14*100</f>
        <v>65.59751351351352</v>
      </c>
      <c r="EE14" s="84">
        <f>Але!C68</f>
        <v>901.9442</v>
      </c>
      <c r="EF14" s="84">
        <f>Але!D68</f>
        <v>789.40512</v>
      </c>
      <c r="EG14" s="79">
        <f aca="true" t="shared" si="46" ref="EG14:EG29">EF14/EE14*100</f>
        <v>87.52261170923877</v>
      </c>
      <c r="EH14" s="84">
        <f>Але!C73</f>
        <v>647.913</v>
      </c>
      <c r="EI14" s="84">
        <f>Але!D73</f>
        <v>532.70269</v>
      </c>
      <c r="EJ14" s="79">
        <f aca="true" t="shared" si="47" ref="EJ14:EJ29">EI14/EH14*100</f>
        <v>82.21824380742476</v>
      </c>
      <c r="EK14" s="84">
        <f>Але!C77</f>
        <v>1334.204</v>
      </c>
      <c r="EL14" s="92">
        <f>Але!D77</f>
        <v>297.204</v>
      </c>
      <c r="EM14" s="79">
        <f aca="true" t="shared" si="48" ref="EM14:EM29">EL14/EK14*100</f>
        <v>22.275753932681962</v>
      </c>
      <c r="EN14" s="79">
        <f>Але!C79</f>
        <v>0</v>
      </c>
      <c r="EO14" s="79">
        <f>Але!D79</f>
        <v>0</v>
      </c>
      <c r="EP14" s="79" t="e">
        <f aca="true" t="shared" si="49" ref="EP14:EP29">EO14/EN14*100</f>
        <v>#DIV/0!</v>
      </c>
      <c r="EQ14" s="80">
        <f>Але!C84</f>
        <v>30</v>
      </c>
      <c r="ER14" s="80">
        <f>Але!D84</f>
        <v>0</v>
      </c>
      <c r="ES14" s="79">
        <f aca="true" t="shared" si="50" ref="ES14:ES29">ER14/EQ14*100</f>
        <v>0</v>
      </c>
      <c r="ET14" s="79">
        <f>Але!C90</f>
        <v>0</v>
      </c>
      <c r="EU14" s="79">
        <f>Але!D90</f>
        <v>0</v>
      </c>
      <c r="EV14" s="79" t="e">
        <f aca="true" t="shared" si="51" ref="EV14:EV29">EU14/ET14*100</f>
        <v>#DIV/0!</v>
      </c>
      <c r="EW14" s="88">
        <f aca="true" t="shared" si="52" ref="EW14:EW29">SUM(C14-DG14)</f>
        <v>12.9358000000002</v>
      </c>
      <c r="EX14" s="88">
        <f aca="true" t="shared" si="53" ref="EX14:EX29">SUM(D14-DH14)</f>
        <v>201.24476000000004</v>
      </c>
      <c r="EY14" s="79">
        <f>EX14/EW14*1</f>
        <v>15.55719476182354</v>
      </c>
      <c r="EZ14" s="93"/>
      <c r="FA14" s="94"/>
      <c r="FC14" s="94"/>
    </row>
    <row r="15" spans="1:159" s="105" customFormat="1" ht="22.5" customHeight="1">
      <c r="A15" s="75">
        <v>2</v>
      </c>
      <c r="B15" s="95" t="s">
        <v>124</v>
      </c>
      <c r="C15" s="77">
        <f t="shared" si="0"/>
        <v>20214.31281</v>
      </c>
      <c r="D15" s="78">
        <f t="shared" si="1"/>
        <v>16736.44471</v>
      </c>
      <c r="E15" s="87">
        <f t="shared" si="2"/>
        <v>82.79502186055268</v>
      </c>
      <c r="F15" s="80">
        <f t="shared" si="3"/>
        <v>3721.32</v>
      </c>
      <c r="G15" s="80">
        <f t="shared" si="4"/>
        <v>3329.2156</v>
      </c>
      <c r="H15" s="87">
        <f t="shared" si="5"/>
        <v>89.46329796953769</v>
      </c>
      <c r="I15" s="96">
        <f>Сун!C6</f>
        <v>350.22</v>
      </c>
      <c r="J15" s="97">
        <f>Сун!D6</f>
        <v>351.62362</v>
      </c>
      <c r="K15" s="87">
        <f t="shared" si="6"/>
        <v>100.40078236537033</v>
      </c>
      <c r="L15" s="87">
        <f>Сун!C8</f>
        <v>267.48</v>
      </c>
      <c r="M15" s="87">
        <f>Сун!D8</f>
        <v>336.46492</v>
      </c>
      <c r="N15" s="79">
        <f t="shared" si="7"/>
        <v>125.79068341558246</v>
      </c>
      <c r="O15" s="79">
        <f>Сун!C9</f>
        <v>2.87</v>
      </c>
      <c r="P15" s="79">
        <f>Сун!D9</f>
        <v>2.38662</v>
      </c>
      <c r="Q15" s="79">
        <f t="shared" si="8"/>
        <v>83.15749128919862</v>
      </c>
      <c r="R15" s="79">
        <f>Сун!C10</f>
        <v>492.75</v>
      </c>
      <c r="S15" s="79">
        <f>Сун!D10</f>
        <v>452.22381</v>
      </c>
      <c r="T15" s="79">
        <f t="shared" si="9"/>
        <v>91.77550684931506</v>
      </c>
      <c r="U15" s="79">
        <f>Сун!C11</f>
        <v>0</v>
      </c>
      <c r="V15" s="83">
        <f>Сун!D11</f>
        <v>-57.00886</v>
      </c>
      <c r="W15" s="79" t="e">
        <f t="shared" si="10"/>
        <v>#DIV/0!</v>
      </c>
      <c r="X15" s="96">
        <f>Сун!C13</f>
        <v>40</v>
      </c>
      <c r="Y15" s="96">
        <f>Сун!D13</f>
        <v>43.1714</v>
      </c>
      <c r="Z15" s="87">
        <f t="shared" si="11"/>
        <v>107.9285</v>
      </c>
      <c r="AA15" s="96">
        <f>Сун!C15</f>
        <v>943</v>
      </c>
      <c r="AB15" s="86">
        <f>Сун!D15</f>
        <v>771.43383</v>
      </c>
      <c r="AC15" s="87">
        <f t="shared" si="12"/>
        <v>81.8063446447508</v>
      </c>
      <c r="AD15" s="96">
        <f>Сун!C16</f>
        <v>1200</v>
      </c>
      <c r="AE15" s="96">
        <f>Сун!D16</f>
        <v>1326.40182</v>
      </c>
      <c r="AF15" s="87">
        <f t="shared" si="13"/>
        <v>110.533485</v>
      </c>
      <c r="AG15" s="87">
        <f>Сун!C18</f>
        <v>10</v>
      </c>
      <c r="AH15" s="87">
        <f>Сун!D18</f>
        <v>3.56</v>
      </c>
      <c r="AI15" s="87">
        <f t="shared" si="14"/>
        <v>35.6</v>
      </c>
      <c r="AJ15" s="87"/>
      <c r="AK15" s="87"/>
      <c r="AL15" s="87" t="e">
        <f t="shared" si="15"/>
        <v>#DIV/0!</v>
      </c>
      <c r="AM15" s="96">
        <f>Сун!C27</f>
        <v>0</v>
      </c>
      <c r="AN15" s="96">
        <f>Сун!D27</f>
        <v>0</v>
      </c>
      <c r="AO15" s="87" t="e">
        <f t="shared" si="16"/>
        <v>#DIV/0!</v>
      </c>
      <c r="AP15" s="96">
        <f>Сун!C28</f>
        <v>165</v>
      </c>
      <c r="AQ15" s="98">
        <f>Сун!D28</f>
        <v>6.8</v>
      </c>
      <c r="AR15" s="87">
        <f t="shared" si="17"/>
        <v>4.121212121212121</v>
      </c>
      <c r="AS15" s="84">
        <f>Сун!C29</f>
        <v>50</v>
      </c>
      <c r="AT15" s="98">
        <f>Сун!D29</f>
        <v>45.837</v>
      </c>
      <c r="AU15" s="87">
        <f t="shared" si="18"/>
        <v>91.674</v>
      </c>
      <c r="AV15" s="96"/>
      <c r="AW15" s="96"/>
      <c r="AX15" s="87" t="e">
        <f t="shared" si="19"/>
        <v>#DIV/0!</v>
      </c>
      <c r="AY15" s="87">
        <f>Сун!C31</f>
        <v>200</v>
      </c>
      <c r="AZ15" s="79">
        <f>Сун!D31</f>
        <v>48.89459</v>
      </c>
      <c r="BA15" s="87">
        <f t="shared" si="20"/>
        <v>24.447295</v>
      </c>
      <c r="BB15" s="87"/>
      <c r="BC15" s="87"/>
      <c r="BD15" s="87"/>
      <c r="BE15" s="87">
        <f>Сун!C32</f>
        <v>0</v>
      </c>
      <c r="BF15" s="87">
        <f>Сун!D32</f>
        <v>0</v>
      </c>
      <c r="BG15" s="87" t="e">
        <f>BF15/BE15*100</f>
        <v>#DIV/0!</v>
      </c>
      <c r="BH15" s="87"/>
      <c r="BI15" s="87"/>
      <c r="BJ15" s="87" t="e">
        <f>BI15/BH15*100</f>
        <v>#DIV/0!</v>
      </c>
      <c r="BK15" s="87">
        <f>Сун!C35</f>
        <v>0</v>
      </c>
      <c r="BL15" s="87">
        <f>Сун!D35</f>
        <v>0</v>
      </c>
      <c r="BM15" s="87"/>
      <c r="BN15" s="87">
        <f>Сун!C35</f>
        <v>0</v>
      </c>
      <c r="BO15" s="87">
        <f>Сун!D35</f>
        <v>0</v>
      </c>
      <c r="BP15" s="89" t="e">
        <f t="shared" si="21"/>
        <v>#DIV/0!</v>
      </c>
      <c r="BQ15" s="87">
        <f>Сун!C37</f>
        <v>0</v>
      </c>
      <c r="BR15" s="87">
        <f>Сун!D37</f>
        <v>-2.57315</v>
      </c>
      <c r="BS15" s="87" t="e">
        <f t="shared" si="22"/>
        <v>#DIV/0!</v>
      </c>
      <c r="BT15" s="87"/>
      <c r="BU15" s="87"/>
      <c r="BV15" s="99" t="e">
        <f t="shared" si="23"/>
        <v>#DIV/0!</v>
      </c>
      <c r="BW15" s="99"/>
      <c r="BX15" s="99"/>
      <c r="BY15" s="99" t="e">
        <f t="shared" si="24"/>
        <v>#DIV/0!</v>
      </c>
      <c r="BZ15" s="84">
        <f t="shared" si="25"/>
        <v>16492.99281</v>
      </c>
      <c r="CA15" s="84">
        <f t="shared" si="26"/>
        <v>13407.22911</v>
      </c>
      <c r="CB15" s="87">
        <f t="shared" si="27"/>
        <v>81.29045628317351</v>
      </c>
      <c r="CC15" s="87">
        <f>Сун!C42</f>
        <v>6036.4</v>
      </c>
      <c r="CD15" s="87">
        <f>Сун!D42</f>
        <v>5533.407</v>
      </c>
      <c r="CE15" s="87">
        <f t="shared" si="28"/>
        <v>91.66733483533233</v>
      </c>
      <c r="CF15" s="87">
        <f>Сун!C43</f>
        <v>0</v>
      </c>
      <c r="CG15" s="100">
        <f>Сун!D43</f>
        <v>0</v>
      </c>
      <c r="CH15" s="87" t="e">
        <f t="shared" si="29"/>
        <v>#DIV/0!</v>
      </c>
      <c r="CI15" s="101">
        <f>Сун!C44</f>
        <v>8509.34377</v>
      </c>
      <c r="CJ15" s="87">
        <f>Сун!D44</f>
        <v>6170.03067</v>
      </c>
      <c r="CK15" s="87">
        <f t="shared" si="30"/>
        <v>72.50888948396546</v>
      </c>
      <c r="CL15" s="87">
        <f>Сун!C46</f>
        <v>249.4229</v>
      </c>
      <c r="CM15" s="87">
        <f>Сун!D46</f>
        <v>188.7463</v>
      </c>
      <c r="CN15" s="87">
        <f t="shared" si="31"/>
        <v>75.6732040241694</v>
      </c>
      <c r="CO15" s="87">
        <f>Сун!C47</f>
        <v>1489.407</v>
      </c>
      <c r="CP15" s="87">
        <f>Сун!D47</f>
        <v>1306.626</v>
      </c>
      <c r="CQ15" s="79">
        <f t="shared" si="32"/>
        <v>87.72793467467254</v>
      </c>
      <c r="CR15" s="102">
        <f>Сун!C48</f>
        <v>208.41914</v>
      </c>
      <c r="CS15" s="87">
        <f>Сун!D48</f>
        <v>208.41914</v>
      </c>
      <c r="CT15" s="87">
        <f t="shared" si="33"/>
        <v>100</v>
      </c>
      <c r="CU15" s="87"/>
      <c r="CV15" s="87"/>
      <c r="CW15" s="87"/>
      <c r="CX15" s="96"/>
      <c r="CY15" s="96"/>
      <c r="CZ15" s="87" t="e">
        <f t="shared" si="34"/>
        <v>#DIV/0!</v>
      </c>
      <c r="DA15" s="87"/>
      <c r="DB15" s="87"/>
      <c r="DC15" s="87"/>
      <c r="DD15" s="87"/>
      <c r="DE15" s="87"/>
      <c r="DF15" s="87"/>
      <c r="DG15" s="84">
        <f t="shared" si="35"/>
        <v>21097.70924</v>
      </c>
      <c r="DH15" s="84">
        <f t="shared" si="36"/>
        <v>15240.80957</v>
      </c>
      <c r="DI15" s="87">
        <f t="shared" si="37"/>
        <v>72.23916775336127</v>
      </c>
      <c r="DJ15" s="96">
        <f t="shared" si="38"/>
        <v>2176.898</v>
      </c>
      <c r="DK15" s="96">
        <f t="shared" si="38"/>
        <v>1716.66124</v>
      </c>
      <c r="DL15" s="87">
        <f t="shared" si="39"/>
        <v>78.85813850717855</v>
      </c>
      <c r="DM15" s="87">
        <f>Сун!C59</f>
        <v>2050.9</v>
      </c>
      <c r="DN15" s="87">
        <f>Сун!D59</f>
        <v>1685.66324</v>
      </c>
      <c r="DO15" s="87">
        <f t="shared" si="40"/>
        <v>82.19139109659174</v>
      </c>
      <c r="DP15" s="87">
        <f>Сун!C62</f>
        <v>10.86</v>
      </c>
      <c r="DQ15" s="87">
        <f>Сун!D62</f>
        <v>10.86</v>
      </c>
      <c r="DR15" s="87">
        <f t="shared" si="41"/>
        <v>100</v>
      </c>
      <c r="DS15" s="87">
        <f>Сун!C63</f>
        <v>95</v>
      </c>
      <c r="DT15" s="87">
        <f>Сун!D63</f>
        <v>0</v>
      </c>
      <c r="DU15" s="87">
        <f t="shared" si="42"/>
        <v>0</v>
      </c>
      <c r="DV15" s="87">
        <f>Сун!C64</f>
        <v>20.138</v>
      </c>
      <c r="DW15" s="87">
        <f>Сун!D64</f>
        <v>20.138</v>
      </c>
      <c r="DX15" s="87">
        <f t="shared" si="43"/>
        <v>100</v>
      </c>
      <c r="DY15" s="87">
        <f>Сун!C66</f>
        <v>206.767</v>
      </c>
      <c r="DZ15" s="87">
        <f>Сун!D66</f>
        <v>144.22257</v>
      </c>
      <c r="EA15" s="87">
        <f t="shared" si="44"/>
        <v>69.75125140859035</v>
      </c>
      <c r="EB15" s="87">
        <f>Сун!C67</f>
        <v>330.18</v>
      </c>
      <c r="EC15" s="87">
        <f>Сун!D67</f>
        <v>17.31148</v>
      </c>
      <c r="ED15" s="87">
        <f t="shared" si="45"/>
        <v>5.243043188563814</v>
      </c>
      <c r="EE15" s="96">
        <f>Сун!C73</f>
        <v>3515.39633</v>
      </c>
      <c r="EF15" s="96">
        <f>Сун!D73</f>
        <v>3119.71072</v>
      </c>
      <c r="EG15" s="87">
        <f t="shared" si="46"/>
        <v>88.74421052831902</v>
      </c>
      <c r="EH15" s="96">
        <f>Сун!C78</f>
        <v>11308.267909999999</v>
      </c>
      <c r="EI15" s="96">
        <f>Сун!D78</f>
        <v>7532.82535</v>
      </c>
      <c r="EJ15" s="87">
        <f t="shared" si="47"/>
        <v>66.61343195927165</v>
      </c>
      <c r="EK15" s="96">
        <f>Сун!C83</f>
        <v>3505.2</v>
      </c>
      <c r="EL15" s="103">
        <f>Сун!D83</f>
        <v>2703.02621</v>
      </c>
      <c r="EM15" s="87">
        <f t="shared" si="48"/>
        <v>77.1147498002967</v>
      </c>
      <c r="EN15" s="87">
        <f>Сун!C86</f>
        <v>5</v>
      </c>
      <c r="EO15" s="87">
        <f>Сун!D86</f>
        <v>5</v>
      </c>
      <c r="EP15" s="87">
        <f t="shared" si="49"/>
        <v>100</v>
      </c>
      <c r="EQ15" s="104">
        <f>Сун!C91</f>
        <v>50</v>
      </c>
      <c r="ER15" s="104">
        <f>Сун!D91</f>
        <v>2.052</v>
      </c>
      <c r="ES15" s="87">
        <f t="shared" si="50"/>
        <v>4.104</v>
      </c>
      <c r="ET15" s="87">
        <f>Сун!C97</f>
        <v>0</v>
      </c>
      <c r="EU15" s="87">
        <f>Сун!D97</f>
        <v>0</v>
      </c>
      <c r="EV15" s="79" t="e">
        <f t="shared" si="51"/>
        <v>#DIV/0!</v>
      </c>
      <c r="EW15" s="88">
        <f t="shared" si="52"/>
        <v>-883.3964300000007</v>
      </c>
      <c r="EX15" s="88">
        <f t="shared" si="53"/>
        <v>1495.6351400000003</v>
      </c>
      <c r="EY15" s="79">
        <f>EX15/EW15*1</f>
        <v>-1.6930509216569951</v>
      </c>
      <c r="EZ15" s="93"/>
      <c r="FA15" s="94"/>
      <c r="FC15" s="94"/>
    </row>
    <row r="16" spans="1:159" s="59" customFormat="1" ht="25.5" customHeight="1">
      <c r="A16" s="75">
        <v>3</v>
      </c>
      <c r="B16" s="95" t="s">
        <v>125</v>
      </c>
      <c r="C16" s="106">
        <f t="shared" si="0"/>
        <v>15071.0408</v>
      </c>
      <c r="D16" s="78">
        <f t="shared" si="1"/>
        <v>12210.84656</v>
      </c>
      <c r="E16" s="87">
        <f t="shared" si="2"/>
        <v>81.02191960093425</v>
      </c>
      <c r="F16" s="80">
        <f t="shared" si="3"/>
        <v>2500.44564</v>
      </c>
      <c r="G16" s="80">
        <f t="shared" si="4"/>
        <v>2740.5030900000006</v>
      </c>
      <c r="H16" s="87">
        <f t="shared" si="5"/>
        <v>109.60058663782833</v>
      </c>
      <c r="I16" s="107">
        <f>Иль!C6</f>
        <v>70.65</v>
      </c>
      <c r="J16" s="82">
        <f>Иль!D6</f>
        <v>97.40517</v>
      </c>
      <c r="K16" s="87">
        <f t="shared" si="6"/>
        <v>137.8700212314225</v>
      </c>
      <c r="L16" s="87">
        <f>Иль!C8</f>
        <v>252.72</v>
      </c>
      <c r="M16" s="87">
        <f>Иль!D8</f>
        <v>317.90134</v>
      </c>
      <c r="N16" s="79">
        <f t="shared" si="7"/>
        <v>125.79191991136436</v>
      </c>
      <c r="O16" s="79">
        <f>Иль!C9</f>
        <v>2.71</v>
      </c>
      <c r="P16" s="79">
        <f>Иль!D9</f>
        <v>2.25495</v>
      </c>
      <c r="Q16" s="79">
        <f t="shared" si="8"/>
        <v>83.20848708487085</v>
      </c>
      <c r="R16" s="79">
        <f>Иль!C10</f>
        <v>422.11</v>
      </c>
      <c r="S16" s="79">
        <f>Иль!D10</f>
        <v>427.2735</v>
      </c>
      <c r="T16" s="79">
        <f t="shared" si="9"/>
        <v>101.22325933998246</v>
      </c>
      <c r="U16" s="79">
        <f>Иль!C11</f>
        <v>0</v>
      </c>
      <c r="V16" s="83">
        <f>Иль!D11</f>
        <v>-53.86348</v>
      </c>
      <c r="W16" s="79" t="e">
        <f t="shared" si="10"/>
        <v>#DIV/0!</v>
      </c>
      <c r="X16" s="96">
        <f>Иль!C13</f>
        <v>10</v>
      </c>
      <c r="Y16" s="96">
        <f>Иль!D13</f>
        <v>1.43658</v>
      </c>
      <c r="Z16" s="87">
        <f t="shared" si="11"/>
        <v>14.3658</v>
      </c>
      <c r="AA16" s="96">
        <f>Иль!C15</f>
        <v>334</v>
      </c>
      <c r="AB16" s="86">
        <f>Иль!D15</f>
        <v>249.69498</v>
      </c>
      <c r="AC16" s="87">
        <f t="shared" si="12"/>
        <v>74.75897604790418</v>
      </c>
      <c r="AD16" s="96">
        <f>Иль!C16</f>
        <v>750</v>
      </c>
      <c r="AE16" s="96">
        <f>Иль!D16</f>
        <v>900.09898</v>
      </c>
      <c r="AF16" s="87">
        <f t="shared" si="13"/>
        <v>120.01319733333334</v>
      </c>
      <c r="AG16" s="87">
        <f>Иль!C18</f>
        <v>4</v>
      </c>
      <c r="AH16" s="87">
        <f>Иль!D18</f>
        <v>2.6</v>
      </c>
      <c r="AI16" s="87">
        <f t="shared" si="14"/>
        <v>65</v>
      </c>
      <c r="AJ16" s="87"/>
      <c r="AK16" s="87"/>
      <c r="AL16" s="87" t="e">
        <f t="shared" si="15"/>
        <v>#DIV/0!</v>
      </c>
      <c r="AM16" s="96">
        <f>Иль!C27</f>
        <v>0</v>
      </c>
      <c r="AN16" s="96">
        <f>Иль!D27</f>
        <v>0</v>
      </c>
      <c r="AO16" s="87" t="e">
        <f t="shared" si="16"/>
        <v>#DIV/0!</v>
      </c>
      <c r="AP16" s="96">
        <f>Иль!C28</f>
        <v>354</v>
      </c>
      <c r="AQ16" s="98">
        <f>Иль!D28</f>
        <v>270.893</v>
      </c>
      <c r="AR16" s="87">
        <f t="shared" si="17"/>
        <v>76.52344632768362</v>
      </c>
      <c r="AS16" s="84">
        <f>Иль!C29</f>
        <v>30.6</v>
      </c>
      <c r="AT16" s="98">
        <f>Иль!D29</f>
        <v>25.5015</v>
      </c>
      <c r="AU16" s="87">
        <f t="shared" si="18"/>
        <v>83.33823529411765</v>
      </c>
      <c r="AV16" s="96"/>
      <c r="AW16" s="96"/>
      <c r="AX16" s="87" t="e">
        <f t="shared" si="19"/>
        <v>#DIV/0!</v>
      </c>
      <c r="AY16" s="87">
        <f>Иль!C30</f>
        <v>100</v>
      </c>
      <c r="AZ16" s="79">
        <f>Иль!D30</f>
        <v>45.30112</v>
      </c>
      <c r="BA16" s="87">
        <f t="shared" si="20"/>
        <v>45.30112</v>
      </c>
      <c r="BB16" s="87"/>
      <c r="BC16" s="87"/>
      <c r="BD16" s="87"/>
      <c r="BE16" s="87">
        <f>Иль!C32</f>
        <v>169.65564</v>
      </c>
      <c r="BF16" s="87">
        <f>SUM(Иль!D32)</f>
        <v>169.65564</v>
      </c>
      <c r="BG16" s="87">
        <f>BF16/BE16*100</f>
        <v>100</v>
      </c>
      <c r="BH16" s="87"/>
      <c r="BI16" s="87"/>
      <c r="BJ16" s="87" t="e">
        <f>BI16/BH16*100</f>
        <v>#DIV/0!</v>
      </c>
      <c r="BK16" s="87"/>
      <c r="BL16" s="87"/>
      <c r="BM16" s="87"/>
      <c r="BN16" s="87">
        <f>Иль!C35</f>
        <v>0</v>
      </c>
      <c r="BO16" s="87">
        <f>Иль!D35</f>
        <v>38.788340000000005</v>
      </c>
      <c r="BP16" s="89" t="e">
        <f t="shared" si="21"/>
        <v>#DIV/0!</v>
      </c>
      <c r="BQ16" s="87">
        <v>0</v>
      </c>
      <c r="BR16" s="87">
        <f>Иль!D38</f>
        <v>245.56147</v>
      </c>
      <c r="BS16" s="87" t="e">
        <f t="shared" si="22"/>
        <v>#DIV/0!</v>
      </c>
      <c r="BT16" s="87"/>
      <c r="BU16" s="87"/>
      <c r="BV16" s="99" t="e">
        <f t="shared" si="23"/>
        <v>#DIV/0!</v>
      </c>
      <c r="BW16" s="99"/>
      <c r="BX16" s="99"/>
      <c r="BY16" s="99" t="e">
        <f t="shared" si="24"/>
        <v>#DIV/0!</v>
      </c>
      <c r="BZ16" s="84">
        <f t="shared" si="25"/>
        <v>12570.59516</v>
      </c>
      <c r="CA16" s="84">
        <f t="shared" si="26"/>
        <v>9470.34347</v>
      </c>
      <c r="CB16" s="87">
        <f t="shared" si="27"/>
        <v>75.33727201823274</v>
      </c>
      <c r="CC16" s="87">
        <f>Иль!C43</f>
        <v>3002.3</v>
      </c>
      <c r="CD16" s="87">
        <f>Иль!D43</f>
        <v>2752.134</v>
      </c>
      <c r="CE16" s="87">
        <f t="shared" si="28"/>
        <v>91.66752156679878</v>
      </c>
      <c r="CF16" s="87">
        <f>Иль!C44</f>
        <v>0</v>
      </c>
      <c r="CG16" s="100">
        <f>Иль!D44</f>
        <v>0</v>
      </c>
      <c r="CH16" s="87" t="e">
        <f t="shared" si="29"/>
        <v>#DIV/0!</v>
      </c>
      <c r="CI16" s="79">
        <f>Иль!C45</f>
        <v>4820.10416</v>
      </c>
      <c r="CJ16" s="87">
        <f>Иль!D45</f>
        <v>2435.24793</v>
      </c>
      <c r="CK16" s="87">
        <f t="shared" si="30"/>
        <v>50.52272418113056</v>
      </c>
      <c r="CL16" s="87">
        <f>Иль!C47</f>
        <v>206.767</v>
      </c>
      <c r="CM16" s="87">
        <f>Иль!D47</f>
        <v>188.74628</v>
      </c>
      <c r="CN16" s="87">
        <f t="shared" si="31"/>
        <v>91.28452799527972</v>
      </c>
      <c r="CO16" s="87">
        <f>Иль!C48</f>
        <v>4541.424</v>
      </c>
      <c r="CP16" s="87">
        <f>Иль!D48</f>
        <v>4094.21526</v>
      </c>
      <c r="CQ16" s="79">
        <f t="shared" si="32"/>
        <v>90.15267590077474</v>
      </c>
      <c r="CR16" s="102">
        <f>Иль!C52</f>
        <v>0</v>
      </c>
      <c r="CS16" s="87">
        <f>Иль!D52</f>
        <v>0</v>
      </c>
      <c r="CT16" s="87" t="e">
        <f t="shared" si="33"/>
        <v>#DIV/0!</v>
      </c>
      <c r="CU16" s="87"/>
      <c r="CV16" s="87"/>
      <c r="CW16" s="87"/>
      <c r="CX16" s="96"/>
      <c r="CY16" s="96"/>
      <c r="CZ16" s="87" t="e">
        <f t="shared" si="34"/>
        <v>#DIV/0!</v>
      </c>
      <c r="DA16" s="87"/>
      <c r="DB16" s="87"/>
      <c r="DC16" s="87"/>
      <c r="DD16" s="87"/>
      <c r="DE16" s="87"/>
      <c r="DF16" s="87">
        <v>0</v>
      </c>
      <c r="DG16" s="84">
        <f t="shared" si="35"/>
        <v>15684.506930000001</v>
      </c>
      <c r="DH16" s="84">
        <f t="shared" si="36"/>
        <v>11361.807789999999</v>
      </c>
      <c r="DI16" s="87">
        <f t="shared" si="37"/>
        <v>72.43968739793848</v>
      </c>
      <c r="DJ16" s="96">
        <f t="shared" si="38"/>
        <v>1676.798</v>
      </c>
      <c r="DK16" s="96">
        <f t="shared" si="38"/>
        <v>1403.97471</v>
      </c>
      <c r="DL16" s="87">
        <f t="shared" si="39"/>
        <v>83.729507668783</v>
      </c>
      <c r="DM16" s="87">
        <f>Иль!C60</f>
        <v>1614.428</v>
      </c>
      <c r="DN16" s="87">
        <f>Иль!D60</f>
        <v>1375.49871</v>
      </c>
      <c r="DO16" s="87">
        <f t="shared" si="40"/>
        <v>85.20037499349614</v>
      </c>
      <c r="DP16" s="87">
        <f>Иль!C63</f>
        <v>0</v>
      </c>
      <c r="DQ16" s="87">
        <f>Иль!D63</f>
        <v>0</v>
      </c>
      <c r="DR16" s="87" t="e">
        <f t="shared" si="41"/>
        <v>#DIV/0!</v>
      </c>
      <c r="DS16" s="87">
        <f>Иль!C64</f>
        <v>17</v>
      </c>
      <c r="DT16" s="87">
        <f>Иль!D64</f>
        <v>0</v>
      </c>
      <c r="DU16" s="87">
        <f t="shared" si="42"/>
        <v>0</v>
      </c>
      <c r="DV16" s="87">
        <f>Иль!C65</f>
        <v>45.37</v>
      </c>
      <c r="DW16" s="87">
        <f>Иль!D65</f>
        <v>28.476</v>
      </c>
      <c r="DX16" s="87">
        <f t="shared" si="43"/>
        <v>62.76394093013005</v>
      </c>
      <c r="DY16" s="87">
        <f>Иль!C67</f>
        <v>206.767</v>
      </c>
      <c r="DZ16" s="87">
        <f>Иль!D67</f>
        <v>174.66764</v>
      </c>
      <c r="EA16" s="87">
        <f t="shared" si="44"/>
        <v>84.47558846431006</v>
      </c>
      <c r="EB16" s="87">
        <f>Иль!C68</f>
        <v>18.731</v>
      </c>
      <c r="EC16" s="87">
        <f>Иль!D68</f>
        <v>18.73039</v>
      </c>
      <c r="ED16" s="87">
        <f t="shared" si="45"/>
        <v>99.99674336661148</v>
      </c>
      <c r="EE16" s="96">
        <f>Иль!C74</f>
        <v>4415.76069</v>
      </c>
      <c r="EF16" s="96">
        <f>Иль!D74</f>
        <v>3255.61792</v>
      </c>
      <c r="EG16" s="87">
        <f t="shared" si="46"/>
        <v>73.72722727870473</v>
      </c>
      <c r="EH16" s="96">
        <f>Иль!C81</f>
        <v>5974.350240000001</v>
      </c>
      <c r="EI16" s="96">
        <f>Иль!D81</f>
        <v>3566.31227</v>
      </c>
      <c r="EJ16" s="87">
        <f t="shared" si="47"/>
        <v>59.693726124767664</v>
      </c>
      <c r="EK16" s="96">
        <f>Иль!C85</f>
        <v>3382.1</v>
      </c>
      <c r="EL16" s="103">
        <f>Иль!D85</f>
        <v>2939.00486</v>
      </c>
      <c r="EM16" s="87">
        <f t="shared" si="48"/>
        <v>86.89881612016204</v>
      </c>
      <c r="EN16" s="87">
        <f>Иль!C87</f>
        <v>0</v>
      </c>
      <c r="EO16" s="87">
        <f>Иль!D87</f>
        <v>0</v>
      </c>
      <c r="EP16" s="87" t="e">
        <f t="shared" si="49"/>
        <v>#DIV/0!</v>
      </c>
      <c r="EQ16" s="104">
        <f>Иль!C92</f>
        <v>10</v>
      </c>
      <c r="ER16" s="104">
        <f>Иль!D92</f>
        <v>3.5</v>
      </c>
      <c r="ES16" s="87">
        <f t="shared" si="50"/>
        <v>35</v>
      </c>
      <c r="ET16" s="87">
        <f>Иль!C98</f>
        <v>0</v>
      </c>
      <c r="EU16" s="87">
        <f>Иль!D98</f>
        <v>0</v>
      </c>
      <c r="EV16" s="79" t="e">
        <f t="shared" si="51"/>
        <v>#DIV/0!</v>
      </c>
      <c r="EW16" s="88">
        <f t="shared" si="52"/>
        <v>-613.4661300000007</v>
      </c>
      <c r="EX16" s="88">
        <f t="shared" si="53"/>
        <v>849.038770000001</v>
      </c>
      <c r="EY16" s="79">
        <f aca="true" t="shared" si="54" ref="EY16:EY31">EX16/EW16*100</f>
        <v>-138.40026832451207</v>
      </c>
      <c r="EZ16" s="93"/>
      <c r="FA16" s="94"/>
      <c r="FC16" s="94"/>
    </row>
    <row r="17" spans="1:159" s="59" customFormat="1" ht="22.5" customHeight="1">
      <c r="A17" s="75">
        <v>4</v>
      </c>
      <c r="B17" s="95" t="s">
        <v>126</v>
      </c>
      <c r="C17" s="106">
        <f t="shared" si="0"/>
        <v>13264.402299999998</v>
      </c>
      <c r="D17" s="78">
        <f t="shared" si="1"/>
        <v>10455.713950000001</v>
      </c>
      <c r="E17" s="87">
        <f t="shared" si="2"/>
        <v>78.82536818112041</v>
      </c>
      <c r="F17" s="80">
        <f t="shared" si="3"/>
        <v>4848.53</v>
      </c>
      <c r="G17" s="80">
        <f t="shared" si="4"/>
        <v>5018.22027</v>
      </c>
      <c r="H17" s="87">
        <f t="shared" si="5"/>
        <v>103.49982922659034</v>
      </c>
      <c r="I17" s="96">
        <f>Кад!C6</f>
        <v>486</v>
      </c>
      <c r="J17" s="97">
        <f>Кад!D6</f>
        <v>509.07361</v>
      </c>
      <c r="K17" s="87">
        <f t="shared" si="6"/>
        <v>104.74765637860082</v>
      </c>
      <c r="L17" s="87">
        <f>Кад!C8</f>
        <v>300.69</v>
      </c>
      <c r="M17" s="87">
        <f>Кад!D8</f>
        <v>378.23302</v>
      </c>
      <c r="N17" s="79">
        <f t="shared" si="7"/>
        <v>125.78836010509163</v>
      </c>
      <c r="O17" s="79">
        <f>Кад!C9</f>
        <v>3.22</v>
      </c>
      <c r="P17" s="79">
        <f>Кад!D9</f>
        <v>2.68286</v>
      </c>
      <c r="Q17" s="79">
        <f t="shared" si="8"/>
        <v>83.31863354037266</v>
      </c>
      <c r="R17" s="79">
        <f>Кад!C10</f>
        <v>502.22</v>
      </c>
      <c r="S17" s="79">
        <f>Кад!D10</f>
        <v>508.36189</v>
      </c>
      <c r="T17" s="79">
        <f t="shared" si="9"/>
        <v>101.22294811038988</v>
      </c>
      <c r="U17" s="79">
        <f>Кад!C11</f>
        <v>0</v>
      </c>
      <c r="V17" s="83">
        <f>Кад!D11</f>
        <v>-64.0858</v>
      </c>
      <c r="W17" s="79" t="e">
        <f t="shared" si="10"/>
        <v>#DIV/0!</v>
      </c>
      <c r="X17" s="96">
        <f>Кад!C13</f>
        <v>95</v>
      </c>
      <c r="Y17" s="96">
        <f>Кад!D13</f>
        <v>55.54848</v>
      </c>
      <c r="Z17" s="87">
        <f t="shared" si="11"/>
        <v>58.47208421052631</v>
      </c>
      <c r="AA17" s="96">
        <f>Кад!C15</f>
        <v>400</v>
      </c>
      <c r="AB17" s="86">
        <f>Кад!D15</f>
        <v>354.14832</v>
      </c>
      <c r="AC17" s="87">
        <f t="shared" si="12"/>
        <v>88.53708</v>
      </c>
      <c r="AD17" s="96">
        <f>Кад!C16</f>
        <v>2950</v>
      </c>
      <c r="AE17" s="96">
        <f>Кад!D16</f>
        <v>2636.84909</v>
      </c>
      <c r="AF17" s="87">
        <f t="shared" si="13"/>
        <v>89.38471491525424</v>
      </c>
      <c r="AG17" s="87">
        <f>Кад!C18</f>
        <v>20</v>
      </c>
      <c r="AH17" s="87">
        <f>Кад!D18</f>
        <v>8.9</v>
      </c>
      <c r="AI17" s="87">
        <f t="shared" si="14"/>
        <v>44.5</v>
      </c>
      <c r="AJ17" s="87"/>
      <c r="AK17" s="87"/>
      <c r="AL17" s="87" t="e">
        <f t="shared" si="15"/>
        <v>#DIV/0!</v>
      </c>
      <c r="AM17" s="96">
        <v>0</v>
      </c>
      <c r="AN17" s="96">
        <v>0</v>
      </c>
      <c r="AO17" s="87" t="e">
        <f t="shared" si="16"/>
        <v>#DIV/0!</v>
      </c>
      <c r="AP17" s="96">
        <f>Кад!C27</f>
        <v>79.4</v>
      </c>
      <c r="AQ17" s="98">
        <f>Кад!D27</f>
        <v>532.28824</v>
      </c>
      <c r="AR17" s="87">
        <f t="shared" si="17"/>
        <v>670.3882115869017</v>
      </c>
      <c r="AS17" s="84">
        <f>Кад!C28</f>
        <v>12</v>
      </c>
      <c r="AT17" s="98">
        <f>Кад!D28</f>
        <v>13.2</v>
      </c>
      <c r="AU17" s="87">
        <f t="shared" si="18"/>
        <v>109.99999999999999</v>
      </c>
      <c r="AV17" s="96"/>
      <c r="AW17" s="96"/>
      <c r="AX17" s="87" t="e">
        <f t="shared" si="19"/>
        <v>#DIV/0!</v>
      </c>
      <c r="AY17" s="87">
        <f>Кад!C30</f>
        <v>0</v>
      </c>
      <c r="AZ17" s="79">
        <f>Кад!D30</f>
        <v>66.2058</v>
      </c>
      <c r="BA17" s="87" t="e">
        <f t="shared" si="20"/>
        <v>#DIV/0!</v>
      </c>
      <c r="BB17" s="87"/>
      <c r="BC17" s="87"/>
      <c r="BD17" s="87"/>
      <c r="BE17" s="87">
        <f>Кад!C33</f>
        <v>0</v>
      </c>
      <c r="BF17" s="87">
        <f>Кад!D33</f>
        <v>0</v>
      </c>
      <c r="BG17" s="87" t="e">
        <f>BF17/BE17*100</f>
        <v>#DIV/0!</v>
      </c>
      <c r="BH17" s="87"/>
      <c r="BI17" s="87"/>
      <c r="BJ17" s="87" t="e">
        <f>BI17/BH17*100</f>
        <v>#DIV/0!</v>
      </c>
      <c r="BK17" s="87"/>
      <c r="BL17" s="87"/>
      <c r="BM17" s="87"/>
      <c r="BN17" s="87">
        <f>Кад!C34</f>
        <v>0</v>
      </c>
      <c r="BO17" s="87">
        <f>Кад!D34</f>
        <v>16.638759999999998</v>
      </c>
      <c r="BP17" s="89" t="e">
        <f t="shared" si="21"/>
        <v>#DIV/0!</v>
      </c>
      <c r="BQ17" s="87">
        <f>Кад!C37</f>
        <v>0</v>
      </c>
      <c r="BR17" s="87">
        <f>Кад!D37</f>
        <v>0.176</v>
      </c>
      <c r="BS17" s="87" t="e">
        <f t="shared" si="22"/>
        <v>#DIV/0!</v>
      </c>
      <c r="BT17" s="87"/>
      <c r="BU17" s="87"/>
      <c r="BV17" s="99" t="e">
        <f t="shared" si="23"/>
        <v>#DIV/0!</v>
      </c>
      <c r="BW17" s="99"/>
      <c r="BX17" s="99"/>
      <c r="BY17" s="99" t="e">
        <f t="shared" si="24"/>
        <v>#DIV/0!</v>
      </c>
      <c r="BZ17" s="84">
        <f t="shared" si="25"/>
        <v>8415.872299999999</v>
      </c>
      <c r="CA17" s="84">
        <f t="shared" si="26"/>
        <v>5437.4936800000005</v>
      </c>
      <c r="CB17" s="87">
        <f t="shared" si="27"/>
        <v>64.60998320994011</v>
      </c>
      <c r="CC17" s="87">
        <f>Кад!C42</f>
        <v>2916.8</v>
      </c>
      <c r="CD17" s="87">
        <f>Кад!D42</f>
        <v>2673.748</v>
      </c>
      <c r="CE17" s="87">
        <f t="shared" si="28"/>
        <v>91.66716950082282</v>
      </c>
      <c r="CF17" s="87">
        <f>Кад!C43</f>
        <v>0</v>
      </c>
      <c r="CG17" s="100">
        <f>Кад!D43</f>
        <v>0</v>
      </c>
      <c r="CH17" s="87" t="e">
        <f t="shared" si="29"/>
        <v>#DIV/0!</v>
      </c>
      <c r="CI17" s="79">
        <f>Кад!C44</f>
        <v>4834.2729</v>
      </c>
      <c r="CJ17" s="87">
        <f>Кад!D44</f>
        <v>2185.772</v>
      </c>
      <c r="CK17" s="87">
        <f t="shared" si="30"/>
        <v>45.21407966025252</v>
      </c>
      <c r="CL17" s="87">
        <f>Кад!C46</f>
        <v>206.767</v>
      </c>
      <c r="CM17" s="87">
        <f>Кад!D46</f>
        <v>188.74628</v>
      </c>
      <c r="CN17" s="87">
        <f t="shared" si="31"/>
        <v>91.28452799527972</v>
      </c>
      <c r="CO17" s="87">
        <f>Кад!C47</f>
        <v>280.105</v>
      </c>
      <c r="CP17" s="87">
        <f>Кад!D47</f>
        <v>211.3</v>
      </c>
      <c r="CQ17" s="79">
        <f t="shared" si="32"/>
        <v>75.43599721532996</v>
      </c>
      <c r="CR17" s="102">
        <f>Кад!C48</f>
        <v>177.9274</v>
      </c>
      <c r="CS17" s="87">
        <f>Кад!D48</f>
        <v>177.9274</v>
      </c>
      <c r="CT17" s="87">
        <f t="shared" si="33"/>
        <v>100</v>
      </c>
      <c r="CU17" s="87"/>
      <c r="CV17" s="87"/>
      <c r="CW17" s="87"/>
      <c r="CX17" s="96"/>
      <c r="CY17" s="96"/>
      <c r="CZ17" s="87" t="e">
        <f t="shared" si="34"/>
        <v>#DIV/0!</v>
      </c>
      <c r="DA17" s="87"/>
      <c r="DB17" s="87"/>
      <c r="DC17" s="87"/>
      <c r="DD17" s="87"/>
      <c r="DE17" s="87"/>
      <c r="DF17" s="87"/>
      <c r="DG17" s="84">
        <f t="shared" si="35"/>
        <v>14564.055049999999</v>
      </c>
      <c r="DH17" s="84">
        <f t="shared" si="36"/>
        <v>8671.692910000002</v>
      </c>
      <c r="DI17" s="87">
        <f t="shared" si="37"/>
        <v>59.5417476810485</v>
      </c>
      <c r="DJ17" s="96">
        <f t="shared" si="38"/>
        <v>2102.158</v>
      </c>
      <c r="DK17" s="96">
        <f t="shared" si="38"/>
        <v>1777.0899100000001</v>
      </c>
      <c r="DL17" s="87">
        <f t="shared" si="39"/>
        <v>84.53645777339288</v>
      </c>
      <c r="DM17" s="87">
        <f>Кад!C58</f>
        <v>1885</v>
      </c>
      <c r="DN17" s="87">
        <f>Кад!D58</f>
        <v>1681.93191</v>
      </c>
      <c r="DO17" s="87">
        <f t="shared" si="40"/>
        <v>89.22715702917772</v>
      </c>
      <c r="DP17" s="87">
        <f>Кад!C61</f>
        <v>13.68</v>
      </c>
      <c r="DQ17" s="87">
        <f>Кад!D61</f>
        <v>13.68</v>
      </c>
      <c r="DR17" s="87">
        <f t="shared" si="41"/>
        <v>100</v>
      </c>
      <c r="DS17" s="87">
        <f>Кад!C62</f>
        <v>100</v>
      </c>
      <c r="DT17" s="87">
        <f>Кад!D62</f>
        <v>0</v>
      </c>
      <c r="DU17" s="87">
        <f t="shared" si="42"/>
        <v>0</v>
      </c>
      <c r="DV17" s="87">
        <f>Кад!C63</f>
        <v>103.478</v>
      </c>
      <c r="DW17" s="87">
        <f>Кад!D63</f>
        <v>81.478</v>
      </c>
      <c r="DX17" s="87">
        <f t="shared" si="43"/>
        <v>78.73944220027445</v>
      </c>
      <c r="DY17" s="87">
        <f>Кад!C65</f>
        <v>206.767</v>
      </c>
      <c r="DZ17" s="87">
        <f>Кад!D65</f>
        <v>163.48793</v>
      </c>
      <c r="EA17" s="87">
        <f t="shared" si="44"/>
        <v>79.06867633616584</v>
      </c>
      <c r="EB17" s="87">
        <f>Кад!C66</f>
        <v>18.5</v>
      </c>
      <c r="EC17" s="87">
        <f>Кад!D66</f>
        <v>10.11148</v>
      </c>
      <c r="ED17" s="87">
        <f t="shared" si="45"/>
        <v>54.656648648648655</v>
      </c>
      <c r="EE17" s="96">
        <f>Кад!C72</f>
        <v>3634.16315</v>
      </c>
      <c r="EF17" s="96">
        <f>Кад!D72</f>
        <v>2786.81869</v>
      </c>
      <c r="EG17" s="87">
        <f t="shared" si="46"/>
        <v>76.68391800186517</v>
      </c>
      <c r="EH17" s="96">
        <f>Кад!C77</f>
        <v>6469.6368999999995</v>
      </c>
      <c r="EI17" s="96">
        <f>Кад!D77</f>
        <v>2174.7569000000003</v>
      </c>
      <c r="EJ17" s="87">
        <f t="shared" si="47"/>
        <v>33.61482156749786</v>
      </c>
      <c r="EK17" s="96">
        <f>Кад!C81</f>
        <v>2132.83</v>
      </c>
      <c r="EL17" s="103">
        <f>Кад!D81</f>
        <v>1759.428</v>
      </c>
      <c r="EM17" s="87">
        <f t="shared" si="48"/>
        <v>82.49265060975326</v>
      </c>
      <c r="EN17" s="87">
        <f>Кад!C83</f>
        <v>0</v>
      </c>
      <c r="EO17" s="87">
        <f>Кад!D83</f>
        <v>0</v>
      </c>
      <c r="EP17" s="87" t="e">
        <f t="shared" si="49"/>
        <v>#DIV/0!</v>
      </c>
      <c r="EQ17" s="104">
        <f>Кад!C88</f>
        <v>0</v>
      </c>
      <c r="ER17" s="104">
        <f>Кад!D88</f>
        <v>0</v>
      </c>
      <c r="ES17" s="87" t="e">
        <f t="shared" si="50"/>
        <v>#DIV/0!</v>
      </c>
      <c r="ET17" s="87">
        <f>Кад!C94</f>
        <v>0</v>
      </c>
      <c r="EU17" s="87">
        <f>Кад!D94</f>
        <v>0</v>
      </c>
      <c r="EV17" s="79" t="e">
        <f t="shared" si="51"/>
        <v>#DIV/0!</v>
      </c>
      <c r="EW17" s="88">
        <f t="shared" si="52"/>
        <v>-1299.652750000001</v>
      </c>
      <c r="EX17" s="88">
        <f t="shared" si="53"/>
        <v>1784.0210399999996</v>
      </c>
      <c r="EY17" s="79">
        <f t="shared" si="54"/>
        <v>-137.269054368561</v>
      </c>
      <c r="EZ17" s="93"/>
      <c r="FA17" s="94"/>
      <c r="FC17" s="94"/>
    </row>
    <row r="18" spans="1:159" s="59" customFormat="1" ht="20.25" customHeight="1">
      <c r="A18" s="75">
        <v>5</v>
      </c>
      <c r="B18" s="76" t="s">
        <v>127</v>
      </c>
      <c r="C18" s="77">
        <f t="shared" si="0"/>
        <v>24076.66193</v>
      </c>
      <c r="D18" s="108">
        <f t="shared" si="1"/>
        <v>18563.249200000002</v>
      </c>
      <c r="E18" s="79">
        <f t="shared" si="2"/>
        <v>77.10059332132676</v>
      </c>
      <c r="F18" s="80">
        <f t="shared" si="3"/>
        <v>5006.5199999999995</v>
      </c>
      <c r="G18" s="80">
        <f t="shared" si="4"/>
        <v>5229.350420000001</v>
      </c>
      <c r="H18" s="79">
        <f t="shared" si="5"/>
        <v>104.45080455086568</v>
      </c>
      <c r="I18" s="81">
        <f>Мор!C6</f>
        <v>1988.4</v>
      </c>
      <c r="J18" s="82">
        <f>Мор!D6</f>
        <v>1822.51045</v>
      </c>
      <c r="K18" s="79">
        <f t="shared" si="6"/>
        <v>91.6571338764836</v>
      </c>
      <c r="L18" s="79">
        <f>Мор!C8</f>
        <v>148.5</v>
      </c>
      <c r="M18" s="79">
        <f>Мор!D8</f>
        <v>186.79606</v>
      </c>
      <c r="N18" s="79">
        <f t="shared" si="7"/>
        <v>125.78859259259261</v>
      </c>
      <c r="O18" s="79">
        <f>Мор!C9</f>
        <v>1.59</v>
      </c>
      <c r="P18" s="79">
        <f>Мор!D9</f>
        <v>1.32498</v>
      </c>
      <c r="Q18" s="79">
        <f t="shared" si="8"/>
        <v>83.3320754716981</v>
      </c>
      <c r="R18" s="79">
        <f>Мор!C10</f>
        <v>248.03</v>
      </c>
      <c r="S18" s="79">
        <f>Мор!D10</f>
        <v>251.06216</v>
      </c>
      <c r="T18" s="79">
        <f t="shared" si="9"/>
        <v>101.22249727855501</v>
      </c>
      <c r="U18" s="79">
        <f>Мор!C11</f>
        <v>0</v>
      </c>
      <c r="V18" s="83">
        <f>Мор!D11</f>
        <v>-31.64977</v>
      </c>
      <c r="W18" s="79" t="e">
        <f t="shared" si="10"/>
        <v>#DIV/0!</v>
      </c>
      <c r="X18" s="84">
        <f>Мор!C13</f>
        <v>70</v>
      </c>
      <c r="Y18" s="84">
        <f>Мор!D13</f>
        <v>68.77133</v>
      </c>
      <c r="Z18" s="79">
        <f t="shared" si="11"/>
        <v>98.24475714285715</v>
      </c>
      <c r="AA18" s="84">
        <f>Мор!C15</f>
        <v>1000</v>
      </c>
      <c r="AB18" s="86">
        <f>Мор!D15</f>
        <v>1094.51838</v>
      </c>
      <c r="AC18" s="79">
        <f t="shared" si="12"/>
        <v>109.451838</v>
      </c>
      <c r="AD18" s="84">
        <f>Мор!C16</f>
        <v>1550</v>
      </c>
      <c r="AE18" s="84">
        <f>Мор!D16</f>
        <v>1743.02004</v>
      </c>
      <c r="AF18" s="79">
        <f t="shared" si="13"/>
        <v>112.45290580645162</v>
      </c>
      <c r="AG18" s="79">
        <f>Мор!C18</f>
        <v>0</v>
      </c>
      <c r="AH18" s="79">
        <f>Мор!D18</f>
        <v>0</v>
      </c>
      <c r="AI18" s="79" t="e">
        <f t="shared" si="14"/>
        <v>#DIV/0!</v>
      </c>
      <c r="AJ18" s="79">
        <f>Мор!C22</f>
        <v>0</v>
      </c>
      <c r="AK18" s="79">
        <f>Мор!D22</f>
        <v>0</v>
      </c>
      <c r="AL18" s="79" t="e">
        <f t="shared" si="15"/>
        <v>#DIV/0!</v>
      </c>
      <c r="AM18" s="84">
        <v>0</v>
      </c>
      <c r="AN18" s="84"/>
      <c r="AO18" s="79" t="e">
        <f t="shared" si="16"/>
        <v>#DIV/0!</v>
      </c>
      <c r="AP18" s="84">
        <f>Мор!C27</f>
        <v>0</v>
      </c>
      <c r="AQ18" s="98">
        <f>Мор!D27</f>
        <v>0</v>
      </c>
      <c r="AR18" s="79" t="e">
        <f t="shared" si="17"/>
        <v>#DIV/0!</v>
      </c>
      <c r="AS18" s="84">
        <f>Мор!C28</f>
        <v>0</v>
      </c>
      <c r="AT18" s="86">
        <f>Мор!D28</f>
        <v>0</v>
      </c>
      <c r="AU18" s="79" t="e">
        <f t="shared" si="18"/>
        <v>#DIV/0!</v>
      </c>
      <c r="AV18" s="84"/>
      <c r="AW18" s="84"/>
      <c r="AX18" s="79" t="e">
        <f t="shared" si="19"/>
        <v>#DIV/0!</v>
      </c>
      <c r="AY18" s="79">
        <f>Мор!C29</f>
        <v>0</v>
      </c>
      <c r="AZ18" s="79">
        <f>Мор!D29</f>
        <v>0</v>
      </c>
      <c r="BA18" s="79" t="e">
        <f t="shared" si="20"/>
        <v>#DIV/0!</v>
      </c>
      <c r="BB18" s="79"/>
      <c r="BC18" s="79"/>
      <c r="BD18" s="79"/>
      <c r="BE18" s="79">
        <f>Мор!C33</f>
        <v>0</v>
      </c>
      <c r="BF18" s="79">
        <f>SUM(Мор!D31)</f>
        <v>5.8322</v>
      </c>
      <c r="BG18" s="79" t="e">
        <f>Мор!E33</f>
        <v>#DIV/0!</v>
      </c>
      <c r="BH18" s="79">
        <f>Мор!F33</f>
        <v>0</v>
      </c>
      <c r="BI18" s="79">
        <f>Мор!G33</f>
        <v>0</v>
      </c>
      <c r="BJ18" s="79">
        <f>Мор!H33</f>
        <v>0</v>
      </c>
      <c r="BK18" s="79">
        <f>Мор!I33</f>
        <v>0</v>
      </c>
      <c r="BL18" s="79">
        <f>Мор!J33</f>
        <v>0</v>
      </c>
      <c r="BM18" s="79">
        <f>Мор!K33</f>
        <v>0</v>
      </c>
      <c r="BN18" s="79">
        <f>Мор!C34</f>
        <v>0</v>
      </c>
      <c r="BO18" s="79">
        <f>Мор!D34</f>
        <v>87.16459</v>
      </c>
      <c r="BP18" s="89" t="e">
        <f t="shared" si="21"/>
        <v>#DIV/0!</v>
      </c>
      <c r="BQ18" s="79">
        <f>Мор!C37</f>
        <v>0</v>
      </c>
      <c r="BR18" s="79">
        <f>Мор!D37</f>
        <v>0</v>
      </c>
      <c r="BS18" s="79" t="e">
        <f t="shared" si="22"/>
        <v>#DIV/0!</v>
      </c>
      <c r="BT18" s="79"/>
      <c r="BU18" s="79"/>
      <c r="BV18" s="90" t="e">
        <f t="shared" si="23"/>
        <v>#DIV/0!</v>
      </c>
      <c r="BW18" s="90"/>
      <c r="BX18" s="90"/>
      <c r="BY18" s="90" t="e">
        <f t="shared" si="24"/>
        <v>#DIV/0!</v>
      </c>
      <c r="BZ18" s="84">
        <f t="shared" si="25"/>
        <v>19070.141929999998</v>
      </c>
      <c r="CA18" s="84">
        <f t="shared" si="26"/>
        <v>13333.898780000001</v>
      </c>
      <c r="CB18" s="79">
        <f t="shared" si="27"/>
        <v>69.92029125396239</v>
      </c>
      <c r="CC18" s="79">
        <f>Мор!C42</f>
        <v>8831.9</v>
      </c>
      <c r="CD18" s="79">
        <f>Мор!D42</f>
        <v>8095.967</v>
      </c>
      <c r="CE18" s="79">
        <f t="shared" si="28"/>
        <v>91.66733092539545</v>
      </c>
      <c r="CF18" s="79">
        <f>Мор!C43</f>
        <v>0</v>
      </c>
      <c r="CG18" s="91">
        <f>Мор!D43</f>
        <v>0</v>
      </c>
      <c r="CH18" s="79" t="e">
        <f t="shared" si="29"/>
        <v>#DIV/0!</v>
      </c>
      <c r="CI18" s="79">
        <f>Мор!C44</f>
        <v>9757.53173</v>
      </c>
      <c r="CJ18" s="79">
        <f>Мор!D44</f>
        <v>5403.127</v>
      </c>
      <c r="CK18" s="79">
        <f t="shared" si="30"/>
        <v>55.37391165624219</v>
      </c>
      <c r="CL18" s="79">
        <f>Мор!C46</f>
        <v>67.0441</v>
      </c>
      <c r="CM18" s="79">
        <f>Мор!D46</f>
        <v>0</v>
      </c>
      <c r="CN18" s="79">
        <f t="shared" si="31"/>
        <v>0</v>
      </c>
      <c r="CO18" s="91">
        <f>Мор!C47</f>
        <v>360.035</v>
      </c>
      <c r="CP18" s="91">
        <f>Мор!D47</f>
        <v>302.6</v>
      </c>
      <c r="CQ18" s="79">
        <f t="shared" si="32"/>
        <v>84.04738428208368</v>
      </c>
      <c r="CR18" s="83">
        <f>Мор!C49</f>
        <v>53.6311</v>
      </c>
      <c r="CS18" s="79">
        <f>Мор!D49</f>
        <v>0</v>
      </c>
      <c r="CT18" s="79">
        <f t="shared" si="33"/>
        <v>0</v>
      </c>
      <c r="CU18" s="79"/>
      <c r="CV18" s="79">
        <f>SUM(Мор!D50)</f>
        <v>-467.79522</v>
      </c>
      <c r="CW18" s="79"/>
      <c r="CX18" s="84"/>
      <c r="CY18" s="84"/>
      <c r="CZ18" s="79" t="e">
        <f t="shared" si="34"/>
        <v>#DIV/0!</v>
      </c>
      <c r="DA18" s="79"/>
      <c r="DB18" s="79"/>
      <c r="DC18" s="79"/>
      <c r="DD18" s="79"/>
      <c r="DE18" s="79"/>
      <c r="DF18" s="79"/>
      <c r="DG18" s="84">
        <f t="shared" si="35"/>
        <v>24375.16016</v>
      </c>
      <c r="DH18" s="84">
        <f t="shared" si="36"/>
        <v>17305.35715</v>
      </c>
      <c r="DI18" s="79">
        <f t="shared" si="37"/>
        <v>70.99587053544103</v>
      </c>
      <c r="DJ18" s="84">
        <f t="shared" si="38"/>
        <v>2605.552</v>
      </c>
      <c r="DK18" s="84">
        <f t="shared" si="38"/>
        <v>2271.28332</v>
      </c>
      <c r="DL18" s="79">
        <f t="shared" si="39"/>
        <v>87.1709073547563</v>
      </c>
      <c r="DM18" s="79">
        <f>Мор!C59</f>
        <v>2240.8</v>
      </c>
      <c r="DN18" s="79">
        <f>Мор!D59</f>
        <v>2034.89132</v>
      </c>
      <c r="DO18" s="79">
        <f t="shared" si="40"/>
        <v>90.81093002499107</v>
      </c>
      <c r="DP18" s="79">
        <f>Мор!C62</f>
        <v>30.56</v>
      </c>
      <c r="DQ18" s="79">
        <f>Мор!D62</f>
        <v>30.56</v>
      </c>
      <c r="DR18" s="79">
        <f t="shared" si="41"/>
        <v>100</v>
      </c>
      <c r="DS18" s="79">
        <f>Мор!C63</f>
        <v>100</v>
      </c>
      <c r="DT18" s="79">
        <f>Мор!D63</f>
        <v>0</v>
      </c>
      <c r="DU18" s="79">
        <f t="shared" si="42"/>
        <v>0</v>
      </c>
      <c r="DV18" s="79">
        <f>Мор!C64</f>
        <v>234.192</v>
      </c>
      <c r="DW18" s="79">
        <f>Мор!D64</f>
        <v>205.832</v>
      </c>
      <c r="DX18" s="79">
        <f t="shared" si="43"/>
        <v>87.89027806244448</v>
      </c>
      <c r="DY18" s="79">
        <f>Мор!C65</f>
        <v>0</v>
      </c>
      <c r="DZ18" s="79">
        <f>Мор!D65</f>
        <v>0</v>
      </c>
      <c r="EA18" s="79" t="e">
        <f t="shared" si="44"/>
        <v>#DIV/0!</v>
      </c>
      <c r="EB18" s="79">
        <f>Мор!C67</f>
        <v>102</v>
      </c>
      <c r="EC18" s="79">
        <f>Мор!D67</f>
        <v>32.932</v>
      </c>
      <c r="ED18" s="79">
        <f t="shared" si="45"/>
        <v>32.286274509803924</v>
      </c>
      <c r="EE18" s="84">
        <f>Мор!C73</f>
        <v>1247.33233</v>
      </c>
      <c r="EF18" s="84">
        <f>Мор!D73</f>
        <v>933.2139999999999</v>
      </c>
      <c r="EG18" s="79">
        <f t="shared" si="46"/>
        <v>74.81678920324305</v>
      </c>
      <c r="EH18" s="84">
        <f>Мор!C78</f>
        <v>15509.47583</v>
      </c>
      <c r="EI18" s="84">
        <f>Мор!D78</f>
        <v>9996.42783</v>
      </c>
      <c r="EJ18" s="79">
        <f t="shared" si="47"/>
        <v>64.45367941232351</v>
      </c>
      <c r="EK18" s="84">
        <f>Мор!C82</f>
        <v>4885.8</v>
      </c>
      <c r="EL18" s="92">
        <f>Мор!D82</f>
        <v>4071.5</v>
      </c>
      <c r="EM18" s="79">
        <f t="shared" si="48"/>
        <v>83.33333333333333</v>
      </c>
      <c r="EN18" s="79">
        <f>Мор!C85</f>
        <v>0</v>
      </c>
      <c r="EO18" s="79">
        <f>Мор!D85</f>
        <v>0</v>
      </c>
      <c r="EP18" s="79" t="e">
        <f t="shared" si="49"/>
        <v>#DIV/0!</v>
      </c>
      <c r="EQ18" s="80">
        <f>Мор!C90</f>
        <v>25</v>
      </c>
      <c r="ER18" s="80">
        <f>Мор!D90</f>
        <v>0</v>
      </c>
      <c r="ES18" s="79">
        <f t="shared" si="50"/>
        <v>0</v>
      </c>
      <c r="ET18" s="79">
        <f>Мор!C96</f>
        <v>0</v>
      </c>
      <c r="EU18" s="79">
        <f>Мор!D96</f>
        <v>0</v>
      </c>
      <c r="EV18" s="79" t="e">
        <f t="shared" si="51"/>
        <v>#DIV/0!</v>
      </c>
      <c r="EW18" s="88">
        <f t="shared" si="52"/>
        <v>-298.49823000000106</v>
      </c>
      <c r="EX18" s="88">
        <f t="shared" si="53"/>
        <v>1257.8920500000022</v>
      </c>
      <c r="EY18" s="79">
        <f t="shared" si="54"/>
        <v>-421.40687065380513</v>
      </c>
      <c r="EZ18" s="93"/>
      <c r="FA18" s="94"/>
      <c r="FC18" s="94"/>
    </row>
    <row r="19" spans="1:159" s="113" customFormat="1" ht="27.75" customHeight="1">
      <c r="A19" s="109">
        <v>6</v>
      </c>
      <c r="B19" s="95" t="s">
        <v>128</v>
      </c>
      <c r="C19" s="106">
        <f t="shared" si="0"/>
        <v>34320.3643</v>
      </c>
      <c r="D19" s="78">
        <f t="shared" si="1"/>
        <v>25629.46832</v>
      </c>
      <c r="E19" s="87">
        <f t="shared" si="2"/>
        <v>74.67714531223668</v>
      </c>
      <c r="F19" s="80">
        <f t="shared" si="3"/>
        <v>6409.35</v>
      </c>
      <c r="G19" s="104">
        <f t="shared" si="4"/>
        <v>4125.16008</v>
      </c>
      <c r="H19" s="87">
        <f t="shared" si="5"/>
        <v>64.36159797795408</v>
      </c>
      <c r="I19" s="96">
        <f>Мос!C6</f>
        <v>2197.1</v>
      </c>
      <c r="J19" s="97">
        <f>Мос!D6</f>
        <v>1416.1255</v>
      </c>
      <c r="K19" s="87">
        <f t="shared" si="6"/>
        <v>64.45430339993628</v>
      </c>
      <c r="L19" s="87">
        <f>Мос!C8</f>
        <v>314.47</v>
      </c>
      <c r="M19" s="87">
        <f>Мос!D8</f>
        <v>351.54786</v>
      </c>
      <c r="N19" s="87">
        <f t="shared" si="7"/>
        <v>111.79058733742487</v>
      </c>
      <c r="O19" s="87">
        <f>Мос!C9</f>
        <v>3</v>
      </c>
      <c r="P19" s="87">
        <f>Мос!D9</f>
        <v>2.4936</v>
      </c>
      <c r="Q19" s="87">
        <f t="shared" si="8"/>
        <v>83.11999999999999</v>
      </c>
      <c r="R19" s="87">
        <f>Мос!C10</f>
        <v>466.78</v>
      </c>
      <c r="S19" s="87">
        <f>Мос!D10</f>
        <v>472.4959</v>
      </c>
      <c r="T19" s="87">
        <f t="shared" si="9"/>
        <v>101.22453832640646</v>
      </c>
      <c r="U19" s="87">
        <f>Мос!C11</f>
        <v>0</v>
      </c>
      <c r="V19" s="102">
        <f>Мос!D11</f>
        <v>-59.56444</v>
      </c>
      <c r="W19" s="87" t="e">
        <f t="shared" si="10"/>
        <v>#DIV/0!</v>
      </c>
      <c r="X19" s="96">
        <f>Мос!C13</f>
        <v>20</v>
      </c>
      <c r="Y19" s="96">
        <f>Мос!D13</f>
        <v>44.8776</v>
      </c>
      <c r="Z19" s="87">
        <f t="shared" si="11"/>
        <v>224.38799999999998</v>
      </c>
      <c r="AA19" s="96">
        <f>Мос!C15</f>
        <v>1200</v>
      </c>
      <c r="AB19" s="86">
        <f>Мос!D15</f>
        <v>224.31596</v>
      </c>
      <c r="AC19" s="87">
        <f t="shared" si="12"/>
        <v>18.692996666666666</v>
      </c>
      <c r="AD19" s="96">
        <f>Мос!C16</f>
        <v>2200</v>
      </c>
      <c r="AE19" s="96">
        <f>Мос!D16</f>
        <v>1668.7681</v>
      </c>
      <c r="AF19" s="87">
        <f t="shared" si="13"/>
        <v>75.85309545454545</v>
      </c>
      <c r="AG19" s="87">
        <f>Мос!C18</f>
        <v>8</v>
      </c>
      <c r="AH19" s="87">
        <f>Мос!D18</f>
        <v>4.1</v>
      </c>
      <c r="AI19" s="87">
        <f t="shared" si="14"/>
        <v>51.24999999999999</v>
      </c>
      <c r="AJ19" s="87"/>
      <c r="AK19" s="87"/>
      <c r="AL19" s="87" t="e">
        <f t="shared" si="15"/>
        <v>#DIV/0!</v>
      </c>
      <c r="AM19" s="96">
        <f>Мос!C27</f>
        <v>0</v>
      </c>
      <c r="AN19" s="96">
        <v>0</v>
      </c>
      <c r="AO19" s="87" t="e">
        <f t="shared" si="16"/>
        <v>#DIV/0!</v>
      </c>
      <c r="AP19" s="96">
        <v>0</v>
      </c>
      <c r="AQ19" s="98">
        <f>Мос!D27</f>
        <v>0</v>
      </c>
      <c r="AR19" s="87" t="e">
        <f t="shared" si="17"/>
        <v>#DIV/0!</v>
      </c>
      <c r="AS19" s="96">
        <f>Мос!C26</f>
        <v>0</v>
      </c>
      <c r="AT19" s="98">
        <f>Мос!D28</f>
        <v>0</v>
      </c>
      <c r="AU19" s="87" t="e">
        <f t="shared" si="18"/>
        <v>#DIV/0!</v>
      </c>
      <c r="AV19" s="96"/>
      <c r="AW19" s="96"/>
      <c r="AX19" s="87" t="e">
        <f t="shared" si="19"/>
        <v>#DIV/0!</v>
      </c>
      <c r="AY19" s="87">
        <f>Мос!C30</f>
        <v>0</v>
      </c>
      <c r="AZ19" s="79">
        <f>Мос!D30</f>
        <v>0</v>
      </c>
      <c r="BA19" s="87" t="e">
        <f t="shared" si="20"/>
        <v>#DIV/0!</v>
      </c>
      <c r="BB19" s="87"/>
      <c r="BC19" s="87"/>
      <c r="BD19" s="87"/>
      <c r="BE19" s="87">
        <f>Мос!C33</f>
        <v>0</v>
      </c>
      <c r="BF19" s="87">
        <f>Мос!D33</f>
        <v>0</v>
      </c>
      <c r="BG19" s="87" t="e">
        <f aca="true" t="shared" si="55" ref="BG19:BG29">BF19/BE19*100</f>
        <v>#DIV/0!</v>
      </c>
      <c r="BH19" s="87"/>
      <c r="BI19" s="87"/>
      <c r="BJ19" s="87" t="e">
        <f aca="true" t="shared" si="56" ref="BJ19:BJ29">BI19/BH19*100</f>
        <v>#DIV/0!</v>
      </c>
      <c r="BK19" s="87"/>
      <c r="BL19" s="87"/>
      <c r="BM19" s="87"/>
      <c r="BN19" s="87">
        <f>Мос!C34</f>
        <v>0</v>
      </c>
      <c r="BO19" s="87">
        <f>Мос!D35</f>
        <v>0</v>
      </c>
      <c r="BP19" s="89" t="e">
        <f t="shared" si="21"/>
        <v>#DIV/0!</v>
      </c>
      <c r="BQ19" s="87">
        <f>Мос!C36</f>
        <v>0</v>
      </c>
      <c r="BR19" s="87">
        <f>Мос!D36</f>
        <v>0</v>
      </c>
      <c r="BS19" s="87" t="e">
        <f t="shared" si="22"/>
        <v>#DIV/0!</v>
      </c>
      <c r="BT19" s="87"/>
      <c r="BU19" s="87"/>
      <c r="BV19" s="99" t="e">
        <f t="shared" si="23"/>
        <v>#DIV/0!</v>
      </c>
      <c r="BW19" s="99"/>
      <c r="BX19" s="99"/>
      <c r="BY19" s="99" t="e">
        <f t="shared" si="24"/>
        <v>#DIV/0!</v>
      </c>
      <c r="BZ19" s="96">
        <f t="shared" si="25"/>
        <v>27911.014300000003</v>
      </c>
      <c r="CA19" s="96">
        <f t="shared" si="26"/>
        <v>21504.30824</v>
      </c>
      <c r="CB19" s="87">
        <f t="shared" si="27"/>
        <v>77.04595758814826</v>
      </c>
      <c r="CC19" s="87">
        <f>SUM(Мос!C41)</f>
        <v>942.5</v>
      </c>
      <c r="CD19" s="87">
        <f>SUM(Мос!D41)</f>
        <v>863.962</v>
      </c>
      <c r="CE19" s="87">
        <f t="shared" si="28"/>
        <v>91.66705570291776</v>
      </c>
      <c r="CF19" s="87">
        <f>Мос!C42</f>
        <v>0</v>
      </c>
      <c r="CG19" s="100">
        <f>Мос!D42</f>
        <v>0</v>
      </c>
      <c r="CH19" s="87" t="e">
        <f t="shared" si="29"/>
        <v>#DIV/0!</v>
      </c>
      <c r="CI19" s="87">
        <f>Мос!C43</f>
        <v>13345.46394</v>
      </c>
      <c r="CJ19" s="87">
        <f>Мос!D43</f>
        <v>15505.74324</v>
      </c>
      <c r="CK19" s="87">
        <f t="shared" si="30"/>
        <v>116.18736755584085</v>
      </c>
      <c r="CL19" s="87">
        <f>Мос!C45</f>
        <v>4721.8897</v>
      </c>
      <c r="CM19" s="87">
        <f>Мос!D45</f>
        <v>188.74628</v>
      </c>
      <c r="CN19" s="87">
        <f t="shared" si="31"/>
        <v>3.997261520107088</v>
      </c>
      <c r="CO19" s="87">
        <f>Мос!C46</f>
        <v>7026.534</v>
      </c>
      <c r="CP19" s="87">
        <f>Мос!D46</f>
        <v>3068.85672</v>
      </c>
      <c r="CQ19" s="79">
        <f t="shared" si="32"/>
        <v>43.67525610777661</v>
      </c>
      <c r="CR19" s="102">
        <f>SUM(Мос!C51)</f>
        <v>1874.62666</v>
      </c>
      <c r="CS19" s="87">
        <f>Мос!D51</f>
        <v>1877</v>
      </c>
      <c r="CT19" s="87">
        <f t="shared" si="33"/>
        <v>100.12660334191557</v>
      </c>
      <c r="CU19" s="87"/>
      <c r="CV19" s="87"/>
      <c r="CW19" s="87"/>
      <c r="CX19" s="96"/>
      <c r="CY19" s="96"/>
      <c r="CZ19" s="87" t="e">
        <f t="shared" si="34"/>
        <v>#DIV/0!</v>
      </c>
      <c r="DA19" s="87"/>
      <c r="DB19" s="87"/>
      <c r="DC19" s="87"/>
      <c r="DD19" s="87"/>
      <c r="DE19" s="87"/>
      <c r="DF19" s="87"/>
      <c r="DG19" s="84">
        <f t="shared" si="35"/>
        <v>34747.184530000006</v>
      </c>
      <c r="DH19" s="84">
        <f t="shared" si="36"/>
        <v>25574.50477</v>
      </c>
      <c r="DI19" s="87">
        <f t="shared" si="37"/>
        <v>73.60166043933573</v>
      </c>
      <c r="DJ19" s="96">
        <f t="shared" si="38"/>
        <v>3707.643</v>
      </c>
      <c r="DK19" s="96">
        <f t="shared" si="38"/>
        <v>1978.85242</v>
      </c>
      <c r="DL19" s="87">
        <f t="shared" si="39"/>
        <v>53.37224808321621</v>
      </c>
      <c r="DM19" s="87">
        <f>Мос!C59</f>
        <v>3647.467</v>
      </c>
      <c r="DN19" s="87">
        <f>Мос!D59</f>
        <v>1943.35242</v>
      </c>
      <c r="DO19" s="87">
        <f t="shared" si="40"/>
        <v>53.27950657264342</v>
      </c>
      <c r="DP19" s="87">
        <f>Мос!C62</f>
        <v>0</v>
      </c>
      <c r="DQ19" s="87">
        <f>Мос!D62</f>
        <v>0</v>
      </c>
      <c r="DR19" s="87" t="e">
        <f t="shared" si="41"/>
        <v>#DIV/0!</v>
      </c>
      <c r="DS19" s="87">
        <f>Мос!C63</f>
        <v>5</v>
      </c>
      <c r="DT19" s="87">
        <f>Мос!D63</f>
        <v>0</v>
      </c>
      <c r="DU19" s="87">
        <f t="shared" si="42"/>
        <v>0</v>
      </c>
      <c r="DV19" s="87">
        <f>Мос!C64</f>
        <v>55.176</v>
      </c>
      <c r="DW19" s="87">
        <f>Мос!D64</f>
        <v>35.5</v>
      </c>
      <c r="DX19" s="87">
        <f t="shared" si="43"/>
        <v>64.33956792808468</v>
      </c>
      <c r="DY19" s="87">
        <f>Мос!C66</f>
        <v>206.767</v>
      </c>
      <c r="DZ19" s="87">
        <f>Мос!D66</f>
        <v>131.72208</v>
      </c>
      <c r="EA19" s="87">
        <f t="shared" si="44"/>
        <v>63.70556229959327</v>
      </c>
      <c r="EB19" s="87">
        <f>Мос!C67</f>
        <v>9.378</v>
      </c>
      <c r="EC19" s="87">
        <f>Мос!D67</f>
        <v>4.7</v>
      </c>
      <c r="ED19" s="87">
        <f t="shared" si="45"/>
        <v>50.11729579867775</v>
      </c>
      <c r="EE19" s="96">
        <f>Мос!C73</f>
        <v>3198.75916</v>
      </c>
      <c r="EF19" s="96">
        <f>Мос!D73</f>
        <v>2054.76007</v>
      </c>
      <c r="EG19" s="87">
        <f t="shared" si="46"/>
        <v>64.2361605617098</v>
      </c>
      <c r="EH19" s="96">
        <f>Мос!C78</f>
        <v>26367.2053</v>
      </c>
      <c r="EI19" s="96">
        <f>Мос!D78</f>
        <v>21184.52916</v>
      </c>
      <c r="EJ19" s="87">
        <f t="shared" si="47"/>
        <v>80.34423413087316</v>
      </c>
      <c r="EK19" s="96">
        <f>Мос!C83</f>
        <v>1222.43207</v>
      </c>
      <c r="EL19" s="103">
        <f>Мос!D83</f>
        <v>204.94104</v>
      </c>
      <c r="EM19" s="87">
        <f t="shared" si="48"/>
        <v>16.7650248246514</v>
      </c>
      <c r="EN19" s="87">
        <f>Мос!C91</f>
        <v>0</v>
      </c>
      <c r="EO19" s="87">
        <f>Мос!D91</f>
        <v>0</v>
      </c>
      <c r="EP19" s="87" t="e">
        <f t="shared" si="49"/>
        <v>#DIV/0!</v>
      </c>
      <c r="EQ19" s="104">
        <f>Мос!C93</f>
        <v>35</v>
      </c>
      <c r="ER19" s="104">
        <f>Мос!D93</f>
        <v>15</v>
      </c>
      <c r="ES19" s="87">
        <f t="shared" si="50"/>
        <v>42.857142857142854</v>
      </c>
      <c r="ET19" s="87">
        <f>Мос!C99</f>
        <v>0</v>
      </c>
      <c r="EU19" s="87">
        <f>Мос!D99</f>
        <v>0</v>
      </c>
      <c r="EV19" s="87" t="e">
        <f t="shared" si="51"/>
        <v>#DIV/0!</v>
      </c>
      <c r="EW19" s="110">
        <f t="shared" si="52"/>
        <v>-426.8202300000048</v>
      </c>
      <c r="EX19" s="110">
        <f t="shared" si="53"/>
        <v>54.963550000000396</v>
      </c>
      <c r="EY19" s="87">
        <f t="shared" si="54"/>
        <v>-12.87744725689309</v>
      </c>
      <c r="EZ19" s="111"/>
      <c r="FA19" s="112"/>
      <c r="FC19" s="112"/>
    </row>
    <row r="20" spans="1:170" s="59" customFormat="1" ht="24.75" customHeight="1">
      <c r="A20" s="75">
        <v>7</v>
      </c>
      <c r="B20" s="95" t="s">
        <v>129</v>
      </c>
      <c r="C20" s="77">
        <f t="shared" si="0"/>
        <v>16860.770099999998</v>
      </c>
      <c r="D20" s="78">
        <f t="shared" si="1"/>
        <v>15861.73157</v>
      </c>
      <c r="E20" s="87">
        <f t="shared" si="2"/>
        <v>94.07477520851792</v>
      </c>
      <c r="F20" s="80">
        <f t="shared" si="3"/>
        <v>2709.1200000000003</v>
      </c>
      <c r="G20" s="80">
        <f t="shared" si="4"/>
        <v>2321.771309999999</v>
      </c>
      <c r="H20" s="87">
        <f t="shared" si="5"/>
        <v>85.70204752834864</v>
      </c>
      <c r="I20" s="107">
        <f>Ори!C6</f>
        <v>277.4</v>
      </c>
      <c r="J20" s="82">
        <f>Ори!D6</f>
        <v>237.47542</v>
      </c>
      <c r="K20" s="87">
        <f t="shared" si="6"/>
        <v>85.60757750540736</v>
      </c>
      <c r="L20" s="87">
        <f>Ори!C8</f>
        <v>178.94</v>
      </c>
      <c r="M20" s="87">
        <f>Ори!D8</f>
        <v>225.08344</v>
      </c>
      <c r="N20" s="79">
        <f t="shared" si="7"/>
        <v>125.78710182183971</v>
      </c>
      <c r="O20" s="79">
        <f>Ори!C9</f>
        <v>1.92</v>
      </c>
      <c r="P20" s="79">
        <f>Ори!D9</f>
        <v>1.59653</v>
      </c>
      <c r="Q20" s="79">
        <f t="shared" si="8"/>
        <v>83.15260416666666</v>
      </c>
      <c r="R20" s="79">
        <f>Ори!C10</f>
        <v>298.86</v>
      </c>
      <c r="S20" s="79">
        <f>Ори!D10</f>
        <v>302.5221</v>
      </c>
      <c r="T20" s="79">
        <f t="shared" si="9"/>
        <v>101.22535635414576</v>
      </c>
      <c r="U20" s="79">
        <f>Ори!C11</f>
        <v>0</v>
      </c>
      <c r="V20" s="83">
        <f>Ори!D11</f>
        <v>-38.13691</v>
      </c>
      <c r="W20" s="79" t="e">
        <f t="shared" si="10"/>
        <v>#DIV/0!</v>
      </c>
      <c r="X20" s="96">
        <f>Ори!C13</f>
        <v>15</v>
      </c>
      <c r="Y20" s="96">
        <f>Ори!D13</f>
        <v>5.87145</v>
      </c>
      <c r="Z20" s="87">
        <f t="shared" si="11"/>
        <v>39.143</v>
      </c>
      <c r="AA20" s="96">
        <f>Ори!C15</f>
        <v>350</v>
      </c>
      <c r="AB20" s="86">
        <f>Ори!D15</f>
        <v>227.66924</v>
      </c>
      <c r="AC20" s="87">
        <f t="shared" si="12"/>
        <v>65.04835428571428</v>
      </c>
      <c r="AD20" s="96">
        <f>Ори!C16</f>
        <v>1370</v>
      </c>
      <c r="AE20" s="96">
        <f>Ори!D16</f>
        <v>1073.77479</v>
      </c>
      <c r="AF20" s="87">
        <f t="shared" si="13"/>
        <v>78.37772189781022</v>
      </c>
      <c r="AG20" s="87">
        <f>Ори!C18</f>
        <v>8</v>
      </c>
      <c r="AH20" s="87">
        <f>Ори!D18</f>
        <v>3.3</v>
      </c>
      <c r="AI20" s="87">
        <f t="shared" si="14"/>
        <v>41.25</v>
      </c>
      <c r="AJ20" s="87"/>
      <c r="AK20" s="87"/>
      <c r="AL20" s="87" t="e">
        <f t="shared" si="15"/>
        <v>#DIV/0!</v>
      </c>
      <c r="AM20" s="96">
        <v>0</v>
      </c>
      <c r="AN20" s="96">
        <v>0</v>
      </c>
      <c r="AO20" s="87" t="e">
        <f t="shared" si="16"/>
        <v>#DIV/0!</v>
      </c>
      <c r="AP20" s="96">
        <f>Ори!C27</f>
        <v>135</v>
      </c>
      <c r="AQ20" s="98">
        <f>Ори!D27</f>
        <v>143.35796</v>
      </c>
      <c r="AR20" s="87">
        <f t="shared" si="17"/>
        <v>106.19108148148146</v>
      </c>
      <c r="AS20" s="84">
        <f>Ори!C28</f>
        <v>54</v>
      </c>
      <c r="AT20" s="98">
        <f>Ори!D28</f>
        <v>45</v>
      </c>
      <c r="AU20" s="87">
        <f t="shared" si="18"/>
        <v>83.33333333333334</v>
      </c>
      <c r="AV20" s="96"/>
      <c r="AW20" s="96"/>
      <c r="AX20" s="87" t="e">
        <f t="shared" si="19"/>
        <v>#DIV/0!</v>
      </c>
      <c r="AY20" s="87">
        <f>Ори!C30</f>
        <v>20</v>
      </c>
      <c r="AZ20" s="79">
        <f>Ори!D30</f>
        <v>49.95219</v>
      </c>
      <c r="BA20" s="87">
        <f t="shared" si="20"/>
        <v>249.76095000000004</v>
      </c>
      <c r="BB20" s="87"/>
      <c r="BC20" s="87"/>
      <c r="BD20" s="87"/>
      <c r="BE20" s="87">
        <f>Ори!C33</f>
        <v>0</v>
      </c>
      <c r="BF20" s="87">
        <f>Ори!D33</f>
        <v>0</v>
      </c>
      <c r="BG20" s="87" t="e">
        <f t="shared" si="55"/>
        <v>#DIV/0!</v>
      </c>
      <c r="BH20" s="87"/>
      <c r="BI20" s="87"/>
      <c r="BJ20" s="87" t="e">
        <f t="shared" si="56"/>
        <v>#DIV/0!</v>
      </c>
      <c r="BK20" s="87"/>
      <c r="BL20" s="87"/>
      <c r="BM20" s="87"/>
      <c r="BN20" s="87">
        <f>Ори!C35</f>
        <v>0</v>
      </c>
      <c r="BO20" s="87">
        <f>Ори!D34</f>
        <v>48.9551</v>
      </c>
      <c r="BP20" s="89" t="e">
        <f t="shared" si="21"/>
        <v>#DIV/0!</v>
      </c>
      <c r="BQ20" s="87">
        <f>Ори!C36</f>
        <v>0</v>
      </c>
      <c r="BR20" s="87">
        <f>Ори!D36</f>
        <v>-4.65</v>
      </c>
      <c r="BS20" s="87" t="e">
        <f t="shared" si="22"/>
        <v>#DIV/0!</v>
      </c>
      <c r="BT20" s="87"/>
      <c r="BU20" s="87"/>
      <c r="BV20" s="99" t="e">
        <f t="shared" si="23"/>
        <v>#DIV/0!</v>
      </c>
      <c r="BW20" s="99"/>
      <c r="BX20" s="99"/>
      <c r="BY20" s="99" t="e">
        <f t="shared" si="24"/>
        <v>#DIV/0!</v>
      </c>
      <c r="BZ20" s="84">
        <f t="shared" si="25"/>
        <v>14151.650099999999</v>
      </c>
      <c r="CA20" s="84">
        <f t="shared" si="26"/>
        <v>13539.96026</v>
      </c>
      <c r="CB20" s="87">
        <f t="shared" si="27"/>
        <v>95.67760765933578</v>
      </c>
      <c r="CC20" s="87">
        <f>Ори!C41</f>
        <v>3226.8</v>
      </c>
      <c r="CD20" s="87">
        <f>Ори!D41</f>
        <v>2957.922</v>
      </c>
      <c r="CE20" s="87">
        <f t="shared" si="28"/>
        <v>91.66734845667534</v>
      </c>
      <c r="CF20" s="87">
        <f>Ори!C42</f>
        <v>0</v>
      </c>
      <c r="CG20" s="100">
        <f>Ори!D42</f>
        <v>0</v>
      </c>
      <c r="CH20" s="87" t="e">
        <f t="shared" si="29"/>
        <v>#DIV/0!</v>
      </c>
      <c r="CI20" s="87">
        <f>Ори!C43</f>
        <v>9628.309</v>
      </c>
      <c r="CJ20" s="87">
        <f>Ори!D43</f>
        <v>9534.39198</v>
      </c>
      <c r="CK20" s="87">
        <f t="shared" si="30"/>
        <v>99.02457409707146</v>
      </c>
      <c r="CL20" s="87">
        <f>Ори!C45</f>
        <v>206.767</v>
      </c>
      <c r="CM20" s="87">
        <f>Ори!D45</f>
        <v>188.74628</v>
      </c>
      <c r="CN20" s="87">
        <f t="shared" si="31"/>
        <v>91.28452799527972</v>
      </c>
      <c r="CO20" s="87">
        <f>Ори!C46</f>
        <v>699.105</v>
      </c>
      <c r="CP20" s="87">
        <f>Ори!D46</f>
        <v>545.3</v>
      </c>
      <c r="CQ20" s="79">
        <f t="shared" si="32"/>
        <v>77.99972822394346</v>
      </c>
      <c r="CR20" s="102">
        <f>Ори!C47</f>
        <v>390.6691</v>
      </c>
      <c r="CS20" s="87">
        <f>Ори!D47</f>
        <v>313.6</v>
      </c>
      <c r="CT20" s="87">
        <f t="shared" si="33"/>
        <v>80.27253755160058</v>
      </c>
      <c r="CU20" s="87"/>
      <c r="CV20" s="87"/>
      <c r="CW20" s="87"/>
      <c r="CX20" s="96"/>
      <c r="CY20" s="96"/>
      <c r="CZ20" s="87" t="e">
        <f t="shared" si="34"/>
        <v>#DIV/0!</v>
      </c>
      <c r="DA20" s="87"/>
      <c r="DB20" s="87"/>
      <c r="DC20" s="87"/>
      <c r="DD20" s="87"/>
      <c r="DE20" s="87"/>
      <c r="DF20" s="87"/>
      <c r="DG20" s="84">
        <f t="shared" si="35"/>
        <v>17889.7342</v>
      </c>
      <c r="DH20" s="84">
        <f t="shared" si="36"/>
        <v>16317.36983</v>
      </c>
      <c r="DI20" s="87">
        <f t="shared" si="37"/>
        <v>91.2108008290028</v>
      </c>
      <c r="DJ20" s="96">
        <f t="shared" si="38"/>
        <v>1856.818</v>
      </c>
      <c r="DK20" s="96">
        <f t="shared" si="38"/>
        <v>1564.2360899999999</v>
      </c>
      <c r="DL20" s="87">
        <f t="shared" si="39"/>
        <v>84.24283316943286</v>
      </c>
      <c r="DM20" s="87">
        <f>Ори!C58</f>
        <v>1726.132</v>
      </c>
      <c r="DN20" s="87">
        <f>Ори!D58</f>
        <v>1533.55009</v>
      </c>
      <c r="DO20" s="87">
        <f t="shared" si="40"/>
        <v>88.84315278321704</v>
      </c>
      <c r="DP20" s="87">
        <f>Ори!C61</f>
        <v>0</v>
      </c>
      <c r="DQ20" s="87">
        <f>Ори!D61</f>
        <v>0</v>
      </c>
      <c r="DR20" s="87" t="e">
        <f t="shared" si="41"/>
        <v>#DIV/0!</v>
      </c>
      <c r="DS20" s="87">
        <f>Ори!C62</f>
        <v>100</v>
      </c>
      <c r="DT20" s="87">
        <f>Ори!D62</f>
        <v>0</v>
      </c>
      <c r="DU20" s="87">
        <f t="shared" si="42"/>
        <v>0</v>
      </c>
      <c r="DV20" s="87">
        <f>Ори!C63</f>
        <v>30.686</v>
      </c>
      <c r="DW20" s="87">
        <f>Ори!D63</f>
        <v>30.686</v>
      </c>
      <c r="DX20" s="87">
        <f t="shared" si="43"/>
        <v>100</v>
      </c>
      <c r="DY20" s="87">
        <f>Ори!C65</f>
        <v>206.767</v>
      </c>
      <c r="DZ20" s="87">
        <f>Ори!D65</f>
        <v>152.34089</v>
      </c>
      <c r="EA20" s="87">
        <f t="shared" si="44"/>
        <v>73.67756460170143</v>
      </c>
      <c r="EB20" s="87">
        <f>Ори!C66</f>
        <v>18.5</v>
      </c>
      <c r="EC20" s="87">
        <f>Ори!D66</f>
        <v>18.31148</v>
      </c>
      <c r="ED20" s="87">
        <f t="shared" si="45"/>
        <v>98.98097297297296</v>
      </c>
      <c r="EE20" s="96">
        <f>Ори!C72</f>
        <v>3081.8801</v>
      </c>
      <c r="EF20" s="96">
        <f>Ори!D72</f>
        <v>2939.8210999999997</v>
      </c>
      <c r="EG20" s="87">
        <f t="shared" si="46"/>
        <v>95.39050854054965</v>
      </c>
      <c r="EH20" s="96">
        <f>Ори!C77</f>
        <v>10627.1461</v>
      </c>
      <c r="EI20" s="96">
        <f>Ори!D77</f>
        <v>9937.55127</v>
      </c>
      <c r="EJ20" s="87">
        <f t="shared" si="47"/>
        <v>93.51100640274439</v>
      </c>
      <c r="EK20" s="96">
        <f>Ори!C82</f>
        <v>2071.553</v>
      </c>
      <c r="EL20" s="103">
        <f>Ори!D82</f>
        <v>1678.039</v>
      </c>
      <c r="EM20" s="87">
        <f t="shared" si="48"/>
        <v>81.0039134890587</v>
      </c>
      <c r="EN20" s="87">
        <f>Ори!C84</f>
        <v>0</v>
      </c>
      <c r="EO20" s="87">
        <f>Ори!D84</f>
        <v>0</v>
      </c>
      <c r="EP20" s="87" t="e">
        <f t="shared" si="49"/>
        <v>#DIV/0!</v>
      </c>
      <c r="EQ20" s="104">
        <f>Ори!C89</f>
        <v>27.07</v>
      </c>
      <c r="ER20" s="104">
        <f>Ори!D89</f>
        <v>27.07</v>
      </c>
      <c r="ES20" s="87">
        <f t="shared" si="50"/>
        <v>100</v>
      </c>
      <c r="ET20" s="87">
        <f>Ори!C95</f>
        <v>0</v>
      </c>
      <c r="EU20" s="87">
        <f>Ори!D95</f>
        <v>0</v>
      </c>
      <c r="EV20" s="79" t="e">
        <f t="shared" si="51"/>
        <v>#DIV/0!</v>
      </c>
      <c r="EW20" s="88">
        <f t="shared" si="52"/>
        <v>-1028.964100000001</v>
      </c>
      <c r="EX20" s="88">
        <f t="shared" si="53"/>
        <v>-455.6382599999997</v>
      </c>
      <c r="EY20" s="79">
        <f t="shared" si="54"/>
        <v>44.28125918095677</v>
      </c>
      <c r="EZ20" s="93"/>
      <c r="FA20" s="94"/>
      <c r="FC20" s="94"/>
      <c r="FF20" s="114"/>
      <c r="FG20" s="114"/>
      <c r="FH20" s="114"/>
      <c r="FI20" s="114"/>
      <c r="FJ20" s="114"/>
      <c r="FK20" s="114"/>
      <c r="FL20" s="114"/>
      <c r="FM20" s="114"/>
      <c r="FN20" s="114"/>
    </row>
    <row r="21" spans="1:170" s="59" customFormat="1" ht="24.75" customHeight="1">
      <c r="A21" s="75">
        <v>8</v>
      </c>
      <c r="B21" s="95" t="s">
        <v>130</v>
      </c>
      <c r="C21" s="77">
        <f t="shared" si="0"/>
        <v>21620.02593</v>
      </c>
      <c r="D21" s="78">
        <f t="shared" si="1"/>
        <v>15779.472360000002</v>
      </c>
      <c r="E21" s="87">
        <f t="shared" si="2"/>
        <v>72.98544604474488</v>
      </c>
      <c r="F21" s="80">
        <f t="shared" si="3"/>
        <v>2203.15</v>
      </c>
      <c r="G21" s="80">
        <f t="shared" si="4"/>
        <v>1642.5508700000003</v>
      </c>
      <c r="H21" s="87">
        <f t="shared" si="5"/>
        <v>74.55465447200599</v>
      </c>
      <c r="I21" s="96">
        <f>Сят!C6</f>
        <v>127.65</v>
      </c>
      <c r="J21" s="97">
        <f>Сят!D6</f>
        <v>137.1156</v>
      </c>
      <c r="K21" s="87">
        <f t="shared" si="6"/>
        <v>107.41527614571092</v>
      </c>
      <c r="L21" s="87">
        <f>Сят!C8</f>
        <v>220.44</v>
      </c>
      <c r="M21" s="87">
        <f>Сят!D8</f>
        <v>277.29355</v>
      </c>
      <c r="N21" s="79">
        <f t="shared" si="7"/>
        <v>125.79094084558156</v>
      </c>
      <c r="O21" s="79">
        <f>Сят!C9</f>
        <v>2.36</v>
      </c>
      <c r="P21" s="79">
        <f>Сят!D9</f>
        <v>1.96691</v>
      </c>
      <c r="Q21" s="79">
        <f t="shared" si="8"/>
        <v>83.3436440677966</v>
      </c>
      <c r="R21" s="79">
        <f>Сят!C10</f>
        <v>400.2</v>
      </c>
      <c r="S21" s="79">
        <f>Сят!D10</f>
        <v>372.69477</v>
      </c>
      <c r="T21" s="79">
        <f t="shared" si="9"/>
        <v>93.12712893553223</v>
      </c>
      <c r="U21" s="79">
        <f>Сят!C11</f>
        <v>0</v>
      </c>
      <c r="V21" s="83">
        <f>Сят!D11</f>
        <v>-46.98316</v>
      </c>
      <c r="W21" s="79" t="e">
        <f t="shared" si="10"/>
        <v>#DIV/0!</v>
      </c>
      <c r="X21" s="96">
        <f>Сят!C13</f>
        <v>90</v>
      </c>
      <c r="Y21" s="96">
        <f>Сят!D13</f>
        <v>19.36608</v>
      </c>
      <c r="Z21" s="87">
        <f t="shared" si="11"/>
        <v>21.517866666666666</v>
      </c>
      <c r="AA21" s="96">
        <f>Сят!C15</f>
        <v>180</v>
      </c>
      <c r="AB21" s="86">
        <f>Сят!D15</f>
        <v>152.04068</v>
      </c>
      <c r="AC21" s="87">
        <f t="shared" si="12"/>
        <v>84.46704444444445</v>
      </c>
      <c r="AD21" s="96">
        <f>Сят!C16</f>
        <v>919</v>
      </c>
      <c r="AE21" s="96">
        <f>Сят!D16</f>
        <v>502.76639</v>
      </c>
      <c r="AF21" s="87">
        <f t="shared" si="13"/>
        <v>54.70798585418933</v>
      </c>
      <c r="AG21" s="87">
        <f>Сят!C18</f>
        <v>4</v>
      </c>
      <c r="AH21" s="87">
        <f>Сят!D18</f>
        <v>3.825</v>
      </c>
      <c r="AI21" s="87">
        <f t="shared" si="14"/>
        <v>95.625</v>
      </c>
      <c r="AJ21" s="87">
        <f>Сят!C22</f>
        <v>0</v>
      </c>
      <c r="AK21" s="87">
        <f>Сят!D20</f>
        <v>0</v>
      </c>
      <c r="AL21" s="87" t="e">
        <f t="shared" si="15"/>
        <v>#DIV/0!</v>
      </c>
      <c r="AM21" s="96">
        <v>0</v>
      </c>
      <c r="AN21" s="96">
        <v>0</v>
      </c>
      <c r="AO21" s="87" t="e">
        <f t="shared" si="16"/>
        <v>#DIV/0!</v>
      </c>
      <c r="AP21" s="96">
        <f>Сят!C27</f>
        <v>242.8</v>
      </c>
      <c r="AQ21" s="98">
        <f>Сят!D27</f>
        <v>187.78</v>
      </c>
      <c r="AR21" s="87">
        <f t="shared" si="17"/>
        <v>77.33937397034596</v>
      </c>
      <c r="AS21" s="84">
        <f>Сят!C28</f>
        <v>6.7</v>
      </c>
      <c r="AT21" s="98">
        <f>Сят!D28</f>
        <v>6.20928</v>
      </c>
      <c r="AU21" s="87">
        <f t="shared" si="18"/>
        <v>92.67582089552238</v>
      </c>
      <c r="AV21" s="96"/>
      <c r="AW21" s="96"/>
      <c r="AX21" s="87" t="e">
        <f t="shared" si="19"/>
        <v>#DIV/0!</v>
      </c>
      <c r="AY21" s="87">
        <f>Сят!C30</f>
        <v>10</v>
      </c>
      <c r="AZ21" s="79">
        <f>Сят!D30</f>
        <v>6.41759</v>
      </c>
      <c r="BA21" s="87">
        <f t="shared" si="20"/>
        <v>64.1759</v>
      </c>
      <c r="BB21" s="87"/>
      <c r="BC21" s="87"/>
      <c r="BD21" s="87"/>
      <c r="BE21" s="87">
        <f>Сят!C33</f>
        <v>0</v>
      </c>
      <c r="BF21" s="87">
        <f>Сят!D33</f>
        <v>0</v>
      </c>
      <c r="BG21" s="87" t="e">
        <f t="shared" si="55"/>
        <v>#DIV/0!</v>
      </c>
      <c r="BH21" s="87"/>
      <c r="BI21" s="87"/>
      <c r="BJ21" s="87" t="e">
        <f t="shared" si="56"/>
        <v>#DIV/0!</v>
      </c>
      <c r="BK21" s="87"/>
      <c r="BL21" s="87"/>
      <c r="BM21" s="87"/>
      <c r="BN21" s="87">
        <f>Сят!C34</f>
        <v>0</v>
      </c>
      <c r="BO21" s="87">
        <f>Сят!D34</f>
        <v>22.05818</v>
      </c>
      <c r="BP21" s="89" t="e">
        <f t="shared" si="21"/>
        <v>#DIV/0!</v>
      </c>
      <c r="BQ21" s="87">
        <f>Сят!C36</f>
        <v>0</v>
      </c>
      <c r="BR21" s="87">
        <f>Сят!D36</f>
        <v>0</v>
      </c>
      <c r="BS21" s="87" t="e">
        <f t="shared" si="22"/>
        <v>#DIV/0!</v>
      </c>
      <c r="BT21" s="87"/>
      <c r="BU21" s="87"/>
      <c r="BV21" s="99" t="e">
        <f t="shared" si="23"/>
        <v>#DIV/0!</v>
      </c>
      <c r="BW21" s="99"/>
      <c r="BX21" s="99"/>
      <c r="BY21" s="99" t="e">
        <f t="shared" si="24"/>
        <v>#DIV/0!</v>
      </c>
      <c r="BZ21" s="84">
        <f t="shared" si="25"/>
        <v>19416.87593</v>
      </c>
      <c r="CA21" s="84">
        <f t="shared" si="26"/>
        <v>14136.92149</v>
      </c>
      <c r="CB21" s="87">
        <f t="shared" si="27"/>
        <v>72.80739466516229</v>
      </c>
      <c r="CC21" s="87">
        <f>Сят!C41</f>
        <v>4637.7</v>
      </c>
      <c r="CD21" s="87">
        <f>Сят!D41</f>
        <v>4251.258</v>
      </c>
      <c r="CE21" s="87">
        <f t="shared" si="28"/>
        <v>91.66737822627596</v>
      </c>
      <c r="CF21" s="87">
        <f>Сят!C42</f>
        <v>0</v>
      </c>
      <c r="CG21" s="100">
        <f>Сят!D42</f>
        <v>0</v>
      </c>
      <c r="CH21" s="87" t="e">
        <f t="shared" si="29"/>
        <v>#DIV/0!</v>
      </c>
      <c r="CI21" s="87">
        <f>Сят!C43</f>
        <v>12474.90703</v>
      </c>
      <c r="CJ21" s="87">
        <f>Сят!D43</f>
        <v>7876.55586</v>
      </c>
      <c r="CK21" s="87">
        <f t="shared" si="30"/>
        <v>63.13919487382344</v>
      </c>
      <c r="CL21" s="87">
        <f>Сят!C44</f>
        <v>206.767</v>
      </c>
      <c r="CM21" s="87">
        <f>Сят!D44</f>
        <v>188.74628</v>
      </c>
      <c r="CN21" s="87">
        <f t="shared" si="31"/>
        <v>91.28452799527972</v>
      </c>
      <c r="CO21" s="87">
        <f>Сят!C48</f>
        <v>1890.728</v>
      </c>
      <c r="CP21" s="87">
        <f>Сят!D48</f>
        <v>1613.58745</v>
      </c>
      <c r="CQ21" s="79">
        <f t="shared" si="32"/>
        <v>85.3421248323397</v>
      </c>
      <c r="CR21" s="102">
        <f>Сят!C49</f>
        <v>206.7739</v>
      </c>
      <c r="CS21" s="87">
        <f>Сят!D49</f>
        <v>206.7739</v>
      </c>
      <c r="CT21" s="87">
        <f t="shared" si="33"/>
        <v>100</v>
      </c>
      <c r="CU21" s="87"/>
      <c r="CV21" s="87">
        <f>Сят!D50</f>
        <v>0</v>
      </c>
      <c r="CW21" s="87"/>
      <c r="CX21" s="96"/>
      <c r="CY21" s="96"/>
      <c r="CZ21" s="87" t="e">
        <f t="shared" si="34"/>
        <v>#DIV/0!</v>
      </c>
      <c r="DA21" s="87"/>
      <c r="DB21" s="87"/>
      <c r="DC21" s="87"/>
      <c r="DD21" s="87"/>
      <c r="DE21" s="87"/>
      <c r="DF21" s="87"/>
      <c r="DG21" s="84">
        <f t="shared" si="35"/>
        <v>21488.22334</v>
      </c>
      <c r="DH21" s="84">
        <f t="shared" si="36"/>
        <v>15100.133389999999</v>
      </c>
      <c r="DI21" s="87">
        <f t="shared" si="37"/>
        <v>70.2716699797667</v>
      </c>
      <c r="DJ21" s="96">
        <f aca="true" t="shared" si="57" ref="DJ21:DJ29">DM21+DP21+DS21+DV21</f>
        <v>1713.616</v>
      </c>
      <c r="DK21" s="96">
        <f>Сят!D56</f>
        <v>1435.14865</v>
      </c>
      <c r="DL21" s="87">
        <f t="shared" si="39"/>
        <v>83.74972280837714</v>
      </c>
      <c r="DM21" s="87">
        <f>Сят!C58</f>
        <v>1592.1</v>
      </c>
      <c r="DN21" s="87">
        <f>Сят!D58</f>
        <v>1414.31265</v>
      </c>
      <c r="DO21" s="87">
        <f t="shared" si="40"/>
        <v>88.83315432447712</v>
      </c>
      <c r="DP21" s="87">
        <f>Сят!C61</f>
        <v>0</v>
      </c>
      <c r="DQ21" s="87">
        <f>Сят!D61</f>
        <v>0</v>
      </c>
      <c r="DR21" s="87" t="e">
        <f t="shared" si="41"/>
        <v>#DIV/0!</v>
      </c>
      <c r="DS21" s="87">
        <f>Сят!C62</f>
        <v>100</v>
      </c>
      <c r="DT21" s="87">
        <f>Сят!D62</f>
        <v>0</v>
      </c>
      <c r="DU21" s="87">
        <f t="shared" si="42"/>
        <v>0</v>
      </c>
      <c r="DV21" s="87">
        <f>Сят!C63</f>
        <v>21.516</v>
      </c>
      <c r="DW21" s="87">
        <f>Сят!D63</f>
        <v>20.836</v>
      </c>
      <c r="DX21" s="87">
        <f t="shared" si="43"/>
        <v>96.83956125673917</v>
      </c>
      <c r="DY21" s="87">
        <f>Сят!C65</f>
        <v>206.767</v>
      </c>
      <c r="DZ21" s="87">
        <f>Сят!D65</f>
        <v>129.99485</v>
      </c>
      <c r="EA21" s="87">
        <f t="shared" si="44"/>
        <v>62.87021139736999</v>
      </c>
      <c r="EB21" s="87">
        <f>Сят!C66</f>
        <v>118.31148</v>
      </c>
      <c r="EC21" s="87">
        <f>Сят!D66</f>
        <v>80.31148</v>
      </c>
      <c r="ED21" s="87">
        <f t="shared" si="45"/>
        <v>67.88139240587641</v>
      </c>
      <c r="EE21" s="96">
        <f>Сят!C72</f>
        <v>4475.33805</v>
      </c>
      <c r="EF21" s="96">
        <f>Сят!D72</f>
        <v>4046.1106800000002</v>
      </c>
      <c r="EG21" s="87">
        <f t="shared" si="46"/>
        <v>90.40905144584552</v>
      </c>
      <c r="EH21" s="96">
        <f>Сят!C77</f>
        <v>12376.61781</v>
      </c>
      <c r="EI21" s="96">
        <f>Сят!D77</f>
        <v>7236.68166</v>
      </c>
      <c r="EJ21" s="87">
        <f t="shared" si="47"/>
        <v>58.47059165188846</v>
      </c>
      <c r="EK21" s="96">
        <f>Сят!C81</f>
        <v>2547.573</v>
      </c>
      <c r="EL21" s="103">
        <f>Сят!D81</f>
        <v>2140.80107</v>
      </c>
      <c r="EM21" s="87">
        <f t="shared" si="48"/>
        <v>84.03296274532663</v>
      </c>
      <c r="EN21" s="87">
        <f>Сят!C83</f>
        <v>0</v>
      </c>
      <c r="EO21" s="87">
        <f>Сят!D83</f>
        <v>0</v>
      </c>
      <c r="EP21" s="87" t="e">
        <f t="shared" si="49"/>
        <v>#DIV/0!</v>
      </c>
      <c r="EQ21" s="104">
        <f>Сят!C88</f>
        <v>50</v>
      </c>
      <c r="ER21" s="104">
        <f>Сят!D88</f>
        <v>31.085</v>
      </c>
      <c r="ES21" s="87">
        <f t="shared" si="50"/>
        <v>62.17</v>
      </c>
      <c r="ET21" s="87">
        <f>Сят!C94</f>
        <v>0</v>
      </c>
      <c r="EU21" s="87">
        <f>Сят!D94</f>
        <v>0</v>
      </c>
      <c r="EV21" s="79" t="e">
        <f t="shared" si="51"/>
        <v>#DIV/0!</v>
      </c>
      <c r="EW21" s="88">
        <f t="shared" si="52"/>
        <v>131.80258999999933</v>
      </c>
      <c r="EX21" s="88">
        <f t="shared" si="53"/>
        <v>679.3389700000025</v>
      </c>
      <c r="EY21" s="79">
        <f t="shared" si="54"/>
        <v>515.4215634154124</v>
      </c>
      <c r="EZ21" s="93"/>
      <c r="FA21" s="94"/>
      <c r="FB21" s="114"/>
      <c r="FC21" s="9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</row>
    <row r="22" spans="1:170" s="59" customFormat="1" ht="22.5" customHeight="1">
      <c r="A22" s="75">
        <v>9</v>
      </c>
      <c r="B22" s="76" t="s">
        <v>131</v>
      </c>
      <c r="C22" s="77">
        <f t="shared" si="0"/>
        <v>9040.1863</v>
      </c>
      <c r="D22" s="108">
        <f t="shared" si="1"/>
        <v>6229.593800000001</v>
      </c>
      <c r="E22" s="79">
        <f t="shared" si="2"/>
        <v>68.91001571505225</v>
      </c>
      <c r="F22" s="80">
        <f t="shared" si="3"/>
        <v>2143.44</v>
      </c>
      <c r="G22" s="80">
        <f t="shared" si="4"/>
        <v>2252.3262600000003</v>
      </c>
      <c r="H22" s="79">
        <f t="shared" si="5"/>
        <v>105.07997704624343</v>
      </c>
      <c r="I22" s="84">
        <f>Тор!C6</f>
        <v>112.95</v>
      </c>
      <c r="J22" s="97">
        <f>Тор!D6</f>
        <v>126.90042</v>
      </c>
      <c r="K22" s="79">
        <f t="shared" si="6"/>
        <v>112.35096945551129</v>
      </c>
      <c r="L22" s="79">
        <f>Тор!C8</f>
        <v>305.3</v>
      </c>
      <c r="M22" s="79">
        <f>Тор!D8</f>
        <v>384.03413</v>
      </c>
      <c r="N22" s="79">
        <f t="shared" si="7"/>
        <v>125.7891025221094</v>
      </c>
      <c r="O22" s="79">
        <f>Тор!C9</f>
        <v>3.27</v>
      </c>
      <c r="P22" s="79">
        <f>Тор!D9</f>
        <v>2.72398</v>
      </c>
      <c r="Q22" s="79">
        <f t="shared" si="8"/>
        <v>83.30214067278288</v>
      </c>
      <c r="R22" s="79">
        <f>Тор!C10</f>
        <v>509.92</v>
      </c>
      <c r="S22" s="79">
        <f>Тор!D10</f>
        <v>516.15888</v>
      </c>
      <c r="T22" s="79">
        <f t="shared" si="9"/>
        <v>101.22350172576088</v>
      </c>
      <c r="U22" s="79">
        <f>Тор!C11</f>
        <v>0</v>
      </c>
      <c r="V22" s="83">
        <f>Тор!D11</f>
        <v>-65.06873</v>
      </c>
      <c r="W22" s="79" t="e">
        <f t="shared" si="10"/>
        <v>#DIV/0!</v>
      </c>
      <c r="X22" s="84">
        <f>Тор!C13</f>
        <v>35</v>
      </c>
      <c r="Y22" s="84">
        <f>Тор!D13</f>
        <v>6.28594</v>
      </c>
      <c r="Z22" s="79">
        <f t="shared" si="11"/>
        <v>17.95982857142857</v>
      </c>
      <c r="AA22" s="84">
        <f>Тор!C15</f>
        <v>160</v>
      </c>
      <c r="AB22" s="86">
        <f>Тор!D15</f>
        <v>212.98</v>
      </c>
      <c r="AC22" s="79">
        <f t="shared" si="12"/>
        <v>133.11249999999998</v>
      </c>
      <c r="AD22" s="84">
        <f>Тор!C16</f>
        <v>382</v>
      </c>
      <c r="AE22" s="84">
        <f>Тор!D16</f>
        <v>387.88173</v>
      </c>
      <c r="AF22" s="79">
        <f t="shared" si="13"/>
        <v>101.53971989528796</v>
      </c>
      <c r="AG22" s="79">
        <f>Тор!C18</f>
        <v>8</v>
      </c>
      <c r="AH22" s="79">
        <f>Тор!D18</f>
        <v>3.2</v>
      </c>
      <c r="AI22" s="79">
        <f t="shared" si="14"/>
        <v>40</v>
      </c>
      <c r="AJ22" s="79"/>
      <c r="AK22" s="79">
        <f>Тор!D20</f>
        <v>0</v>
      </c>
      <c r="AL22" s="79" t="e">
        <f t="shared" si="15"/>
        <v>#DIV/0!</v>
      </c>
      <c r="AM22" s="84">
        <v>0</v>
      </c>
      <c r="AN22" s="84">
        <v>0</v>
      </c>
      <c r="AO22" s="79" t="e">
        <f t="shared" si="16"/>
        <v>#DIV/0!</v>
      </c>
      <c r="AP22" s="84">
        <f>Тор!C27</f>
        <v>450</v>
      </c>
      <c r="AQ22" s="86">
        <f>Тор!D27</f>
        <v>516.10164</v>
      </c>
      <c r="AR22" s="79">
        <f t="shared" si="17"/>
        <v>114.68925333333333</v>
      </c>
      <c r="AS22" s="84">
        <f>Тор!C28</f>
        <v>77</v>
      </c>
      <c r="AT22" s="86">
        <f>Тор!D28</f>
        <v>58.86598</v>
      </c>
      <c r="AU22" s="79">
        <f t="shared" si="18"/>
        <v>76.44932467532468</v>
      </c>
      <c r="AV22" s="84"/>
      <c r="AW22" s="84"/>
      <c r="AX22" s="79" t="e">
        <f t="shared" si="19"/>
        <v>#DIV/0!</v>
      </c>
      <c r="AY22" s="79">
        <f>Тор!C29</f>
        <v>100</v>
      </c>
      <c r="AZ22" s="79">
        <f>Тор!D29</f>
        <v>101.11766</v>
      </c>
      <c r="BA22" s="79">
        <f t="shared" si="20"/>
        <v>101.11766</v>
      </c>
      <c r="BB22" s="79"/>
      <c r="BC22" s="79"/>
      <c r="BD22" s="79"/>
      <c r="BE22" s="79">
        <f>Тор!C34+Тор!C33</f>
        <v>0</v>
      </c>
      <c r="BF22" s="79">
        <f>Тор!D32</f>
        <v>0</v>
      </c>
      <c r="BG22" s="79" t="e">
        <f t="shared" si="55"/>
        <v>#DIV/0!</v>
      </c>
      <c r="BH22" s="79"/>
      <c r="BI22" s="79"/>
      <c r="BJ22" s="79" t="e">
        <f t="shared" si="56"/>
        <v>#DIV/0!</v>
      </c>
      <c r="BK22" s="79"/>
      <c r="BL22" s="79"/>
      <c r="BM22" s="79"/>
      <c r="BN22" s="79">
        <f>Тор!C35</f>
        <v>0</v>
      </c>
      <c r="BO22" s="79">
        <f>Тор!D35</f>
        <v>1.14463</v>
      </c>
      <c r="BP22" s="89" t="e">
        <f t="shared" si="21"/>
        <v>#DIV/0!</v>
      </c>
      <c r="BQ22" s="79">
        <f>Тор!C37</f>
        <v>0</v>
      </c>
      <c r="BR22" s="79">
        <f>Тор!D37</f>
        <v>0</v>
      </c>
      <c r="BS22" s="79" t="e">
        <f t="shared" si="22"/>
        <v>#DIV/0!</v>
      </c>
      <c r="BT22" s="79"/>
      <c r="BU22" s="79"/>
      <c r="BV22" s="90" t="e">
        <f t="shared" si="23"/>
        <v>#DIV/0!</v>
      </c>
      <c r="BW22" s="90"/>
      <c r="BX22" s="90"/>
      <c r="BY22" s="90" t="e">
        <f t="shared" si="24"/>
        <v>#DIV/0!</v>
      </c>
      <c r="BZ22" s="84">
        <f t="shared" si="25"/>
        <v>6896.746299999999</v>
      </c>
      <c r="CA22" s="84">
        <f t="shared" si="26"/>
        <v>3977.26754</v>
      </c>
      <c r="CB22" s="79">
        <f t="shared" si="27"/>
        <v>57.6687522926572</v>
      </c>
      <c r="CC22" s="79">
        <f>Тор!C42</f>
        <v>2494.2</v>
      </c>
      <c r="CD22" s="79">
        <f>Тор!D42</f>
        <v>2286.361</v>
      </c>
      <c r="CE22" s="79">
        <f t="shared" si="28"/>
        <v>91.66710768984044</v>
      </c>
      <c r="CF22" s="79">
        <f>Тор!C43</f>
        <v>0</v>
      </c>
      <c r="CG22" s="91">
        <f>Тор!D43</f>
        <v>0</v>
      </c>
      <c r="CH22" s="79" t="e">
        <f t="shared" si="29"/>
        <v>#DIV/0!</v>
      </c>
      <c r="CI22" s="79">
        <f>Тор!C44</f>
        <v>3362.0408</v>
      </c>
      <c r="CJ22" s="79">
        <f>Тор!D44</f>
        <v>1207.7452</v>
      </c>
      <c r="CK22" s="79">
        <f t="shared" si="30"/>
        <v>35.92297868604093</v>
      </c>
      <c r="CL22" s="79">
        <f>Тор!C45</f>
        <v>110.166</v>
      </c>
      <c r="CM22" s="79">
        <f>Тор!D45</f>
        <v>112.19434</v>
      </c>
      <c r="CN22" s="79">
        <f t="shared" si="31"/>
        <v>101.84116696621462</v>
      </c>
      <c r="CO22" s="79">
        <f>Тор!C46</f>
        <v>573.895</v>
      </c>
      <c r="CP22" s="79">
        <f>Тор!D46</f>
        <v>142.517</v>
      </c>
      <c r="CQ22" s="79">
        <f t="shared" si="32"/>
        <v>24.833288319291857</v>
      </c>
      <c r="CR22" s="83">
        <f>Тор!C48</f>
        <v>356.4445</v>
      </c>
      <c r="CS22" s="79">
        <f>Тор!D48</f>
        <v>228.45</v>
      </c>
      <c r="CT22" s="79">
        <f t="shared" si="33"/>
        <v>64.09132417529236</v>
      </c>
      <c r="CU22" s="79"/>
      <c r="CV22" s="79">
        <f>Тор!D49</f>
        <v>0</v>
      </c>
      <c r="CW22" s="79"/>
      <c r="CX22" s="84"/>
      <c r="CY22" s="84"/>
      <c r="CZ22" s="79" t="e">
        <f t="shared" si="34"/>
        <v>#DIV/0!</v>
      </c>
      <c r="DA22" s="79"/>
      <c r="DB22" s="79"/>
      <c r="DC22" s="79"/>
      <c r="DD22" s="79"/>
      <c r="DE22" s="79"/>
      <c r="DF22" s="79"/>
      <c r="DG22" s="84">
        <f t="shared" si="35"/>
        <v>9619.251970000001</v>
      </c>
      <c r="DH22" s="84">
        <f t="shared" si="36"/>
        <v>6167.75677</v>
      </c>
      <c r="DI22" s="79">
        <f t="shared" si="37"/>
        <v>64.1188814809682</v>
      </c>
      <c r="DJ22" s="84">
        <f t="shared" si="57"/>
        <v>1348.7340000000002</v>
      </c>
      <c r="DK22" s="84">
        <f aca="true" t="shared" si="58" ref="DK22:DK29">DN22+DQ22+DT22+DW22</f>
        <v>1189.11803</v>
      </c>
      <c r="DL22" s="79">
        <f t="shared" si="39"/>
        <v>88.16549668059082</v>
      </c>
      <c r="DM22" s="79">
        <f>Тор!C58</f>
        <v>1287.5</v>
      </c>
      <c r="DN22" s="79">
        <f>Тор!D58</f>
        <v>1152.88403</v>
      </c>
      <c r="DO22" s="79">
        <f t="shared" si="40"/>
        <v>89.54439067961164</v>
      </c>
      <c r="DP22" s="79">
        <f>Тор!C61</f>
        <v>8.9</v>
      </c>
      <c r="DQ22" s="79">
        <f>Тор!D61</f>
        <v>8.9</v>
      </c>
      <c r="DR22" s="79">
        <f t="shared" si="41"/>
        <v>100</v>
      </c>
      <c r="DS22" s="79">
        <f>Тор!C62</f>
        <v>25</v>
      </c>
      <c r="DT22" s="79">
        <f>Тор!D62</f>
        <v>0</v>
      </c>
      <c r="DU22" s="79">
        <f t="shared" si="42"/>
        <v>0</v>
      </c>
      <c r="DV22" s="79">
        <f>Тор!C63</f>
        <v>27.334</v>
      </c>
      <c r="DW22" s="79">
        <f>Тор!D63</f>
        <v>27.334</v>
      </c>
      <c r="DX22" s="79">
        <f t="shared" si="43"/>
        <v>100</v>
      </c>
      <c r="DY22" s="79">
        <f>Тор!C65</f>
        <v>110.166</v>
      </c>
      <c r="DZ22" s="79">
        <f>+Тор!D64</f>
        <v>98.61886</v>
      </c>
      <c r="EA22" s="79">
        <f t="shared" si="44"/>
        <v>89.51841766062124</v>
      </c>
      <c r="EB22" s="79">
        <f>Тор!C66</f>
        <v>19.06148</v>
      </c>
      <c r="EC22" s="79">
        <f>Тор!D66</f>
        <v>19.06148</v>
      </c>
      <c r="ED22" s="79">
        <f t="shared" si="45"/>
        <v>100</v>
      </c>
      <c r="EE22" s="84">
        <f>Тор!C72</f>
        <v>4339.74477</v>
      </c>
      <c r="EF22" s="84">
        <f>Тор!D72</f>
        <v>2406.56261</v>
      </c>
      <c r="EG22" s="79">
        <f t="shared" si="46"/>
        <v>55.45401256396928</v>
      </c>
      <c r="EH22" s="84">
        <f>Тор!C78</f>
        <v>2471.44572</v>
      </c>
      <c r="EI22" s="84">
        <f>Тор!D78</f>
        <v>1373.14579</v>
      </c>
      <c r="EJ22" s="79">
        <f t="shared" si="47"/>
        <v>55.56042679343166</v>
      </c>
      <c r="EK22" s="84">
        <f>Тор!C82</f>
        <v>1328.1</v>
      </c>
      <c r="EL22" s="92">
        <f>Тор!D82</f>
        <v>1081.25</v>
      </c>
      <c r="EM22" s="79">
        <f t="shared" si="48"/>
        <v>81.41329719147656</v>
      </c>
      <c r="EN22" s="79">
        <f>Тор!C84</f>
        <v>0</v>
      </c>
      <c r="EO22" s="79">
        <f>Тор!D84</f>
        <v>0</v>
      </c>
      <c r="EP22" s="79" t="e">
        <f t="shared" si="49"/>
        <v>#DIV/0!</v>
      </c>
      <c r="EQ22" s="80">
        <f>Тор!C96</f>
        <v>2</v>
      </c>
      <c r="ER22" s="80">
        <f>Тор!D96</f>
        <v>0</v>
      </c>
      <c r="ES22" s="79">
        <f t="shared" si="50"/>
        <v>0</v>
      </c>
      <c r="ET22" s="79">
        <f>Тор!C94</f>
        <v>0</v>
      </c>
      <c r="EU22" s="79">
        <f>Тор!D94</f>
        <v>0</v>
      </c>
      <c r="EV22" s="79" t="e">
        <f t="shared" si="51"/>
        <v>#DIV/0!</v>
      </c>
      <c r="EW22" s="88">
        <f t="shared" si="52"/>
        <v>-579.0656700000018</v>
      </c>
      <c r="EX22" s="88">
        <f t="shared" si="53"/>
        <v>61.837030000000595</v>
      </c>
      <c r="EY22" s="79">
        <f t="shared" si="54"/>
        <v>-10.678759457455042</v>
      </c>
      <c r="EZ22" s="93"/>
      <c r="FA22" s="94"/>
      <c r="FC22" s="94"/>
      <c r="FF22" s="114"/>
      <c r="FG22" s="114"/>
      <c r="FH22" s="114"/>
      <c r="FI22" s="114"/>
      <c r="FJ22" s="114"/>
      <c r="FK22" s="114"/>
      <c r="FL22" s="114"/>
      <c r="FM22" s="114"/>
      <c r="FN22" s="114"/>
    </row>
    <row r="23" spans="1:159" s="59" customFormat="1" ht="23.25" customHeight="1">
      <c r="A23" s="75">
        <v>10</v>
      </c>
      <c r="B23" s="95" t="s">
        <v>132</v>
      </c>
      <c r="C23" s="77">
        <f t="shared" si="0"/>
        <v>8567.62558</v>
      </c>
      <c r="D23" s="78">
        <f t="shared" si="1"/>
        <v>8058.9324</v>
      </c>
      <c r="E23" s="87">
        <f t="shared" si="2"/>
        <v>94.0626119191357</v>
      </c>
      <c r="F23" s="80">
        <f t="shared" si="3"/>
        <v>1317.8600000000001</v>
      </c>
      <c r="G23" s="80">
        <f t="shared" si="4"/>
        <v>1068.89258</v>
      </c>
      <c r="H23" s="87">
        <f t="shared" si="5"/>
        <v>81.10820420985536</v>
      </c>
      <c r="I23" s="96">
        <f>Хор!C6</f>
        <v>255.5</v>
      </c>
      <c r="J23" s="97">
        <f>Хор!D6</f>
        <v>82.75245</v>
      </c>
      <c r="K23" s="87">
        <f t="shared" si="6"/>
        <v>32.38843444227006</v>
      </c>
      <c r="L23" s="87">
        <f>Хор!C8</f>
        <v>140.2</v>
      </c>
      <c r="M23" s="87">
        <f>Хор!D8</f>
        <v>176.35405</v>
      </c>
      <c r="N23" s="79">
        <f t="shared" si="7"/>
        <v>125.78748216833098</v>
      </c>
      <c r="O23" s="79">
        <f>Хор!C9</f>
        <v>1.5</v>
      </c>
      <c r="P23" s="79">
        <f>Хор!D9</f>
        <v>1.25092</v>
      </c>
      <c r="Q23" s="79">
        <f t="shared" si="8"/>
        <v>83.39466666666667</v>
      </c>
      <c r="R23" s="79">
        <f>Хор!C10</f>
        <v>234.16</v>
      </c>
      <c r="S23" s="79">
        <f>Хор!D10</f>
        <v>237.02766</v>
      </c>
      <c r="T23" s="79">
        <f t="shared" si="9"/>
        <v>101.22465835326273</v>
      </c>
      <c r="U23" s="79">
        <f>Хор!C11</f>
        <v>0</v>
      </c>
      <c r="V23" s="83">
        <f>Хор!D11</f>
        <v>-29.88057</v>
      </c>
      <c r="W23" s="79" t="e">
        <f t="shared" si="10"/>
        <v>#DIV/0!</v>
      </c>
      <c r="X23" s="96">
        <f>Хор!C13</f>
        <v>10</v>
      </c>
      <c r="Y23" s="96">
        <f>Хор!D13</f>
        <v>9.17129</v>
      </c>
      <c r="Z23" s="87">
        <f t="shared" si="11"/>
        <v>91.7129</v>
      </c>
      <c r="AA23" s="96">
        <f>Хор!C15</f>
        <v>230</v>
      </c>
      <c r="AB23" s="86">
        <f>Хор!D15</f>
        <v>262.69587</v>
      </c>
      <c r="AC23" s="87">
        <f t="shared" si="12"/>
        <v>114.21559565217392</v>
      </c>
      <c r="AD23" s="96">
        <f>Хор!C16</f>
        <v>390</v>
      </c>
      <c r="AE23" s="96">
        <f>Хор!D16</f>
        <v>271.99212</v>
      </c>
      <c r="AF23" s="87">
        <f t="shared" si="13"/>
        <v>69.74156923076923</v>
      </c>
      <c r="AG23" s="87">
        <f>Хор!C18</f>
        <v>5</v>
      </c>
      <c r="AH23" s="87">
        <f>Хор!D18</f>
        <v>2.4</v>
      </c>
      <c r="AI23" s="87">
        <f t="shared" si="14"/>
        <v>48</v>
      </c>
      <c r="AJ23" s="87"/>
      <c r="AK23" s="87"/>
      <c r="AL23" s="87" t="e">
        <f t="shared" si="15"/>
        <v>#DIV/0!</v>
      </c>
      <c r="AM23" s="96">
        <v>0</v>
      </c>
      <c r="AN23" s="96">
        <v>0</v>
      </c>
      <c r="AO23" s="87" t="e">
        <f t="shared" si="16"/>
        <v>#DIV/0!</v>
      </c>
      <c r="AP23" s="96">
        <f>Хор!C27</f>
        <v>51.5</v>
      </c>
      <c r="AQ23" s="98">
        <f>Хор!D27</f>
        <v>47.1976</v>
      </c>
      <c r="AR23" s="87">
        <f t="shared" si="17"/>
        <v>91.64582524271844</v>
      </c>
      <c r="AS23" s="84">
        <f>Хор!C28</f>
        <v>0</v>
      </c>
      <c r="AT23" s="98">
        <f>Хор!D28</f>
        <v>0</v>
      </c>
      <c r="AU23" s="87" t="e">
        <f t="shared" si="18"/>
        <v>#DIV/0!</v>
      </c>
      <c r="AV23" s="96"/>
      <c r="AW23" s="96"/>
      <c r="AX23" s="87" t="e">
        <f t="shared" si="19"/>
        <v>#DIV/0!</v>
      </c>
      <c r="AY23" s="87">
        <f>Хор!C29</f>
        <v>0</v>
      </c>
      <c r="AZ23" s="79">
        <f>Хор!D29</f>
        <v>0</v>
      </c>
      <c r="BA23" s="87" t="e">
        <f t="shared" si="20"/>
        <v>#DIV/0!</v>
      </c>
      <c r="BB23" s="87"/>
      <c r="BC23" s="87"/>
      <c r="BD23" s="87"/>
      <c r="BE23" s="87">
        <f>Хор!C33</f>
        <v>0</v>
      </c>
      <c r="BF23" s="87">
        <f>Хор!D33</f>
        <v>0</v>
      </c>
      <c r="BG23" s="87" t="e">
        <f t="shared" si="55"/>
        <v>#DIV/0!</v>
      </c>
      <c r="BH23" s="87"/>
      <c r="BI23" s="87"/>
      <c r="BJ23" s="87" t="e">
        <f t="shared" si="56"/>
        <v>#DIV/0!</v>
      </c>
      <c r="BK23" s="87"/>
      <c r="BL23" s="87"/>
      <c r="BM23" s="87"/>
      <c r="BN23" s="87"/>
      <c r="BO23" s="87">
        <f>SUM(Хор!D34)</f>
        <v>7.93119</v>
      </c>
      <c r="BP23" s="89" t="e">
        <f t="shared" si="21"/>
        <v>#DIV/0!</v>
      </c>
      <c r="BQ23" s="87">
        <f>Хор!C36</f>
        <v>0</v>
      </c>
      <c r="BR23" s="87">
        <f>Хор!D36</f>
        <v>0</v>
      </c>
      <c r="BS23" s="87" t="e">
        <f t="shared" si="22"/>
        <v>#DIV/0!</v>
      </c>
      <c r="BT23" s="87"/>
      <c r="BU23" s="87"/>
      <c r="BV23" s="99" t="e">
        <f t="shared" si="23"/>
        <v>#DIV/0!</v>
      </c>
      <c r="BW23" s="99"/>
      <c r="BX23" s="99"/>
      <c r="BY23" s="99" t="e">
        <f t="shared" si="24"/>
        <v>#DIV/0!</v>
      </c>
      <c r="BZ23" s="84">
        <f t="shared" si="25"/>
        <v>7249.765579999999</v>
      </c>
      <c r="CA23" s="84">
        <f t="shared" si="26"/>
        <v>6990.03982</v>
      </c>
      <c r="CB23" s="87">
        <f t="shared" si="27"/>
        <v>96.41745988702715</v>
      </c>
      <c r="CC23" s="87">
        <f>Хор!C41</f>
        <v>2155.1</v>
      </c>
      <c r="CD23" s="87">
        <f>Хор!D41</f>
        <v>1975.523</v>
      </c>
      <c r="CE23" s="87">
        <f t="shared" si="28"/>
        <v>91.6673472228667</v>
      </c>
      <c r="CF23" s="87">
        <f>Хор!C43</f>
        <v>0</v>
      </c>
      <c r="CG23" s="100">
        <f>Хор!D43</f>
        <v>0</v>
      </c>
      <c r="CH23" s="87" t="e">
        <f t="shared" si="29"/>
        <v>#DIV/0!</v>
      </c>
      <c r="CI23" s="87">
        <f>Хор!C44</f>
        <v>3515.25758</v>
      </c>
      <c r="CJ23" s="87">
        <f>Хор!D44</f>
        <v>3864.38639</v>
      </c>
      <c r="CK23" s="87">
        <f t="shared" si="30"/>
        <v>109.93181301951707</v>
      </c>
      <c r="CL23" s="87">
        <f>Хор!C45</f>
        <v>103.383</v>
      </c>
      <c r="CM23" s="87">
        <f>Хор!D45</f>
        <v>94.3725</v>
      </c>
      <c r="CN23" s="87">
        <f t="shared" si="31"/>
        <v>91.28435042511825</v>
      </c>
      <c r="CO23" s="87">
        <f>Хор!C46</f>
        <v>976.072</v>
      </c>
      <c r="CP23" s="87">
        <f>Хор!D46</f>
        <v>548.54748</v>
      </c>
      <c r="CQ23" s="79">
        <f t="shared" si="32"/>
        <v>56.19948938193083</v>
      </c>
      <c r="CR23" s="102">
        <f>Хор!C47</f>
        <v>499.953</v>
      </c>
      <c r="CS23" s="87">
        <f>Хор!D47</f>
        <v>507.21045</v>
      </c>
      <c r="CT23" s="87">
        <f t="shared" si="33"/>
        <v>101.45162645288657</v>
      </c>
      <c r="CU23" s="87"/>
      <c r="CV23" s="87"/>
      <c r="CW23" s="87"/>
      <c r="CX23" s="96"/>
      <c r="CY23" s="96"/>
      <c r="CZ23" s="87" t="e">
        <f t="shared" si="34"/>
        <v>#DIV/0!</v>
      </c>
      <c r="DA23" s="87"/>
      <c r="DB23" s="87"/>
      <c r="DC23" s="87"/>
      <c r="DD23" s="87"/>
      <c r="DE23" s="87">
        <f>Хор!D50</f>
        <v>0</v>
      </c>
      <c r="DF23" s="87"/>
      <c r="DG23" s="84">
        <f t="shared" si="35"/>
        <v>8819.97344</v>
      </c>
      <c r="DH23" s="84">
        <f t="shared" si="36"/>
        <v>8129.754019999999</v>
      </c>
      <c r="DI23" s="87">
        <f t="shared" si="37"/>
        <v>92.17435942754946</v>
      </c>
      <c r="DJ23" s="96">
        <f t="shared" si="57"/>
        <v>1301.994</v>
      </c>
      <c r="DK23" s="96">
        <f t="shared" si="58"/>
        <v>1173.51692</v>
      </c>
      <c r="DL23" s="87">
        <f t="shared" si="39"/>
        <v>90.13228325168934</v>
      </c>
      <c r="DM23" s="87">
        <f>Хор!C58</f>
        <v>1242</v>
      </c>
      <c r="DN23" s="87">
        <f>Хор!D58</f>
        <v>1162.02292</v>
      </c>
      <c r="DO23" s="87">
        <f t="shared" si="40"/>
        <v>93.56062157809984</v>
      </c>
      <c r="DP23" s="87">
        <f>Хор!C61</f>
        <v>0</v>
      </c>
      <c r="DQ23" s="87">
        <f>Хор!D61</f>
        <v>0</v>
      </c>
      <c r="DR23" s="87" t="e">
        <f t="shared" si="41"/>
        <v>#DIV/0!</v>
      </c>
      <c r="DS23" s="87">
        <f>Хор!C62</f>
        <v>48.5</v>
      </c>
      <c r="DT23" s="87">
        <f>Хор!D62</f>
        <v>0</v>
      </c>
      <c r="DU23" s="87">
        <f t="shared" si="42"/>
        <v>0</v>
      </c>
      <c r="DV23" s="87">
        <f>Хор!C63</f>
        <v>11.494</v>
      </c>
      <c r="DW23" s="87">
        <f>Хор!D63</f>
        <v>11.494</v>
      </c>
      <c r="DX23" s="87">
        <f t="shared" si="43"/>
        <v>100</v>
      </c>
      <c r="DY23" s="87">
        <f>Хор!C65</f>
        <v>103.383</v>
      </c>
      <c r="DZ23" s="87">
        <f>Хор!D65</f>
        <v>76.99225</v>
      </c>
      <c r="EA23" s="87">
        <f t="shared" si="44"/>
        <v>74.4728340249364</v>
      </c>
      <c r="EB23" s="87">
        <f>Хор!C66</f>
        <v>15</v>
      </c>
      <c r="EC23" s="87">
        <f>Хор!D66</f>
        <v>6.3114799999999995</v>
      </c>
      <c r="ED23" s="87">
        <f t="shared" si="45"/>
        <v>42.07653333333333</v>
      </c>
      <c r="EE23" s="96">
        <f>Хор!C72</f>
        <v>2740.2709</v>
      </c>
      <c r="EF23" s="96">
        <f>Хор!D72</f>
        <v>2663.61228</v>
      </c>
      <c r="EG23" s="87">
        <f t="shared" si="46"/>
        <v>97.20251672927665</v>
      </c>
      <c r="EH23" s="96">
        <f>Хор!C77</f>
        <v>3676.5255399999996</v>
      </c>
      <c r="EI23" s="96">
        <f>Хор!D77</f>
        <v>3383.9798199999996</v>
      </c>
      <c r="EJ23" s="87">
        <f t="shared" si="47"/>
        <v>92.04287535018729</v>
      </c>
      <c r="EK23" s="96">
        <f>Хор!C81</f>
        <v>952.8</v>
      </c>
      <c r="EL23" s="103">
        <f>Хор!D81</f>
        <v>795.34127</v>
      </c>
      <c r="EM23" s="87">
        <f t="shared" si="48"/>
        <v>83.47410474391268</v>
      </c>
      <c r="EN23" s="87">
        <f>Хор!C83</f>
        <v>0</v>
      </c>
      <c r="EO23" s="87">
        <f>Хор!D83</f>
        <v>0</v>
      </c>
      <c r="EP23" s="87" t="e">
        <f t="shared" si="49"/>
        <v>#DIV/0!</v>
      </c>
      <c r="EQ23" s="104">
        <f>Хор!C88</f>
        <v>30</v>
      </c>
      <c r="ER23" s="104">
        <f>Хор!D88</f>
        <v>30</v>
      </c>
      <c r="ES23" s="87">
        <f t="shared" si="50"/>
        <v>100</v>
      </c>
      <c r="ET23" s="87">
        <f>Хор!C94</f>
        <v>0</v>
      </c>
      <c r="EU23" s="87">
        <f>Хор!D94</f>
        <v>0</v>
      </c>
      <c r="EV23" s="79" t="e">
        <f t="shared" si="51"/>
        <v>#DIV/0!</v>
      </c>
      <c r="EW23" s="88">
        <f t="shared" si="52"/>
        <v>-252.34785999999986</v>
      </c>
      <c r="EX23" s="88">
        <f t="shared" si="53"/>
        <v>-70.82161999999971</v>
      </c>
      <c r="EY23" s="79">
        <f t="shared" si="54"/>
        <v>28.06507651778769</v>
      </c>
      <c r="EZ23" s="93"/>
      <c r="FA23" s="94"/>
      <c r="FC23" s="94"/>
    </row>
    <row r="24" spans="1:159" s="113" customFormat="1" ht="25.5" customHeight="1">
      <c r="A24" s="109">
        <v>11</v>
      </c>
      <c r="B24" s="95" t="s">
        <v>133</v>
      </c>
      <c r="C24" s="106">
        <f t="shared" si="0"/>
        <v>11793.90683</v>
      </c>
      <c r="D24" s="78">
        <f t="shared" si="1"/>
        <v>7534.87722</v>
      </c>
      <c r="E24" s="87">
        <f t="shared" si="2"/>
        <v>63.88788150194332</v>
      </c>
      <c r="F24" s="80">
        <f t="shared" si="3"/>
        <v>1244.58</v>
      </c>
      <c r="G24" s="104">
        <f t="shared" si="4"/>
        <v>1130.99277</v>
      </c>
      <c r="H24" s="87">
        <f t="shared" si="5"/>
        <v>90.87344887431907</v>
      </c>
      <c r="I24" s="96">
        <f>Чум!C6</f>
        <v>102</v>
      </c>
      <c r="J24" s="97">
        <f>Чум!D6</f>
        <v>83.27657</v>
      </c>
      <c r="K24" s="87">
        <f t="shared" si="6"/>
        <v>81.64369607843139</v>
      </c>
      <c r="L24" s="87">
        <f>Чум!C8</f>
        <v>132.82</v>
      </c>
      <c r="M24" s="87">
        <f>Чум!D8</f>
        <v>167.07227</v>
      </c>
      <c r="N24" s="87">
        <f t="shared" si="7"/>
        <v>125.78848817949104</v>
      </c>
      <c r="O24" s="87">
        <f>Чум!C9</f>
        <v>1.42</v>
      </c>
      <c r="P24" s="87">
        <f>Чум!D9</f>
        <v>1.18508</v>
      </c>
      <c r="Q24" s="87">
        <f t="shared" si="8"/>
        <v>83.45633802816901</v>
      </c>
      <c r="R24" s="87">
        <f>Чум!C10</f>
        <v>221.84</v>
      </c>
      <c r="S24" s="87">
        <f>Чум!D10</f>
        <v>224.55251</v>
      </c>
      <c r="T24" s="87">
        <f t="shared" si="9"/>
        <v>101.22273260007213</v>
      </c>
      <c r="U24" s="87">
        <f>Чум!C11</f>
        <v>0</v>
      </c>
      <c r="V24" s="102">
        <f>Чум!D11</f>
        <v>-28.30785</v>
      </c>
      <c r="W24" s="87" t="e">
        <f t="shared" si="10"/>
        <v>#DIV/0!</v>
      </c>
      <c r="X24" s="96">
        <f>Чум!C13</f>
        <v>94.8</v>
      </c>
      <c r="Y24" s="96">
        <f>Чум!D13</f>
        <v>92.3601</v>
      </c>
      <c r="Z24" s="87">
        <f t="shared" si="11"/>
        <v>97.42626582278481</v>
      </c>
      <c r="AA24" s="96">
        <f>Чум!C15</f>
        <v>91</v>
      </c>
      <c r="AB24" s="86">
        <f>Чум!D15</f>
        <v>73.65554</v>
      </c>
      <c r="AC24" s="87">
        <f t="shared" si="12"/>
        <v>80.94015384615385</v>
      </c>
      <c r="AD24" s="96">
        <f>Чум!C16</f>
        <v>460</v>
      </c>
      <c r="AE24" s="96">
        <f>Чум!D16</f>
        <v>308.1555</v>
      </c>
      <c r="AF24" s="87">
        <f t="shared" si="13"/>
        <v>66.99032608695653</v>
      </c>
      <c r="AG24" s="87">
        <f>Чум!C18</f>
        <v>5</v>
      </c>
      <c r="AH24" s="87">
        <f>Чум!D18</f>
        <v>4.8</v>
      </c>
      <c r="AI24" s="87">
        <f t="shared" si="14"/>
        <v>96</v>
      </c>
      <c r="AJ24" s="87">
        <f>Чум!C22</f>
        <v>0</v>
      </c>
      <c r="AK24" s="87">
        <f>Чум!D20</f>
        <v>0</v>
      </c>
      <c r="AL24" s="87" t="e">
        <f t="shared" si="15"/>
        <v>#DIV/0!</v>
      </c>
      <c r="AM24" s="96">
        <v>0</v>
      </c>
      <c r="AN24" s="96"/>
      <c r="AO24" s="87" t="e">
        <f t="shared" si="16"/>
        <v>#DIV/0!</v>
      </c>
      <c r="AP24" s="96">
        <f>Чум!C27</f>
        <v>85.7</v>
      </c>
      <c r="AQ24" s="98">
        <f>Чум!D27</f>
        <v>86.4716</v>
      </c>
      <c r="AR24" s="87">
        <f t="shared" si="17"/>
        <v>100.90035005834307</v>
      </c>
      <c r="AS24" s="96">
        <f>Чум!C28</f>
        <v>0</v>
      </c>
      <c r="AT24" s="98">
        <f>Чум!D28</f>
        <v>0</v>
      </c>
      <c r="AU24" s="87" t="e">
        <f t="shared" si="18"/>
        <v>#DIV/0!</v>
      </c>
      <c r="AV24" s="96"/>
      <c r="AW24" s="96"/>
      <c r="AX24" s="87" t="e">
        <f t="shared" si="19"/>
        <v>#DIV/0!</v>
      </c>
      <c r="AY24" s="87">
        <f>Чум!C30</f>
        <v>50</v>
      </c>
      <c r="AZ24" s="79">
        <f>Чум!D30</f>
        <v>44.97962</v>
      </c>
      <c r="BA24" s="87">
        <f t="shared" si="20"/>
        <v>89.95924</v>
      </c>
      <c r="BB24" s="87"/>
      <c r="BC24" s="87"/>
      <c r="BD24" s="87"/>
      <c r="BE24" s="87">
        <f>Чум!C33</f>
        <v>0</v>
      </c>
      <c r="BF24" s="87">
        <f>Чум!D31</f>
        <v>56.06</v>
      </c>
      <c r="BG24" s="87" t="e">
        <f t="shared" si="55"/>
        <v>#DIV/0!</v>
      </c>
      <c r="BH24" s="87"/>
      <c r="BI24" s="87"/>
      <c r="BJ24" s="87" t="e">
        <f t="shared" si="56"/>
        <v>#DIV/0!</v>
      </c>
      <c r="BK24" s="87"/>
      <c r="BL24" s="87"/>
      <c r="BM24" s="87"/>
      <c r="BN24" s="87"/>
      <c r="BO24" s="87">
        <f>Чум!D34</f>
        <v>16.73183</v>
      </c>
      <c r="BP24" s="89" t="e">
        <f t="shared" si="21"/>
        <v>#DIV/0!</v>
      </c>
      <c r="BQ24" s="87">
        <f>Чум!C37</f>
        <v>0</v>
      </c>
      <c r="BR24" s="87">
        <f>Чум!D37</f>
        <v>0</v>
      </c>
      <c r="BS24" s="87" t="e">
        <f t="shared" si="22"/>
        <v>#DIV/0!</v>
      </c>
      <c r="BT24" s="87"/>
      <c r="BU24" s="87"/>
      <c r="BV24" s="99" t="e">
        <f t="shared" si="23"/>
        <v>#DIV/0!</v>
      </c>
      <c r="BW24" s="99"/>
      <c r="BX24" s="99"/>
      <c r="BY24" s="99" t="e">
        <f t="shared" si="24"/>
        <v>#DIV/0!</v>
      </c>
      <c r="BZ24" s="96">
        <f t="shared" si="25"/>
        <v>10549.32683</v>
      </c>
      <c r="CA24" s="96">
        <f t="shared" si="26"/>
        <v>6403.8844500000005</v>
      </c>
      <c r="CB24" s="87">
        <f t="shared" si="27"/>
        <v>60.704199928556015</v>
      </c>
      <c r="CC24" s="87">
        <f>Чум!C42</f>
        <v>3247.3</v>
      </c>
      <c r="CD24" s="87">
        <f>Чум!D42</f>
        <v>2976.721</v>
      </c>
      <c r="CE24" s="87">
        <f t="shared" si="28"/>
        <v>91.66756998121515</v>
      </c>
      <c r="CF24" s="87">
        <f>Чум!C43</f>
        <v>0</v>
      </c>
      <c r="CG24" s="100">
        <f>Чум!D43</f>
        <v>0</v>
      </c>
      <c r="CH24" s="87" t="e">
        <f t="shared" si="29"/>
        <v>#DIV/0!</v>
      </c>
      <c r="CI24" s="87">
        <f>Чум!C44</f>
        <v>2509.64888</v>
      </c>
      <c r="CJ24" s="87">
        <f>Чум!D44</f>
        <v>266.976</v>
      </c>
      <c r="CK24" s="87">
        <f t="shared" si="30"/>
        <v>10.637982154698866</v>
      </c>
      <c r="CL24" s="87">
        <f>Чум!C45</f>
        <v>103.383</v>
      </c>
      <c r="CM24" s="87">
        <f>Чум!D45</f>
        <v>94.3725</v>
      </c>
      <c r="CN24" s="87">
        <f t="shared" si="31"/>
        <v>91.28435042511825</v>
      </c>
      <c r="CO24" s="87">
        <f>Чум!C46</f>
        <v>4670.69495</v>
      </c>
      <c r="CP24" s="87">
        <f>Чум!D46</f>
        <v>3047.51495</v>
      </c>
      <c r="CQ24" s="79">
        <f t="shared" si="32"/>
        <v>65.2475698503924</v>
      </c>
      <c r="CR24" s="102">
        <f>Чум!C50</f>
        <v>18.3</v>
      </c>
      <c r="CS24" s="87">
        <f>Чум!D50</f>
        <v>18.3</v>
      </c>
      <c r="CT24" s="87">
        <f t="shared" si="33"/>
        <v>100</v>
      </c>
      <c r="CU24" s="87"/>
      <c r="CV24" s="87"/>
      <c r="CW24" s="87"/>
      <c r="CX24" s="96"/>
      <c r="CY24" s="96"/>
      <c r="CZ24" s="87" t="e">
        <f t="shared" si="34"/>
        <v>#DIV/0!</v>
      </c>
      <c r="DA24" s="87"/>
      <c r="DB24" s="87"/>
      <c r="DC24" s="87"/>
      <c r="DD24" s="87"/>
      <c r="DE24" s="87"/>
      <c r="DF24" s="87"/>
      <c r="DG24" s="84">
        <f t="shared" si="35"/>
        <v>11823.81738</v>
      </c>
      <c r="DH24" s="84">
        <f t="shared" si="36"/>
        <v>6960.30686</v>
      </c>
      <c r="DI24" s="87">
        <f t="shared" si="37"/>
        <v>58.86683324264942</v>
      </c>
      <c r="DJ24" s="96">
        <f t="shared" si="57"/>
        <v>1717.994</v>
      </c>
      <c r="DK24" s="96">
        <f t="shared" si="58"/>
        <v>1565.17482</v>
      </c>
      <c r="DL24" s="87">
        <f t="shared" si="39"/>
        <v>91.1047896558428</v>
      </c>
      <c r="DM24" s="87">
        <f>Чум!C58</f>
        <v>1585.5</v>
      </c>
      <c r="DN24" s="87">
        <f>Чум!D58</f>
        <v>1536.68082</v>
      </c>
      <c r="DO24" s="87">
        <f t="shared" si="40"/>
        <v>96.92089687795648</v>
      </c>
      <c r="DP24" s="87">
        <f>Чум!C61</f>
        <v>10.26</v>
      </c>
      <c r="DQ24" s="87">
        <f>Чум!D61</f>
        <v>10.26</v>
      </c>
      <c r="DR24" s="87">
        <f t="shared" si="41"/>
        <v>100</v>
      </c>
      <c r="DS24" s="87">
        <f>Чум!C62</f>
        <v>100</v>
      </c>
      <c r="DT24" s="87">
        <f>Чум!D62</f>
        <v>0</v>
      </c>
      <c r="DU24" s="87">
        <f t="shared" si="42"/>
        <v>0</v>
      </c>
      <c r="DV24" s="87">
        <f>Чум!C63</f>
        <v>22.234</v>
      </c>
      <c r="DW24" s="87">
        <f>Чум!D63</f>
        <v>18.234</v>
      </c>
      <c r="DX24" s="87">
        <f t="shared" si="43"/>
        <v>82.00953494647837</v>
      </c>
      <c r="DY24" s="87">
        <f>Чум!C65</f>
        <v>103.383</v>
      </c>
      <c r="DZ24" s="87">
        <f>Чум!D65</f>
        <v>85.14947</v>
      </c>
      <c r="EA24" s="87">
        <f t="shared" si="44"/>
        <v>82.36312546550207</v>
      </c>
      <c r="EB24" s="87">
        <f>Чум!C66</f>
        <v>18.5</v>
      </c>
      <c r="EC24" s="87">
        <f>Чум!D66</f>
        <v>8.11148</v>
      </c>
      <c r="ED24" s="87">
        <f t="shared" si="45"/>
        <v>43.845837837837834</v>
      </c>
      <c r="EE24" s="96">
        <f>Чум!C72</f>
        <v>1213.47855</v>
      </c>
      <c r="EF24" s="96">
        <f>Чум!D72</f>
        <v>724.55262</v>
      </c>
      <c r="EG24" s="87">
        <f t="shared" si="46"/>
        <v>59.708729091255876</v>
      </c>
      <c r="EH24" s="96">
        <f>Чум!C77</f>
        <v>7234.196830000001</v>
      </c>
      <c r="EI24" s="96">
        <f>Чум!D77</f>
        <v>3712.20347</v>
      </c>
      <c r="EJ24" s="87">
        <f t="shared" si="47"/>
        <v>51.314659487914426</v>
      </c>
      <c r="EK24" s="96">
        <f>Чум!C81</f>
        <v>1526.9</v>
      </c>
      <c r="EL24" s="103">
        <f>Чум!D81</f>
        <v>855.75</v>
      </c>
      <c r="EM24" s="87">
        <f t="shared" si="48"/>
        <v>56.04492763114808</v>
      </c>
      <c r="EN24" s="87">
        <f>Чум!C83</f>
        <v>0</v>
      </c>
      <c r="EO24" s="87">
        <f>Чум!D83</f>
        <v>0</v>
      </c>
      <c r="EP24" s="87" t="e">
        <f t="shared" si="49"/>
        <v>#DIV/0!</v>
      </c>
      <c r="EQ24" s="104">
        <f>Чум!C88</f>
        <v>9.365</v>
      </c>
      <c r="ER24" s="104">
        <f>Чум!D88</f>
        <v>9.365</v>
      </c>
      <c r="ES24" s="87">
        <f t="shared" si="50"/>
        <v>100</v>
      </c>
      <c r="ET24" s="87">
        <f>Чум!C94</f>
        <v>0</v>
      </c>
      <c r="EU24" s="87">
        <f>Чум!D94</f>
        <v>0</v>
      </c>
      <c r="EV24" s="87" t="e">
        <f t="shared" si="51"/>
        <v>#DIV/0!</v>
      </c>
      <c r="EW24" s="110">
        <f t="shared" si="52"/>
        <v>-29.910550000000512</v>
      </c>
      <c r="EX24" s="110">
        <f t="shared" si="53"/>
        <v>574.5703600000006</v>
      </c>
      <c r="EY24" s="87">
        <f t="shared" si="54"/>
        <v>-1920.9622022998265</v>
      </c>
      <c r="EZ24" s="111"/>
      <c r="FA24" s="112"/>
      <c r="FC24" s="112"/>
    </row>
    <row r="25" spans="1:159" s="59" customFormat="1" ht="22.5" customHeight="1">
      <c r="A25" s="75">
        <v>12</v>
      </c>
      <c r="B25" s="76" t="s">
        <v>134</v>
      </c>
      <c r="C25" s="77">
        <f t="shared" si="0"/>
        <v>8159.838349999999</v>
      </c>
      <c r="D25" s="108">
        <f t="shared" si="1"/>
        <v>5833.94471</v>
      </c>
      <c r="E25" s="79">
        <f t="shared" si="2"/>
        <v>71.49583680171801</v>
      </c>
      <c r="F25" s="80">
        <f t="shared" si="3"/>
        <v>1308.0040000000001</v>
      </c>
      <c r="G25" s="80">
        <f t="shared" si="4"/>
        <v>1114.1205599999998</v>
      </c>
      <c r="H25" s="79">
        <f t="shared" si="5"/>
        <v>85.1771523634484</v>
      </c>
      <c r="I25" s="84">
        <f>Шать!C6</f>
        <v>59.1</v>
      </c>
      <c r="J25" s="97">
        <f>Шать!D6</f>
        <v>40.18429</v>
      </c>
      <c r="K25" s="79">
        <f t="shared" si="6"/>
        <v>67.99372250423012</v>
      </c>
      <c r="L25" s="79">
        <f>Шать!C8</f>
        <v>136.51</v>
      </c>
      <c r="M25" s="79">
        <f>Шать!D8</f>
        <v>171.71316</v>
      </c>
      <c r="N25" s="79">
        <f t="shared" si="7"/>
        <v>125.78797157717383</v>
      </c>
      <c r="O25" s="79">
        <f>Шать!C9</f>
        <v>1.46</v>
      </c>
      <c r="P25" s="79">
        <f>Шать!D9</f>
        <v>1.218</v>
      </c>
      <c r="Q25" s="79">
        <f t="shared" si="8"/>
        <v>83.42465753424658</v>
      </c>
      <c r="R25" s="79">
        <f>Шать!C10</f>
        <v>228</v>
      </c>
      <c r="S25" s="79">
        <f>Шать!D10</f>
        <v>230.79006</v>
      </c>
      <c r="T25" s="79">
        <f t="shared" si="9"/>
        <v>101.2237105263158</v>
      </c>
      <c r="U25" s="79">
        <f>Шать!C11</f>
        <v>0</v>
      </c>
      <c r="V25" s="83">
        <f>Шать!D11</f>
        <v>-29.09419</v>
      </c>
      <c r="W25" s="79" t="e">
        <f t="shared" si="10"/>
        <v>#DIV/0!</v>
      </c>
      <c r="X25" s="84">
        <f>Шать!C13</f>
        <v>10</v>
      </c>
      <c r="Y25" s="84">
        <f>Шать!D13</f>
        <v>15.50624</v>
      </c>
      <c r="Z25" s="79">
        <f t="shared" si="11"/>
        <v>155.0624</v>
      </c>
      <c r="AA25" s="84">
        <f>Шать!C15</f>
        <v>75</v>
      </c>
      <c r="AB25" s="86">
        <f>Шать!D15</f>
        <v>65.00593</v>
      </c>
      <c r="AC25" s="79">
        <f t="shared" si="12"/>
        <v>86.67457333333334</v>
      </c>
      <c r="AD25" s="84">
        <f>Шать!C16</f>
        <v>273</v>
      </c>
      <c r="AE25" s="84">
        <f>Шать!D16</f>
        <v>288.69149</v>
      </c>
      <c r="AF25" s="79">
        <f t="shared" si="13"/>
        <v>105.74779853479852</v>
      </c>
      <c r="AG25" s="79">
        <f>Шать!C18</f>
        <v>3</v>
      </c>
      <c r="AH25" s="79">
        <f>Шать!D18</f>
        <v>1.4</v>
      </c>
      <c r="AI25" s="79">
        <f t="shared" si="14"/>
        <v>46.666666666666664</v>
      </c>
      <c r="AJ25" s="79"/>
      <c r="AK25" s="79"/>
      <c r="AL25" s="79" t="e">
        <f>AJ25/AK25*100</f>
        <v>#DIV/0!</v>
      </c>
      <c r="AM25" s="84">
        <v>0</v>
      </c>
      <c r="AN25" s="84">
        <f>0</f>
        <v>0</v>
      </c>
      <c r="AO25" s="79" t="e">
        <f t="shared" si="16"/>
        <v>#DIV/0!</v>
      </c>
      <c r="AP25" s="84">
        <f>Шать!C27</f>
        <v>140</v>
      </c>
      <c r="AQ25" s="98">
        <f>Шать!D27</f>
        <v>268.50735</v>
      </c>
      <c r="AR25" s="79">
        <f t="shared" si="17"/>
        <v>191.79096428571427</v>
      </c>
      <c r="AS25" s="84">
        <f>Шать!C28</f>
        <v>26</v>
      </c>
      <c r="AT25" s="86">
        <f>Шать!D28</f>
        <v>23.8436</v>
      </c>
      <c r="AU25" s="79">
        <f t="shared" si="18"/>
        <v>91.70615384615384</v>
      </c>
      <c r="AV25" s="84"/>
      <c r="AW25" s="84"/>
      <c r="AX25" s="79" t="e">
        <f t="shared" si="19"/>
        <v>#DIV/0!</v>
      </c>
      <c r="AY25" s="79">
        <f>Шать!C29</f>
        <v>20</v>
      </c>
      <c r="AZ25" s="79">
        <f>Шать!D29</f>
        <v>34.1746</v>
      </c>
      <c r="BA25" s="79">
        <f t="shared" si="20"/>
        <v>170.873</v>
      </c>
      <c r="BB25" s="79"/>
      <c r="BC25" s="79"/>
      <c r="BD25" s="79"/>
      <c r="BE25" s="79">
        <f>Шать!C33</f>
        <v>335.934</v>
      </c>
      <c r="BF25" s="79">
        <f>Шать!D33</f>
        <v>0</v>
      </c>
      <c r="BG25" s="79">
        <f t="shared" si="55"/>
        <v>0</v>
      </c>
      <c r="BH25" s="79"/>
      <c r="BI25" s="79"/>
      <c r="BJ25" s="79" t="e">
        <f t="shared" si="56"/>
        <v>#DIV/0!</v>
      </c>
      <c r="BK25" s="79"/>
      <c r="BL25" s="79"/>
      <c r="BM25" s="79"/>
      <c r="BN25" s="79">
        <f>Шать!C34</f>
        <v>0</v>
      </c>
      <c r="BO25" s="79">
        <f>Шать!D34</f>
        <v>0</v>
      </c>
      <c r="BP25" s="89" t="e">
        <f t="shared" si="21"/>
        <v>#DIV/0!</v>
      </c>
      <c r="BQ25" s="79">
        <f>Шать!C37</f>
        <v>0</v>
      </c>
      <c r="BR25" s="79">
        <f>SUM(Шать!D37)</f>
        <v>2.18003</v>
      </c>
      <c r="BS25" s="79" t="e">
        <f t="shared" si="22"/>
        <v>#DIV/0!</v>
      </c>
      <c r="BT25" s="79"/>
      <c r="BU25" s="79"/>
      <c r="BV25" s="90" t="e">
        <f t="shared" si="23"/>
        <v>#DIV/0!</v>
      </c>
      <c r="BW25" s="90"/>
      <c r="BX25" s="90"/>
      <c r="BY25" s="90" t="e">
        <f t="shared" si="24"/>
        <v>#DIV/0!</v>
      </c>
      <c r="BZ25" s="84">
        <f t="shared" si="25"/>
        <v>6851.834349999999</v>
      </c>
      <c r="CA25" s="84">
        <f t="shared" si="26"/>
        <v>4719.82415</v>
      </c>
      <c r="CB25" s="79">
        <f t="shared" si="27"/>
        <v>68.88409597934896</v>
      </c>
      <c r="CC25" s="79">
        <f>Шать!C42</f>
        <v>2122.2</v>
      </c>
      <c r="CD25" s="79">
        <f>Шать!D42</f>
        <v>1945.361</v>
      </c>
      <c r="CE25" s="79">
        <f t="shared" si="28"/>
        <v>91.66718499670155</v>
      </c>
      <c r="CF25" s="79">
        <f>Шать!C43</f>
        <v>0</v>
      </c>
      <c r="CG25" s="91">
        <f>Шать!D43</f>
        <v>0</v>
      </c>
      <c r="CH25" s="79" t="e">
        <f t="shared" si="29"/>
        <v>#DIV/0!</v>
      </c>
      <c r="CI25" s="79">
        <f>Шать!C44</f>
        <v>3233.5907</v>
      </c>
      <c r="CJ25" s="79">
        <f>Шать!D44</f>
        <v>1451.465</v>
      </c>
      <c r="CK25" s="79">
        <f t="shared" si="30"/>
        <v>44.887097182707755</v>
      </c>
      <c r="CL25" s="79">
        <f>Шать!C45</f>
        <v>103.383</v>
      </c>
      <c r="CM25" s="79">
        <f>Шать!D45</f>
        <v>94.3725</v>
      </c>
      <c r="CN25" s="79">
        <f t="shared" si="31"/>
        <v>91.28435042511825</v>
      </c>
      <c r="CO25" s="79">
        <f>Шать!C46</f>
        <v>1092.184</v>
      </c>
      <c r="CP25" s="79">
        <f>Шать!D46</f>
        <v>978.149</v>
      </c>
      <c r="CQ25" s="79">
        <f t="shared" si="32"/>
        <v>89.55899372266944</v>
      </c>
      <c r="CR25" s="83">
        <f>Шать!C50</f>
        <v>300.47665</v>
      </c>
      <c r="CS25" s="79">
        <f>Шать!D50</f>
        <v>250.47665</v>
      </c>
      <c r="CT25" s="79">
        <f t="shared" si="33"/>
        <v>83.35977188244078</v>
      </c>
      <c r="CU25" s="79"/>
      <c r="CV25" s="79"/>
      <c r="CW25" s="79"/>
      <c r="CX25" s="84"/>
      <c r="CY25" s="84"/>
      <c r="CZ25" s="79" t="e">
        <f t="shared" si="34"/>
        <v>#DIV/0!</v>
      </c>
      <c r="DA25" s="79"/>
      <c r="DB25" s="79"/>
      <c r="DC25" s="79"/>
      <c r="DD25" s="79"/>
      <c r="DE25" s="79"/>
      <c r="DF25" s="79"/>
      <c r="DG25" s="84">
        <f t="shared" si="35"/>
        <v>8354.681100000002</v>
      </c>
      <c r="DH25" s="84">
        <f t="shared" si="36"/>
        <v>5885.351049999999</v>
      </c>
      <c r="DI25" s="79">
        <f t="shared" si="37"/>
        <v>70.44375457969304</v>
      </c>
      <c r="DJ25" s="84">
        <f t="shared" si="57"/>
        <v>1386.5520000000001</v>
      </c>
      <c r="DK25" s="84">
        <f t="shared" si="58"/>
        <v>1178.29384</v>
      </c>
      <c r="DL25" s="79">
        <f t="shared" si="39"/>
        <v>84.9801406654781</v>
      </c>
      <c r="DM25" s="79">
        <f>Шать!C58</f>
        <v>1343.19</v>
      </c>
      <c r="DN25" s="79">
        <f>Шать!D58</f>
        <v>1159.93184</v>
      </c>
      <c r="DO25" s="79">
        <f t="shared" si="40"/>
        <v>86.35649759155443</v>
      </c>
      <c r="DP25" s="79">
        <f>Шать!C61</f>
        <v>0</v>
      </c>
      <c r="DQ25" s="79">
        <f>Шать!D61</f>
        <v>0</v>
      </c>
      <c r="DR25" s="79" t="e">
        <f t="shared" si="41"/>
        <v>#DIV/0!</v>
      </c>
      <c r="DS25" s="79">
        <f>Шать!C62</f>
        <v>5</v>
      </c>
      <c r="DT25" s="79">
        <f>Шать!D62</f>
        <v>0</v>
      </c>
      <c r="DU25" s="79">
        <f t="shared" si="42"/>
        <v>0</v>
      </c>
      <c r="DV25" s="79">
        <f>Шать!C63</f>
        <v>38.362</v>
      </c>
      <c r="DW25" s="79">
        <f>Шать!D63</f>
        <v>18.362</v>
      </c>
      <c r="DX25" s="79">
        <f t="shared" si="43"/>
        <v>47.86507481361764</v>
      </c>
      <c r="DY25" s="79">
        <f>Шать!C65</f>
        <v>103.383</v>
      </c>
      <c r="DZ25" s="79">
        <f>Шать!D65</f>
        <v>85.59299</v>
      </c>
      <c r="EA25" s="79">
        <f t="shared" si="44"/>
        <v>82.7921321687318</v>
      </c>
      <c r="EB25" s="79">
        <f>Шать!C66</f>
        <v>18.5</v>
      </c>
      <c r="EC25" s="79">
        <f>Шать!D66</f>
        <v>18.31148</v>
      </c>
      <c r="ED25" s="79">
        <f t="shared" si="45"/>
        <v>98.98097297297296</v>
      </c>
      <c r="EE25" s="84">
        <f>Шать!C72</f>
        <v>3273.18055</v>
      </c>
      <c r="EF25" s="84">
        <f>Шать!D72</f>
        <v>3189.36937</v>
      </c>
      <c r="EG25" s="79">
        <f t="shared" si="46"/>
        <v>97.43945747202977</v>
      </c>
      <c r="EH25" s="84">
        <f>Шать!C77</f>
        <v>2726.0655500000003</v>
      </c>
      <c r="EI25" s="84">
        <f>Шать!D77</f>
        <v>709.27637</v>
      </c>
      <c r="EJ25" s="79">
        <f t="shared" si="47"/>
        <v>26.018316764246553</v>
      </c>
      <c r="EK25" s="84">
        <f>Шать!C81</f>
        <v>837</v>
      </c>
      <c r="EL25" s="92">
        <f>Шать!D81</f>
        <v>697.5</v>
      </c>
      <c r="EM25" s="79">
        <f t="shared" si="48"/>
        <v>83.33333333333334</v>
      </c>
      <c r="EN25" s="79">
        <f>Шать!C83</f>
        <v>0</v>
      </c>
      <c r="EO25" s="79">
        <f>Шать!D83</f>
        <v>0</v>
      </c>
      <c r="EP25" s="79" t="e">
        <f t="shared" si="49"/>
        <v>#DIV/0!</v>
      </c>
      <c r="EQ25" s="80">
        <f>Шать!C88</f>
        <v>10</v>
      </c>
      <c r="ER25" s="80">
        <f>Шать!D88</f>
        <v>7.007</v>
      </c>
      <c r="ES25" s="79">
        <f t="shared" si="50"/>
        <v>70.07</v>
      </c>
      <c r="ET25" s="79">
        <f>Шать!C94</f>
        <v>0</v>
      </c>
      <c r="EU25" s="79">
        <f>Шать!D94</f>
        <v>0</v>
      </c>
      <c r="EV25" s="79" t="e">
        <f t="shared" si="51"/>
        <v>#DIV/0!</v>
      </c>
      <c r="EW25" s="88">
        <f t="shared" si="52"/>
        <v>-194.84275000000252</v>
      </c>
      <c r="EX25" s="88">
        <f t="shared" si="53"/>
        <v>-51.406339999999545</v>
      </c>
      <c r="EY25" s="79">
        <f t="shared" si="54"/>
        <v>26.383501567288942</v>
      </c>
      <c r="EZ25" s="93"/>
      <c r="FA25" s="94"/>
      <c r="FC25" s="94"/>
    </row>
    <row r="26" spans="1:159" s="113" customFormat="1" ht="24.75" customHeight="1">
      <c r="A26" s="115">
        <v>13</v>
      </c>
      <c r="B26" s="95" t="s">
        <v>135</v>
      </c>
      <c r="C26" s="106">
        <f t="shared" si="0"/>
        <v>8832.3336</v>
      </c>
      <c r="D26" s="78">
        <f t="shared" si="1"/>
        <v>5590.97236</v>
      </c>
      <c r="E26" s="87">
        <f t="shared" si="2"/>
        <v>63.301190978565394</v>
      </c>
      <c r="F26" s="80">
        <f t="shared" si="3"/>
        <v>3522.4</v>
      </c>
      <c r="G26" s="104">
        <f t="shared" si="4"/>
        <v>2451.96863</v>
      </c>
      <c r="H26" s="87">
        <f t="shared" si="5"/>
        <v>69.61073784919373</v>
      </c>
      <c r="I26" s="96">
        <f>Юнг!C6</f>
        <v>126.9</v>
      </c>
      <c r="J26" s="97">
        <f>Юнг!D6</f>
        <v>108.98616</v>
      </c>
      <c r="K26" s="87">
        <f t="shared" si="6"/>
        <v>85.8834988179669</v>
      </c>
      <c r="L26" s="87">
        <f>Юнг!C8</f>
        <v>220.44</v>
      </c>
      <c r="M26" s="87">
        <f>Юнг!D8</f>
        <v>277.29351</v>
      </c>
      <c r="N26" s="87">
        <f t="shared" si="7"/>
        <v>125.79092270005445</v>
      </c>
      <c r="O26" s="87">
        <f>Юнг!C9</f>
        <v>2.36</v>
      </c>
      <c r="P26" s="87">
        <f>Юнг!D9</f>
        <v>1.96692</v>
      </c>
      <c r="Q26" s="87">
        <f t="shared" si="8"/>
        <v>83.34406779661018</v>
      </c>
      <c r="R26" s="87">
        <f>Юнг!C10</f>
        <v>368.2</v>
      </c>
      <c r="S26" s="87">
        <f>Юнг!D10</f>
        <v>372.69477</v>
      </c>
      <c r="T26" s="87">
        <f t="shared" si="9"/>
        <v>101.22074144486692</v>
      </c>
      <c r="U26" s="87">
        <f>Юнг!C11</f>
        <v>0</v>
      </c>
      <c r="V26" s="102">
        <f>Юнг!D11</f>
        <v>-46.98316</v>
      </c>
      <c r="W26" s="87" t="e">
        <f t="shared" si="10"/>
        <v>#DIV/0!</v>
      </c>
      <c r="X26" s="96">
        <f>Юнг!C13</f>
        <v>140</v>
      </c>
      <c r="Y26" s="96">
        <f>Юнг!D13</f>
        <v>129.3675</v>
      </c>
      <c r="Z26" s="87">
        <f t="shared" si="11"/>
        <v>92.40535714285714</v>
      </c>
      <c r="AA26" s="96">
        <f>Юнг!C15</f>
        <v>240</v>
      </c>
      <c r="AB26" s="86">
        <f>Юнг!D15</f>
        <v>305.21077</v>
      </c>
      <c r="AC26" s="87">
        <f t="shared" si="12"/>
        <v>127.17115416666667</v>
      </c>
      <c r="AD26" s="96">
        <f>Юнг!C16</f>
        <v>1850</v>
      </c>
      <c r="AE26" s="96">
        <f>Юнг!D16</f>
        <v>994.00741</v>
      </c>
      <c r="AF26" s="87">
        <f t="shared" si="13"/>
        <v>53.73013027027027</v>
      </c>
      <c r="AG26" s="87">
        <f>Юнг!C18</f>
        <v>10</v>
      </c>
      <c r="AH26" s="87">
        <f>Юнг!D18</f>
        <v>3.65</v>
      </c>
      <c r="AI26" s="87">
        <f t="shared" si="14"/>
        <v>36.5</v>
      </c>
      <c r="AJ26" s="87"/>
      <c r="AK26" s="87"/>
      <c r="AL26" s="87" t="e">
        <f>AJ26/AK26*100</f>
        <v>#DIV/0!</v>
      </c>
      <c r="AM26" s="96">
        <v>0</v>
      </c>
      <c r="AN26" s="96"/>
      <c r="AO26" s="87" t="e">
        <f t="shared" si="16"/>
        <v>#DIV/0!</v>
      </c>
      <c r="AP26" s="96">
        <f>Юнг!C27</f>
        <v>420</v>
      </c>
      <c r="AQ26" s="98">
        <f>Юнг!D27</f>
        <v>203.64252</v>
      </c>
      <c r="AR26" s="87">
        <f t="shared" si="17"/>
        <v>48.486314285714286</v>
      </c>
      <c r="AS26" s="96">
        <f>Юнг!C28</f>
        <v>79.5</v>
      </c>
      <c r="AT26" s="98">
        <f>Юнг!D28</f>
        <v>33.47723</v>
      </c>
      <c r="AU26" s="87">
        <f t="shared" si="18"/>
        <v>42.109723270440256</v>
      </c>
      <c r="AV26" s="96"/>
      <c r="AW26" s="96"/>
      <c r="AX26" s="87" t="e">
        <f t="shared" si="19"/>
        <v>#DIV/0!</v>
      </c>
      <c r="AY26" s="87">
        <f>Юнг!C30</f>
        <v>55</v>
      </c>
      <c r="AZ26" s="79">
        <f>Юнг!D30</f>
        <v>38.72747</v>
      </c>
      <c r="BA26" s="87">
        <f t="shared" si="20"/>
        <v>70.41358181818181</v>
      </c>
      <c r="BB26" s="87"/>
      <c r="BC26" s="87"/>
      <c r="BD26" s="87"/>
      <c r="BE26" s="87">
        <f>Юнг!C31</f>
        <v>10</v>
      </c>
      <c r="BF26" s="87">
        <f>Юнг!D31</f>
        <v>10.23</v>
      </c>
      <c r="BG26" s="87">
        <f t="shared" si="55"/>
        <v>102.30000000000001</v>
      </c>
      <c r="BH26" s="87"/>
      <c r="BI26" s="87"/>
      <c r="BJ26" s="87" t="e">
        <f t="shared" si="56"/>
        <v>#DIV/0!</v>
      </c>
      <c r="BK26" s="87"/>
      <c r="BL26" s="87"/>
      <c r="BM26" s="87"/>
      <c r="BN26" s="87">
        <f>Юнг!C34</f>
        <v>0</v>
      </c>
      <c r="BO26" s="87">
        <f>Юнг!D34</f>
        <v>19.69753</v>
      </c>
      <c r="BP26" s="89" t="e">
        <f t="shared" si="21"/>
        <v>#DIV/0!</v>
      </c>
      <c r="BQ26" s="87">
        <f>Юнг!C36</f>
        <v>0</v>
      </c>
      <c r="BR26" s="87">
        <f>Юнг!D36</f>
        <v>0</v>
      </c>
      <c r="BS26" s="87" t="e">
        <f t="shared" si="22"/>
        <v>#DIV/0!</v>
      </c>
      <c r="BT26" s="87"/>
      <c r="BU26" s="87"/>
      <c r="BV26" s="99" t="e">
        <f t="shared" si="23"/>
        <v>#DIV/0!</v>
      </c>
      <c r="BW26" s="99"/>
      <c r="BX26" s="99"/>
      <c r="BY26" s="99" t="e">
        <f t="shared" si="24"/>
        <v>#DIV/0!</v>
      </c>
      <c r="BZ26" s="96">
        <f t="shared" si="25"/>
        <v>5309.933599999999</v>
      </c>
      <c r="CA26" s="96">
        <f t="shared" si="26"/>
        <v>3139.00373</v>
      </c>
      <c r="CB26" s="87">
        <f t="shared" si="27"/>
        <v>59.11568705868564</v>
      </c>
      <c r="CC26" s="87">
        <f>Юнг!C41</f>
        <v>1697.1</v>
      </c>
      <c r="CD26" s="87">
        <f>Юнг!D41</f>
        <v>1555.686</v>
      </c>
      <c r="CE26" s="87">
        <f t="shared" si="28"/>
        <v>91.66731483118261</v>
      </c>
      <c r="CF26" s="87">
        <f>Юнг!C42</f>
        <v>0</v>
      </c>
      <c r="CG26" s="100">
        <f>Юнг!D42</f>
        <v>0</v>
      </c>
      <c r="CH26" s="87" t="e">
        <f t="shared" si="29"/>
        <v>#DIV/0!</v>
      </c>
      <c r="CI26" s="87">
        <f>Юнг!C43</f>
        <v>1951.9506</v>
      </c>
      <c r="CJ26" s="87">
        <f>Юнг!D43</f>
        <v>1395.9446</v>
      </c>
      <c r="CK26" s="87">
        <f t="shared" si="30"/>
        <v>71.51536519418063</v>
      </c>
      <c r="CL26" s="87">
        <f>Юнг!C44</f>
        <v>103.383</v>
      </c>
      <c r="CM26" s="87">
        <f>Юнг!D44</f>
        <v>94.3725</v>
      </c>
      <c r="CN26" s="87">
        <f t="shared" si="31"/>
        <v>91.28435042511825</v>
      </c>
      <c r="CO26" s="87">
        <f>Юнг!C45</f>
        <v>1364.9</v>
      </c>
      <c r="CP26" s="87">
        <f>Юнг!D45</f>
        <v>93.02</v>
      </c>
      <c r="CQ26" s="79">
        <f t="shared" si="32"/>
        <v>6.8151512931350275</v>
      </c>
      <c r="CR26" s="102">
        <f>Юнг!C48</f>
        <v>192.6</v>
      </c>
      <c r="CS26" s="87">
        <f>Юнг!D48</f>
        <v>0</v>
      </c>
      <c r="CT26" s="87">
        <f t="shared" si="33"/>
        <v>0</v>
      </c>
      <c r="CU26" s="87"/>
      <c r="CV26" s="87">
        <f>SUM(Юнг!D49)</f>
        <v>-0.019370000000000002</v>
      </c>
      <c r="CW26" s="87"/>
      <c r="CX26" s="96"/>
      <c r="CY26" s="96"/>
      <c r="CZ26" s="87" t="e">
        <f t="shared" si="34"/>
        <v>#DIV/0!</v>
      </c>
      <c r="DA26" s="87"/>
      <c r="DB26" s="87"/>
      <c r="DC26" s="87"/>
      <c r="DD26" s="87"/>
      <c r="DE26" s="87"/>
      <c r="DF26" s="87"/>
      <c r="DG26" s="84">
        <f t="shared" si="35"/>
        <v>9889.083660000002</v>
      </c>
      <c r="DH26" s="84">
        <f t="shared" si="36"/>
        <v>6239.06861</v>
      </c>
      <c r="DI26" s="87">
        <f t="shared" si="37"/>
        <v>63.09046241803154</v>
      </c>
      <c r="DJ26" s="96">
        <f t="shared" si="57"/>
        <v>1659.8410000000001</v>
      </c>
      <c r="DK26" s="96">
        <f t="shared" si="58"/>
        <v>1342.3976</v>
      </c>
      <c r="DL26" s="87">
        <f t="shared" si="39"/>
        <v>80.87507176892244</v>
      </c>
      <c r="DM26" s="87">
        <f>Юнг!C57</f>
        <v>1581.6</v>
      </c>
      <c r="DN26" s="87">
        <f>Юнг!D57</f>
        <v>1304.8136</v>
      </c>
      <c r="DO26" s="87">
        <f t="shared" si="40"/>
        <v>82.49959534648458</v>
      </c>
      <c r="DP26" s="87">
        <f>Юнг!C60</f>
        <v>18.4</v>
      </c>
      <c r="DQ26" s="87">
        <f>Юнг!D60</f>
        <v>18.4</v>
      </c>
      <c r="DR26" s="87">
        <f t="shared" si="41"/>
        <v>100</v>
      </c>
      <c r="DS26" s="87">
        <f>Юнг!C61</f>
        <v>39.477</v>
      </c>
      <c r="DT26" s="87">
        <f>Юнг!D61</f>
        <v>0</v>
      </c>
      <c r="DU26" s="87">
        <f t="shared" si="42"/>
        <v>0</v>
      </c>
      <c r="DV26" s="87">
        <f>Юнг!C62</f>
        <v>20.364</v>
      </c>
      <c r="DW26" s="87">
        <f>Юнг!D62</f>
        <v>19.184</v>
      </c>
      <c r="DX26" s="87">
        <f t="shared" si="43"/>
        <v>94.2054606167747</v>
      </c>
      <c r="DY26" s="87">
        <f>Юнг!C64</f>
        <v>103.383</v>
      </c>
      <c r="DZ26" s="87">
        <f>Юнг!D64</f>
        <v>54.42091</v>
      </c>
      <c r="EA26" s="87">
        <f t="shared" si="44"/>
        <v>52.64009556696942</v>
      </c>
      <c r="EB26" s="87">
        <f>Юнг!C65</f>
        <v>32</v>
      </c>
      <c r="EC26" s="87">
        <f>Юнг!D65</f>
        <v>26.51148</v>
      </c>
      <c r="ED26" s="87">
        <f t="shared" si="45"/>
        <v>82.84837499999999</v>
      </c>
      <c r="EE26" s="96">
        <f>Юнг!C71</f>
        <v>3290.85366</v>
      </c>
      <c r="EF26" s="96">
        <f>Юнг!D71</f>
        <v>2287.912</v>
      </c>
      <c r="EG26" s="87">
        <f t="shared" si="46"/>
        <v>69.52335887217785</v>
      </c>
      <c r="EH26" s="96">
        <f>Юнг!C76</f>
        <v>3296.906</v>
      </c>
      <c r="EI26" s="96">
        <f>Юнг!D76</f>
        <v>1190.9349</v>
      </c>
      <c r="EJ26" s="87">
        <f t="shared" si="47"/>
        <v>36.1228042291773</v>
      </c>
      <c r="EK26" s="96">
        <f>Юнг!C80</f>
        <v>1497</v>
      </c>
      <c r="EL26" s="103">
        <f>Юнг!D80</f>
        <v>1327.85472</v>
      </c>
      <c r="EM26" s="87">
        <f t="shared" si="48"/>
        <v>88.7010501002004</v>
      </c>
      <c r="EN26" s="87">
        <f>Юнг!C82</f>
        <v>0</v>
      </c>
      <c r="EO26" s="87">
        <f>Юнг!D82</f>
        <v>0</v>
      </c>
      <c r="EP26" s="87" t="e">
        <f t="shared" si="49"/>
        <v>#DIV/0!</v>
      </c>
      <c r="EQ26" s="104">
        <f>Юнг!C87</f>
        <v>9.1</v>
      </c>
      <c r="ER26" s="104">
        <f>Юнг!D87</f>
        <v>9.037</v>
      </c>
      <c r="ES26" s="87">
        <f t="shared" si="50"/>
        <v>99.30769230769232</v>
      </c>
      <c r="ET26" s="87">
        <f>Юнг!C93</f>
        <v>0</v>
      </c>
      <c r="EU26" s="87">
        <f>Юнг!D93</f>
        <v>0</v>
      </c>
      <c r="EV26" s="87" t="e">
        <f t="shared" si="51"/>
        <v>#DIV/0!</v>
      </c>
      <c r="EW26" s="110">
        <f t="shared" si="52"/>
        <v>-1056.7500600000021</v>
      </c>
      <c r="EX26" s="110">
        <f t="shared" si="53"/>
        <v>-648.0962500000005</v>
      </c>
      <c r="EY26" s="87">
        <f t="shared" si="54"/>
        <v>61.329189799146945</v>
      </c>
      <c r="EZ26" s="111"/>
      <c r="FA26" s="112"/>
      <c r="FC26" s="112"/>
    </row>
    <row r="27" spans="1:159" s="59" customFormat="1" ht="25.5" customHeight="1">
      <c r="A27" s="75">
        <v>14</v>
      </c>
      <c r="B27" s="95" t="s">
        <v>136</v>
      </c>
      <c r="C27" s="77">
        <f t="shared" si="0"/>
        <v>14863.826320000002</v>
      </c>
      <c r="D27" s="78">
        <f t="shared" si="1"/>
        <v>11820.203920000002</v>
      </c>
      <c r="E27" s="87">
        <f t="shared" si="2"/>
        <v>79.52329141585395</v>
      </c>
      <c r="F27" s="80">
        <f t="shared" si="3"/>
        <v>1546.69</v>
      </c>
      <c r="G27" s="80">
        <f t="shared" si="4"/>
        <v>1771.04067</v>
      </c>
      <c r="H27" s="87">
        <f t="shared" si="5"/>
        <v>114.50521242136433</v>
      </c>
      <c r="I27" s="96">
        <f>Юсь!C6</f>
        <v>200.1</v>
      </c>
      <c r="J27" s="97">
        <f>Юсь!D6</f>
        <v>240.52335</v>
      </c>
      <c r="K27" s="87">
        <f t="shared" si="6"/>
        <v>120.20157421289355</v>
      </c>
      <c r="L27" s="87">
        <f>Юсь!C8</f>
        <v>200.15</v>
      </c>
      <c r="M27" s="87">
        <f>Юсь!D8</f>
        <v>251.76861</v>
      </c>
      <c r="N27" s="79">
        <f t="shared" si="7"/>
        <v>125.78996252810393</v>
      </c>
      <c r="O27" s="79">
        <f>Юсь!C9</f>
        <v>2.15</v>
      </c>
      <c r="P27" s="79">
        <f>Юсь!D9</f>
        <v>1.78583</v>
      </c>
      <c r="Q27" s="79">
        <f t="shared" si="8"/>
        <v>83.06186046511628</v>
      </c>
      <c r="R27" s="79">
        <f>Юсь!C10</f>
        <v>334.29</v>
      </c>
      <c r="S27" s="79">
        <f>Юсь!D10</f>
        <v>338.38818</v>
      </c>
      <c r="T27" s="79">
        <f t="shared" si="9"/>
        <v>101.22593556492865</v>
      </c>
      <c r="U27" s="79">
        <f>Юсь!C11</f>
        <v>0</v>
      </c>
      <c r="V27" s="83">
        <f>Юсь!D11</f>
        <v>-42.65836</v>
      </c>
      <c r="W27" s="79" t="e">
        <f t="shared" si="10"/>
        <v>#DIV/0!</v>
      </c>
      <c r="X27" s="96">
        <f>Юсь!C13</f>
        <v>10</v>
      </c>
      <c r="Y27" s="96">
        <f>Юсь!D13</f>
        <v>6.10936</v>
      </c>
      <c r="Z27" s="87">
        <f t="shared" si="11"/>
        <v>61.093599999999995</v>
      </c>
      <c r="AA27" s="96">
        <f>Юсь!C15</f>
        <v>117</v>
      </c>
      <c r="AB27" s="86">
        <f>Юсь!D15</f>
        <v>68.57618</v>
      </c>
      <c r="AC27" s="87">
        <f t="shared" si="12"/>
        <v>58.61211965811965</v>
      </c>
      <c r="AD27" s="96">
        <f>Юсь!C16</f>
        <v>348</v>
      </c>
      <c r="AE27" s="96">
        <f>Юсь!D16</f>
        <v>503.51515</v>
      </c>
      <c r="AF27" s="87">
        <f t="shared" si="13"/>
        <v>144.68826149425286</v>
      </c>
      <c r="AG27" s="87">
        <f>Юсь!C18</f>
        <v>10</v>
      </c>
      <c r="AH27" s="87">
        <f>Юсь!D18</f>
        <v>3.6</v>
      </c>
      <c r="AI27" s="87">
        <f t="shared" si="14"/>
        <v>36</v>
      </c>
      <c r="AJ27" s="87"/>
      <c r="AK27" s="87"/>
      <c r="AL27" s="87" t="e">
        <f>AJ27/AK27*100</f>
        <v>#DIV/0!</v>
      </c>
      <c r="AM27" s="96">
        <v>0</v>
      </c>
      <c r="AN27" s="96">
        <v>0</v>
      </c>
      <c r="AO27" s="87" t="e">
        <f t="shared" si="16"/>
        <v>#DIV/0!</v>
      </c>
      <c r="AP27" s="96">
        <f>Юсь!C27</f>
        <v>0</v>
      </c>
      <c r="AQ27" s="98">
        <f>Юсь!D27</f>
        <v>0</v>
      </c>
      <c r="AR27" s="87" t="e">
        <f t="shared" si="17"/>
        <v>#DIV/0!</v>
      </c>
      <c r="AS27" s="84">
        <f>Юсь!C28</f>
        <v>55</v>
      </c>
      <c r="AT27" s="98">
        <f>Юсь!D28</f>
        <v>39.41935</v>
      </c>
      <c r="AU27" s="87">
        <f t="shared" si="18"/>
        <v>71.67154545454547</v>
      </c>
      <c r="AV27" s="96"/>
      <c r="AW27" s="96"/>
      <c r="AX27" s="87" t="e">
        <f t="shared" si="19"/>
        <v>#DIV/0!</v>
      </c>
      <c r="AY27" s="87">
        <f>Юсь!C30</f>
        <v>270</v>
      </c>
      <c r="AZ27" s="79">
        <f>Юсь!D30</f>
        <v>351.73018</v>
      </c>
      <c r="BA27" s="87">
        <f t="shared" si="20"/>
        <v>130.27043703703706</v>
      </c>
      <c r="BB27" s="87"/>
      <c r="BC27" s="87"/>
      <c r="BD27" s="87"/>
      <c r="BE27" s="87">
        <f>Юсь!C31</f>
        <v>0</v>
      </c>
      <c r="BF27" s="87">
        <f>Юсь!D31</f>
        <v>0</v>
      </c>
      <c r="BG27" s="87" t="e">
        <f t="shared" si="55"/>
        <v>#DIV/0!</v>
      </c>
      <c r="BH27" s="87"/>
      <c r="BI27" s="87"/>
      <c r="BJ27" s="87" t="e">
        <f t="shared" si="56"/>
        <v>#DIV/0!</v>
      </c>
      <c r="BK27" s="87"/>
      <c r="BL27" s="87"/>
      <c r="BM27" s="87"/>
      <c r="BN27" s="87"/>
      <c r="BO27" s="87">
        <f>SUM(Юсь!D34)</f>
        <v>8.28284</v>
      </c>
      <c r="BP27" s="89" t="e">
        <f t="shared" si="21"/>
        <v>#DIV/0!</v>
      </c>
      <c r="BQ27" s="87">
        <f>Юсь!C36</f>
        <v>0</v>
      </c>
      <c r="BR27" s="87">
        <f>Юсь!D36</f>
        <v>0</v>
      </c>
      <c r="BS27" s="87" t="e">
        <f t="shared" si="22"/>
        <v>#DIV/0!</v>
      </c>
      <c r="BT27" s="87"/>
      <c r="BU27" s="87"/>
      <c r="BV27" s="99" t="e">
        <f t="shared" si="23"/>
        <v>#DIV/0!</v>
      </c>
      <c r="BW27" s="99"/>
      <c r="BX27" s="99"/>
      <c r="BY27" s="99" t="e">
        <f t="shared" si="24"/>
        <v>#DIV/0!</v>
      </c>
      <c r="BZ27" s="84">
        <f t="shared" si="25"/>
        <v>13317.136320000001</v>
      </c>
      <c r="CA27" s="84">
        <f t="shared" si="26"/>
        <v>10049.163250000001</v>
      </c>
      <c r="CB27" s="87">
        <f t="shared" si="27"/>
        <v>75.46039184796751</v>
      </c>
      <c r="CC27" s="87">
        <f>Юсь!C41</f>
        <v>5087.2</v>
      </c>
      <c r="CD27" s="87">
        <f>Юсь!D41</f>
        <v>4663.296</v>
      </c>
      <c r="CE27" s="87">
        <f t="shared" si="28"/>
        <v>91.66724327724486</v>
      </c>
      <c r="CF27" s="87">
        <f>Юсь!C42</f>
        <v>0</v>
      </c>
      <c r="CG27" s="100">
        <f>Юсь!D42</f>
        <v>0</v>
      </c>
      <c r="CH27" s="87" t="e">
        <f t="shared" si="29"/>
        <v>#DIV/0!</v>
      </c>
      <c r="CI27" s="87">
        <f>Юсь!C43</f>
        <v>2037.26197</v>
      </c>
      <c r="CJ27" s="87">
        <f>Юсь!D43</f>
        <v>1935.55297</v>
      </c>
      <c r="CK27" s="87">
        <f t="shared" si="30"/>
        <v>95.00756400022526</v>
      </c>
      <c r="CL27" s="87">
        <f>Юсь!C44</f>
        <v>2903.75635</v>
      </c>
      <c r="CM27" s="87">
        <f>Юсь!D44</f>
        <v>188.74628</v>
      </c>
      <c r="CN27" s="87">
        <f t="shared" si="31"/>
        <v>6.500072914175462</v>
      </c>
      <c r="CO27" s="87">
        <f>Юсь!C51</f>
        <v>3043.818</v>
      </c>
      <c r="CP27" s="87">
        <f>Юсь!D51</f>
        <v>3016.468</v>
      </c>
      <c r="CQ27" s="79">
        <f t="shared" si="32"/>
        <v>99.10145744587882</v>
      </c>
      <c r="CR27" s="102">
        <f>Юсь!C52</f>
        <v>245.1</v>
      </c>
      <c r="CS27" s="87">
        <f>Юсь!D52</f>
        <v>245.1</v>
      </c>
      <c r="CT27" s="87">
        <f t="shared" si="33"/>
        <v>100</v>
      </c>
      <c r="CU27" s="87"/>
      <c r="CV27" s="87"/>
      <c r="CW27" s="87"/>
      <c r="CX27" s="96"/>
      <c r="CY27" s="96"/>
      <c r="CZ27" s="87" t="e">
        <f t="shared" si="34"/>
        <v>#DIV/0!</v>
      </c>
      <c r="DA27" s="87"/>
      <c r="DB27" s="87"/>
      <c r="DC27" s="87"/>
      <c r="DD27" s="87"/>
      <c r="DE27" s="87"/>
      <c r="DF27" s="87"/>
      <c r="DG27" s="84">
        <f t="shared" si="35"/>
        <v>15187.612319999998</v>
      </c>
      <c r="DH27" s="84">
        <f t="shared" si="36"/>
        <v>11085.91922</v>
      </c>
      <c r="DI27" s="87">
        <f t="shared" si="37"/>
        <v>72.9931669733324</v>
      </c>
      <c r="DJ27" s="96">
        <f t="shared" si="57"/>
        <v>1624.262</v>
      </c>
      <c r="DK27" s="96">
        <f t="shared" si="58"/>
        <v>1405.6497299999999</v>
      </c>
      <c r="DL27" s="87">
        <f t="shared" si="39"/>
        <v>86.54082469453819</v>
      </c>
      <c r="DM27" s="87">
        <f>Юсь!C60</f>
        <v>1601.268</v>
      </c>
      <c r="DN27" s="87">
        <f>Юсь!D60</f>
        <v>1387.65573</v>
      </c>
      <c r="DO27" s="87">
        <f t="shared" si="40"/>
        <v>86.65980522935574</v>
      </c>
      <c r="DP27" s="87">
        <f>Юсь!C63</f>
        <v>0</v>
      </c>
      <c r="DQ27" s="87">
        <f>Юсь!D63</f>
        <v>0</v>
      </c>
      <c r="DR27" s="87" t="e">
        <f t="shared" si="41"/>
        <v>#DIV/0!</v>
      </c>
      <c r="DS27" s="87">
        <f>Юсь!C64</f>
        <v>5</v>
      </c>
      <c r="DT27" s="87">
        <f>Юсь!D64</f>
        <v>0</v>
      </c>
      <c r="DU27" s="87">
        <f t="shared" si="42"/>
        <v>0</v>
      </c>
      <c r="DV27" s="87">
        <f>Юсь!C65</f>
        <v>17.994</v>
      </c>
      <c r="DW27" s="87">
        <f>Юсь!D65</f>
        <v>17.994</v>
      </c>
      <c r="DX27" s="87">
        <f t="shared" si="43"/>
        <v>100</v>
      </c>
      <c r="DY27" s="87">
        <f>Юсь!C67</f>
        <v>206.767</v>
      </c>
      <c r="DZ27" s="87">
        <f>Юсь!D67</f>
        <v>176.09828</v>
      </c>
      <c r="EA27" s="87">
        <f t="shared" si="44"/>
        <v>85.16749771481909</v>
      </c>
      <c r="EB27" s="87">
        <f>Юсь!C68</f>
        <v>14.234</v>
      </c>
      <c r="EC27" s="87">
        <f>Юсь!D68</f>
        <v>14.04548</v>
      </c>
      <c r="ED27" s="87">
        <f t="shared" si="45"/>
        <v>98.67556554728115</v>
      </c>
      <c r="EE27" s="96">
        <f>Юсь!C74</f>
        <v>2103.19743</v>
      </c>
      <c r="EF27" s="96">
        <f>Юсь!D74</f>
        <v>1955.30116</v>
      </c>
      <c r="EG27" s="87">
        <f t="shared" si="46"/>
        <v>92.96802725743156</v>
      </c>
      <c r="EH27" s="96">
        <f>Юсь!C79</f>
        <v>8760.35989</v>
      </c>
      <c r="EI27" s="96">
        <f>Юсь!D79</f>
        <v>5579.82166</v>
      </c>
      <c r="EJ27" s="87">
        <f t="shared" si="47"/>
        <v>63.69397753132719</v>
      </c>
      <c r="EK27" s="96">
        <f>Юсь!C83</f>
        <v>2463.792</v>
      </c>
      <c r="EL27" s="103">
        <f>Юсь!D83</f>
        <v>1945.45291</v>
      </c>
      <c r="EM27" s="87">
        <f t="shared" si="48"/>
        <v>78.96173500035717</v>
      </c>
      <c r="EN27" s="87">
        <f>Юсь!C85</f>
        <v>0</v>
      </c>
      <c r="EO27" s="87">
        <f>Юсь!D85</f>
        <v>0</v>
      </c>
      <c r="EP27" s="87" t="e">
        <f t="shared" si="49"/>
        <v>#DIV/0!</v>
      </c>
      <c r="EQ27" s="104">
        <f>Юсь!C90</f>
        <v>15</v>
      </c>
      <c r="ER27" s="104">
        <f>Юсь!D90</f>
        <v>9.55</v>
      </c>
      <c r="ES27" s="87">
        <f t="shared" si="50"/>
        <v>63.66666666666667</v>
      </c>
      <c r="ET27" s="87">
        <f>Юсь!C96</f>
        <v>0</v>
      </c>
      <c r="EU27" s="87">
        <f>Юсь!D96</f>
        <v>0</v>
      </c>
      <c r="EV27" s="79" t="e">
        <f t="shared" si="51"/>
        <v>#DIV/0!</v>
      </c>
      <c r="EW27" s="88">
        <f t="shared" si="52"/>
        <v>-323.7859999999964</v>
      </c>
      <c r="EX27" s="88">
        <f t="shared" si="53"/>
        <v>734.284700000002</v>
      </c>
      <c r="EY27" s="79">
        <f t="shared" si="54"/>
        <v>-226.78086761009126</v>
      </c>
      <c r="EZ27" s="93"/>
      <c r="FA27" s="94"/>
      <c r="FC27" s="94"/>
    </row>
    <row r="28" spans="1:159" s="59" customFormat="1" ht="23.25" customHeight="1">
      <c r="A28" s="75">
        <v>15</v>
      </c>
      <c r="B28" s="95" t="s">
        <v>137</v>
      </c>
      <c r="C28" s="106">
        <f t="shared" si="0"/>
        <v>17874.24817</v>
      </c>
      <c r="D28" s="78">
        <f t="shared" si="1"/>
        <v>10710.40937</v>
      </c>
      <c r="E28" s="87">
        <f t="shared" si="2"/>
        <v>59.92089439586202</v>
      </c>
      <c r="F28" s="80">
        <f t="shared" si="3"/>
        <v>2647.75</v>
      </c>
      <c r="G28" s="80">
        <f t="shared" si="4"/>
        <v>2264.8732199999995</v>
      </c>
      <c r="H28" s="87">
        <f t="shared" si="5"/>
        <v>85.53954187517702</v>
      </c>
      <c r="I28" s="96">
        <f>Яра!C6</f>
        <v>211.2</v>
      </c>
      <c r="J28" s="97">
        <f>Яра!D6</f>
        <v>170.97673</v>
      </c>
      <c r="K28" s="87">
        <f t="shared" si="6"/>
        <v>80.95489109848485</v>
      </c>
      <c r="L28" s="87">
        <f>Яра!C8</f>
        <v>309.91</v>
      </c>
      <c r="M28" s="87">
        <f>Яра!D8</f>
        <v>389.83525</v>
      </c>
      <c r="N28" s="79">
        <f t="shared" si="7"/>
        <v>125.78982607853891</v>
      </c>
      <c r="O28" s="79">
        <f>Яра!C9</f>
        <v>3.32</v>
      </c>
      <c r="P28" s="79">
        <f>Яра!D9</f>
        <v>2.76519</v>
      </c>
      <c r="Q28" s="79">
        <f t="shared" si="8"/>
        <v>83.28885542168675</v>
      </c>
      <c r="R28" s="79">
        <f>Яра!C10</f>
        <v>517.62</v>
      </c>
      <c r="S28" s="79">
        <f>Яра!D10</f>
        <v>523.95585</v>
      </c>
      <c r="T28" s="79">
        <f t="shared" si="9"/>
        <v>101.22403500637533</v>
      </c>
      <c r="U28" s="79">
        <f>Яра!C11</f>
        <v>0</v>
      </c>
      <c r="V28" s="83">
        <f>Яра!D11</f>
        <v>-66.05163</v>
      </c>
      <c r="W28" s="79" t="e">
        <f t="shared" si="10"/>
        <v>#DIV/0!</v>
      </c>
      <c r="X28" s="96">
        <f>Яра!C13</f>
        <v>20</v>
      </c>
      <c r="Y28" s="96">
        <f>Яра!D13</f>
        <v>8.8872</v>
      </c>
      <c r="Z28" s="87">
        <f t="shared" si="11"/>
        <v>44.436</v>
      </c>
      <c r="AA28" s="96">
        <f>Яра!C15</f>
        <v>300</v>
      </c>
      <c r="AB28" s="86">
        <f>Яра!D15</f>
        <v>168.76405</v>
      </c>
      <c r="AC28" s="87">
        <f t="shared" si="12"/>
        <v>56.25468333333333</v>
      </c>
      <c r="AD28" s="96">
        <f>Яра!C16</f>
        <v>1200</v>
      </c>
      <c r="AE28" s="96">
        <f>Яра!D16</f>
        <v>960.04329</v>
      </c>
      <c r="AF28" s="87">
        <f t="shared" si="13"/>
        <v>80.0036075</v>
      </c>
      <c r="AG28" s="87">
        <f>Яра!C18</f>
        <v>15</v>
      </c>
      <c r="AH28" s="87">
        <f>Яра!D18</f>
        <v>2.88</v>
      </c>
      <c r="AI28" s="87">
        <f t="shared" si="14"/>
        <v>19.2</v>
      </c>
      <c r="AJ28" s="87"/>
      <c r="AK28" s="87"/>
      <c r="AL28" s="87" t="e">
        <f>AJ28/AK28*100</f>
        <v>#DIV/0!</v>
      </c>
      <c r="AM28" s="96">
        <v>0</v>
      </c>
      <c r="AN28" s="96">
        <v>0</v>
      </c>
      <c r="AO28" s="87" t="e">
        <f t="shared" si="16"/>
        <v>#DIV/0!</v>
      </c>
      <c r="AP28" s="96">
        <f>Яра!C27</f>
        <v>20.7</v>
      </c>
      <c r="AQ28" s="98">
        <f>Яра!D27</f>
        <v>3.307</v>
      </c>
      <c r="AR28" s="87">
        <f t="shared" si="17"/>
        <v>15.97584541062802</v>
      </c>
      <c r="AS28" s="84">
        <f>Яра!C28</f>
        <v>0</v>
      </c>
      <c r="AT28" s="98">
        <f>Яра!D28</f>
        <v>0</v>
      </c>
      <c r="AU28" s="87" t="e">
        <f t="shared" si="18"/>
        <v>#DIV/0!</v>
      </c>
      <c r="AV28" s="96"/>
      <c r="AW28" s="96"/>
      <c r="AX28" s="87" t="e">
        <f t="shared" si="19"/>
        <v>#DIV/0!</v>
      </c>
      <c r="AY28" s="87">
        <f>Яра!C31</f>
        <v>50</v>
      </c>
      <c r="AZ28" s="79">
        <f>Яра!D31</f>
        <v>67.531</v>
      </c>
      <c r="BA28" s="87">
        <f t="shared" si="20"/>
        <v>135.062</v>
      </c>
      <c r="BB28" s="87"/>
      <c r="BC28" s="87"/>
      <c r="BD28" s="87"/>
      <c r="BE28" s="87">
        <f>Яра!C34</f>
        <v>0</v>
      </c>
      <c r="BF28" s="87">
        <v>0</v>
      </c>
      <c r="BG28" s="87" t="e">
        <f t="shared" si="55"/>
        <v>#DIV/0!</v>
      </c>
      <c r="BH28" s="87"/>
      <c r="BI28" s="87"/>
      <c r="BJ28" s="87" t="e">
        <f t="shared" si="56"/>
        <v>#DIV/0!</v>
      </c>
      <c r="BK28" s="87"/>
      <c r="BL28" s="87"/>
      <c r="BM28" s="87"/>
      <c r="BN28" s="87">
        <f>Яра!C35</f>
        <v>0</v>
      </c>
      <c r="BO28" s="87">
        <f>Яра!D35</f>
        <v>19.32493</v>
      </c>
      <c r="BP28" s="89" t="e">
        <f t="shared" si="21"/>
        <v>#DIV/0!</v>
      </c>
      <c r="BQ28" s="87">
        <f>Яра!C37</f>
        <v>0</v>
      </c>
      <c r="BR28" s="87">
        <f>Яра!D37</f>
        <v>12.65436</v>
      </c>
      <c r="BS28" s="87" t="e">
        <f t="shared" si="22"/>
        <v>#DIV/0!</v>
      </c>
      <c r="BT28" s="87"/>
      <c r="BU28" s="87"/>
      <c r="BV28" s="99" t="e">
        <f t="shared" si="23"/>
        <v>#DIV/0!</v>
      </c>
      <c r="BW28" s="99"/>
      <c r="BX28" s="99"/>
      <c r="BY28" s="99" t="e">
        <f t="shared" si="24"/>
        <v>#DIV/0!</v>
      </c>
      <c r="BZ28" s="84">
        <f t="shared" si="25"/>
        <v>15226.498169999999</v>
      </c>
      <c r="CA28" s="84">
        <f t="shared" si="26"/>
        <v>8445.53615</v>
      </c>
      <c r="CB28" s="87">
        <f t="shared" si="27"/>
        <v>55.46604383823336</v>
      </c>
      <c r="CC28" s="87">
        <f>Яра!C42</f>
        <v>3577.8</v>
      </c>
      <c r="CD28" s="87">
        <f>Яра!D42</f>
        <v>3279.672</v>
      </c>
      <c r="CE28" s="87">
        <f t="shared" si="28"/>
        <v>91.66728156967969</v>
      </c>
      <c r="CF28" s="87">
        <f>Яра!C43</f>
        <v>0</v>
      </c>
      <c r="CG28" s="100">
        <f>Яра!D43</f>
        <v>0</v>
      </c>
      <c r="CH28" s="87" t="e">
        <f t="shared" si="29"/>
        <v>#DIV/0!</v>
      </c>
      <c r="CI28" s="87">
        <f>Яра!C44</f>
        <v>9503.26947</v>
      </c>
      <c r="CJ28" s="87">
        <f>Яра!D44</f>
        <v>3679.44396</v>
      </c>
      <c r="CK28" s="87">
        <f t="shared" si="30"/>
        <v>38.71766418510282</v>
      </c>
      <c r="CL28" s="87">
        <f>Яра!C45</f>
        <v>206.767</v>
      </c>
      <c r="CM28" s="87">
        <f>Яра!D45</f>
        <v>188.74708</v>
      </c>
      <c r="CN28" s="87">
        <f t="shared" si="31"/>
        <v>91.28491490421587</v>
      </c>
      <c r="CO28" s="87">
        <f>Яра!C47</f>
        <v>1714.834</v>
      </c>
      <c r="CP28" s="87">
        <f>Яра!D47</f>
        <v>1067.13661</v>
      </c>
      <c r="CQ28" s="79">
        <f t="shared" si="32"/>
        <v>62.22973244057442</v>
      </c>
      <c r="CR28" s="102">
        <f>Яра!C51</f>
        <v>223.8277</v>
      </c>
      <c r="CS28" s="87">
        <f>Яра!D51</f>
        <v>230.5365</v>
      </c>
      <c r="CT28" s="87">
        <f t="shared" si="33"/>
        <v>102.99730551669879</v>
      </c>
      <c r="CU28" s="87"/>
      <c r="CV28" s="87"/>
      <c r="CW28" s="87"/>
      <c r="CX28" s="96"/>
      <c r="CY28" s="96"/>
      <c r="CZ28" s="87" t="e">
        <f t="shared" si="34"/>
        <v>#DIV/0!</v>
      </c>
      <c r="DA28" s="87"/>
      <c r="DB28" s="87">
        <f>Яра!D46</f>
        <v>0</v>
      </c>
      <c r="DC28" s="87" t="e">
        <f>DB28/DA28</f>
        <v>#DIV/0!</v>
      </c>
      <c r="DD28" s="87"/>
      <c r="DE28" s="87"/>
      <c r="DF28" s="87"/>
      <c r="DG28" s="84">
        <f t="shared" si="35"/>
        <v>18127.1709</v>
      </c>
      <c r="DH28" s="84">
        <f t="shared" si="36"/>
        <v>10575.36305</v>
      </c>
      <c r="DI28" s="87">
        <f t="shared" si="37"/>
        <v>58.33984303640012</v>
      </c>
      <c r="DJ28" s="96">
        <f t="shared" si="57"/>
        <v>1773.1462299999998</v>
      </c>
      <c r="DK28" s="96">
        <f t="shared" si="58"/>
        <v>1553.35355</v>
      </c>
      <c r="DL28" s="87">
        <f t="shared" si="39"/>
        <v>87.60436808418221</v>
      </c>
      <c r="DM28" s="87">
        <f>Яра!C59</f>
        <v>1646.3</v>
      </c>
      <c r="DN28" s="87">
        <f>Яра!D59</f>
        <v>1437.18732</v>
      </c>
      <c r="DO28" s="87">
        <f t="shared" si="40"/>
        <v>87.29802101682561</v>
      </c>
      <c r="DP28" s="87">
        <f>Яра!C62</f>
        <v>11.02</v>
      </c>
      <c r="DQ28" s="87">
        <f>Яра!D62</f>
        <v>11.02</v>
      </c>
      <c r="DR28" s="87">
        <f t="shared" si="41"/>
        <v>100</v>
      </c>
      <c r="DS28" s="87">
        <f>Яра!C63</f>
        <v>10</v>
      </c>
      <c r="DT28" s="87">
        <f>Яра!D63</f>
        <v>0</v>
      </c>
      <c r="DU28" s="87">
        <f t="shared" si="42"/>
        <v>0</v>
      </c>
      <c r="DV28" s="87">
        <f>Яра!C64</f>
        <v>105.82623</v>
      </c>
      <c r="DW28" s="87">
        <f>Яра!D64</f>
        <v>105.14623</v>
      </c>
      <c r="DX28" s="87">
        <f t="shared" si="43"/>
        <v>99.35743718735894</v>
      </c>
      <c r="DY28" s="87">
        <f>Яра!C66</f>
        <v>206.767</v>
      </c>
      <c r="DZ28" s="87">
        <f>Яра!D65</f>
        <v>172.05147</v>
      </c>
      <c r="EA28" s="87">
        <f t="shared" si="44"/>
        <v>83.2103140249653</v>
      </c>
      <c r="EB28" s="87">
        <f>Яра!C67</f>
        <v>73.5</v>
      </c>
      <c r="EC28" s="87">
        <f>Яра!D67</f>
        <v>65.48847</v>
      </c>
      <c r="ED28" s="87">
        <f t="shared" si="45"/>
        <v>89.09995918367348</v>
      </c>
      <c r="EE28" s="96">
        <f>Яра!C73</f>
        <v>4430.90056</v>
      </c>
      <c r="EF28" s="96">
        <f>Яра!D73</f>
        <v>3816.76176</v>
      </c>
      <c r="EG28" s="87">
        <f t="shared" si="46"/>
        <v>86.13963929716355</v>
      </c>
      <c r="EH28" s="96">
        <f>Яра!C78</f>
        <v>9655.33411</v>
      </c>
      <c r="EI28" s="96">
        <f>Яра!D78</f>
        <v>3330.80539</v>
      </c>
      <c r="EJ28" s="87">
        <f t="shared" si="47"/>
        <v>34.49704952778688</v>
      </c>
      <c r="EK28" s="96">
        <f>Яра!C82</f>
        <v>1975.523</v>
      </c>
      <c r="EL28" s="103">
        <f>Яра!D82</f>
        <v>1624.90241</v>
      </c>
      <c r="EM28" s="87">
        <f t="shared" si="48"/>
        <v>82.2517586482162</v>
      </c>
      <c r="EN28" s="87">
        <f>Яра!C84</f>
        <v>0</v>
      </c>
      <c r="EO28" s="87">
        <f>Яра!D84</f>
        <v>0</v>
      </c>
      <c r="EP28" s="87" t="e">
        <f t="shared" si="49"/>
        <v>#DIV/0!</v>
      </c>
      <c r="EQ28" s="104">
        <f>Яра!C89</f>
        <v>12</v>
      </c>
      <c r="ER28" s="104">
        <f>Яра!D89</f>
        <v>12</v>
      </c>
      <c r="ES28" s="87">
        <f t="shared" si="50"/>
        <v>100</v>
      </c>
      <c r="ET28" s="87">
        <f>Яра!C95</f>
        <v>0</v>
      </c>
      <c r="EU28" s="87">
        <f>Яра!D95</f>
        <v>0</v>
      </c>
      <c r="EV28" s="79" t="e">
        <f t="shared" si="51"/>
        <v>#DIV/0!</v>
      </c>
      <c r="EW28" s="88">
        <f t="shared" si="52"/>
        <v>-252.92273000000205</v>
      </c>
      <c r="EX28" s="88">
        <f t="shared" si="53"/>
        <v>135.04631999999947</v>
      </c>
      <c r="EY28" s="79">
        <f t="shared" si="54"/>
        <v>-53.39429951590289</v>
      </c>
      <c r="EZ28" s="93"/>
      <c r="FA28" s="94"/>
      <c r="FC28" s="94"/>
    </row>
    <row r="29" spans="1:159" s="59" customFormat="1" ht="25.5" customHeight="1">
      <c r="A29" s="75">
        <v>16</v>
      </c>
      <c r="B29" s="76" t="s">
        <v>138</v>
      </c>
      <c r="C29" s="77">
        <f t="shared" si="0"/>
        <v>4895.657999999999</v>
      </c>
      <c r="D29" s="78">
        <f t="shared" si="1"/>
        <v>3679.8440899999996</v>
      </c>
      <c r="E29" s="79">
        <f t="shared" si="2"/>
        <v>75.1654647853261</v>
      </c>
      <c r="F29" s="80">
        <f t="shared" si="3"/>
        <v>2309.85</v>
      </c>
      <c r="G29" s="80">
        <f t="shared" si="4"/>
        <v>1682.1346700000001</v>
      </c>
      <c r="H29" s="79">
        <f t="shared" si="5"/>
        <v>72.82441154187502</v>
      </c>
      <c r="I29" s="84">
        <f>Яро!C6</f>
        <v>117.6</v>
      </c>
      <c r="J29" s="97">
        <f>Яро!D6</f>
        <v>104.61549</v>
      </c>
      <c r="K29" s="79">
        <f t="shared" si="6"/>
        <v>88.95875</v>
      </c>
      <c r="L29" s="79">
        <f>Яро!C8</f>
        <v>178.01</v>
      </c>
      <c r="M29" s="79">
        <f>Яро!D8</f>
        <v>223.9232</v>
      </c>
      <c r="N29" s="79">
        <f t="shared" si="7"/>
        <v>125.79248356833888</v>
      </c>
      <c r="O29" s="79">
        <f>Яро!C9</f>
        <v>1.91</v>
      </c>
      <c r="P29" s="79">
        <f>Яро!D9</f>
        <v>1.58832</v>
      </c>
      <c r="Q29" s="79">
        <f t="shared" si="8"/>
        <v>83.15811518324607</v>
      </c>
      <c r="R29" s="79">
        <f>Яро!C10</f>
        <v>297.33</v>
      </c>
      <c r="S29" s="79">
        <f>Яро!D10</f>
        <v>300.9627</v>
      </c>
      <c r="T29" s="79">
        <f t="shared" si="9"/>
        <v>101.22177378670165</v>
      </c>
      <c r="U29" s="79">
        <f>Яро!C11</f>
        <v>0</v>
      </c>
      <c r="V29" s="83">
        <f>Яро!D11</f>
        <v>-37.94034</v>
      </c>
      <c r="W29" s="79" t="e">
        <f t="shared" si="10"/>
        <v>#DIV/0!</v>
      </c>
      <c r="X29" s="84">
        <f>Яро!C13</f>
        <v>10</v>
      </c>
      <c r="Y29" s="84">
        <f>Яро!D13</f>
        <v>0.26730000000000004</v>
      </c>
      <c r="Z29" s="79">
        <f t="shared" si="11"/>
        <v>2.6730000000000005</v>
      </c>
      <c r="AA29" s="84">
        <f>Яро!C15</f>
        <v>380</v>
      </c>
      <c r="AB29" s="86">
        <f>Яро!D15</f>
        <v>88.53191</v>
      </c>
      <c r="AC29" s="79">
        <f t="shared" si="12"/>
        <v>23.297871052631578</v>
      </c>
      <c r="AD29" s="84">
        <f>Яро!C16</f>
        <v>920</v>
      </c>
      <c r="AE29" s="84">
        <f>Яро!D16</f>
        <v>536.99946</v>
      </c>
      <c r="AF29" s="79">
        <f t="shared" si="13"/>
        <v>58.36950652173913</v>
      </c>
      <c r="AG29" s="79">
        <f>Яро!C18</f>
        <v>5</v>
      </c>
      <c r="AH29" s="79">
        <f>Яро!D18</f>
        <v>3.4</v>
      </c>
      <c r="AI29" s="79">
        <f t="shared" si="14"/>
        <v>68</v>
      </c>
      <c r="AJ29" s="79"/>
      <c r="AK29" s="79"/>
      <c r="AL29" s="79" t="e">
        <f>AJ29/AK29*100</f>
        <v>#DIV/0!</v>
      </c>
      <c r="AM29" s="84">
        <v>0</v>
      </c>
      <c r="AN29" s="84">
        <v>0</v>
      </c>
      <c r="AO29" s="79" t="e">
        <f t="shared" si="16"/>
        <v>#DIV/0!</v>
      </c>
      <c r="AP29" s="84">
        <f>Яро!C26</f>
        <v>400</v>
      </c>
      <c r="AQ29" s="86">
        <f>Яро!D27</f>
        <v>459.48143</v>
      </c>
      <c r="AR29" s="79">
        <f t="shared" si="17"/>
        <v>114.87035749999998</v>
      </c>
      <c r="AS29" s="84">
        <v>0</v>
      </c>
      <c r="AT29" s="86">
        <f>Яро!D28</f>
        <v>0</v>
      </c>
      <c r="AU29" s="79" t="e">
        <f t="shared" si="18"/>
        <v>#DIV/0!</v>
      </c>
      <c r="AV29" s="84"/>
      <c r="AW29" s="84"/>
      <c r="AX29" s="79" t="e">
        <f t="shared" si="19"/>
        <v>#DIV/0!</v>
      </c>
      <c r="AY29" s="79"/>
      <c r="AZ29" s="79">
        <f>Яро!D29</f>
        <v>0</v>
      </c>
      <c r="BA29" s="79" t="e">
        <f t="shared" si="20"/>
        <v>#DIV/0!</v>
      </c>
      <c r="BB29" s="79"/>
      <c r="BC29" s="79"/>
      <c r="BD29" s="79"/>
      <c r="BE29" s="79">
        <f>Яро!C31</f>
        <v>0</v>
      </c>
      <c r="BF29" s="79">
        <f>Яро!D31</f>
        <v>0</v>
      </c>
      <c r="BG29" s="79" t="e">
        <f t="shared" si="55"/>
        <v>#DIV/0!</v>
      </c>
      <c r="BH29" s="79"/>
      <c r="BI29" s="79"/>
      <c r="BJ29" s="79" t="e">
        <f t="shared" si="56"/>
        <v>#DIV/0!</v>
      </c>
      <c r="BK29" s="79"/>
      <c r="BL29" s="79"/>
      <c r="BM29" s="79"/>
      <c r="BN29" s="79">
        <f>Яро!C34</f>
        <v>0</v>
      </c>
      <c r="BO29" s="79">
        <f>Яро!D34</f>
        <v>0.3052</v>
      </c>
      <c r="BP29" s="89" t="e">
        <f t="shared" si="21"/>
        <v>#DIV/0!</v>
      </c>
      <c r="BQ29" s="79">
        <v>0</v>
      </c>
      <c r="BR29" s="79">
        <f>SUM(Яро!D36)</f>
        <v>0</v>
      </c>
      <c r="BS29" s="79" t="e">
        <f t="shared" si="22"/>
        <v>#DIV/0!</v>
      </c>
      <c r="BT29" s="79"/>
      <c r="BU29" s="79"/>
      <c r="BV29" s="90" t="e">
        <f t="shared" si="23"/>
        <v>#DIV/0!</v>
      </c>
      <c r="BW29" s="90"/>
      <c r="BX29" s="90"/>
      <c r="BY29" s="90" t="e">
        <f t="shared" si="24"/>
        <v>#DIV/0!</v>
      </c>
      <c r="BZ29" s="84">
        <f t="shared" si="25"/>
        <v>2585.8079999999995</v>
      </c>
      <c r="CA29" s="84">
        <f t="shared" si="26"/>
        <v>1997.7094199999997</v>
      </c>
      <c r="CB29" s="79">
        <f t="shared" si="27"/>
        <v>77.25668031037107</v>
      </c>
      <c r="CC29" s="87">
        <f>Яро!C40</f>
        <v>1658.6</v>
      </c>
      <c r="CD29" s="87">
        <f>Яро!D40</f>
        <v>1520.398</v>
      </c>
      <c r="CE29" s="79">
        <f t="shared" si="28"/>
        <v>91.66755094658146</v>
      </c>
      <c r="CF29" s="79">
        <f>Яро!C41</f>
        <v>0</v>
      </c>
      <c r="CG29" s="91">
        <f>Яро!D41</f>
        <v>0</v>
      </c>
      <c r="CH29" s="79" t="e">
        <f t="shared" si="29"/>
        <v>#DIV/0!</v>
      </c>
      <c r="CI29" s="79">
        <f>Яро!C42</f>
        <v>637.37</v>
      </c>
      <c r="CJ29" s="79">
        <f>Яро!D42</f>
        <v>242.032</v>
      </c>
      <c r="CK29" s="79">
        <f t="shared" si="30"/>
        <v>37.973547546950755</v>
      </c>
      <c r="CL29" s="79">
        <f>Яро!C43</f>
        <v>103.383</v>
      </c>
      <c r="CM29" s="79">
        <f>Яро!D43</f>
        <v>94.3723</v>
      </c>
      <c r="CN29" s="79">
        <f t="shared" si="31"/>
        <v>91.28415696971456</v>
      </c>
      <c r="CO29" s="79">
        <f>Яро!C45</f>
        <v>186.455</v>
      </c>
      <c r="CP29" s="79">
        <f>Яро!D45</f>
        <v>143.704</v>
      </c>
      <c r="CQ29" s="79">
        <f t="shared" si="32"/>
        <v>77.07167949371161</v>
      </c>
      <c r="CR29" s="83">
        <f>Яро!C46</f>
        <v>0</v>
      </c>
      <c r="CS29" s="79">
        <f>Яро!D46</f>
        <v>0</v>
      </c>
      <c r="CT29" s="79" t="e">
        <f t="shared" si="33"/>
        <v>#DIV/0!</v>
      </c>
      <c r="CU29" s="79"/>
      <c r="CV29" s="79">
        <f>SUM(Яро!D47)</f>
        <v>-2.79688</v>
      </c>
      <c r="CW29" s="79"/>
      <c r="CX29" s="84"/>
      <c r="CY29" s="84"/>
      <c r="CZ29" s="79" t="e">
        <f t="shared" si="34"/>
        <v>#DIV/0!</v>
      </c>
      <c r="DA29" s="79"/>
      <c r="DB29" s="79"/>
      <c r="DC29" s="79"/>
      <c r="DD29" s="79"/>
      <c r="DE29" s="79"/>
      <c r="DF29" s="79"/>
      <c r="DG29" s="84">
        <f t="shared" si="35"/>
        <v>5272.09735</v>
      </c>
      <c r="DH29" s="84">
        <f t="shared" si="36"/>
        <v>2986.57113</v>
      </c>
      <c r="DI29" s="79">
        <f t="shared" si="37"/>
        <v>56.64863396348324</v>
      </c>
      <c r="DJ29" s="84">
        <f t="shared" si="57"/>
        <v>1528.036</v>
      </c>
      <c r="DK29" s="84">
        <f t="shared" si="58"/>
        <v>1224.9087700000002</v>
      </c>
      <c r="DL29" s="79">
        <f t="shared" si="39"/>
        <v>80.16229787779871</v>
      </c>
      <c r="DM29" s="79">
        <f>Яро!C56</f>
        <v>1445.5</v>
      </c>
      <c r="DN29" s="79">
        <f>Яро!D56</f>
        <v>1196.25277</v>
      </c>
      <c r="DO29" s="79">
        <f t="shared" si="40"/>
        <v>82.75702317537184</v>
      </c>
      <c r="DP29" s="79">
        <f>Яро!C59</f>
        <v>8.9</v>
      </c>
      <c r="DQ29" s="79">
        <f>Яро!D59</f>
        <v>8.9</v>
      </c>
      <c r="DR29" s="79">
        <f t="shared" si="41"/>
        <v>100</v>
      </c>
      <c r="DS29" s="79">
        <f>Яро!C60</f>
        <v>50</v>
      </c>
      <c r="DT29" s="79">
        <f>Яро!D60</f>
        <v>0</v>
      </c>
      <c r="DU29" s="79">
        <f t="shared" si="42"/>
        <v>0</v>
      </c>
      <c r="DV29" s="79">
        <f>Яро!C61</f>
        <v>23.636</v>
      </c>
      <c r="DW29" s="79">
        <f>Яро!D61</f>
        <v>19.756</v>
      </c>
      <c r="DX29" s="79">
        <f t="shared" si="43"/>
        <v>83.58436283635133</v>
      </c>
      <c r="DY29" s="79">
        <f>Яро!C62</f>
        <v>103.383</v>
      </c>
      <c r="DZ29" s="79">
        <f>Яро!D62</f>
        <v>15.35981</v>
      </c>
      <c r="EA29" s="79">
        <f t="shared" si="44"/>
        <v>14.857191220993782</v>
      </c>
      <c r="EB29" s="79">
        <f>Яро!C64</f>
        <v>16.31148</v>
      </c>
      <c r="EC29" s="79">
        <f>Яро!D64</f>
        <v>14.31148</v>
      </c>
      <c r="ED29" s="79">
        <f t="shared" si="45"/>
        <v>87.73869691775363</v>
      </c>
      <c r="EE29" s="84">
        <f>Яро!C70</f>
        <v>1491.7593499999998</v>
      </c>
      <c r="EF29" s="84">
        <f>Яро!D70</f>
        <v>427.02454</v>
      </c>
      <c r="EG29" s="79">
        <f t="shared" si="46"/>
        <v>28.62556484060248</v>
      </c>
      <c r="EH29" s="84">
        <f>Яро!C75</f>
        <v>1015.30752</v>
      </c>
      <c r="EI29" s="84">
        <f>Яро!D75</f>
        <v>369.76853</v>
      </c>
      <c r="EJ29" s="79">
        <f t="shared" si="47"/>
        <v>36.41936287441267</v>
      </c>
      <c r="EK29" s="84">
        <f>Яро!C80</f>
        <v>1087.3</v>
      </c>
      <c r="EL29" s="92">
        <f>Яро!D79</f>
        <v>911.25</v>
      </c>
      <c r="EM29" s="79">
        <f t="shared" si="48"/>
        <v>83.80851650878323</v>
      </c>
      <c r="EN29" s="79">
        <f>Яро!C81</f>
        <v>0</v>
      </c>
      <c r="EO29" s="79">
        <f>Яро!D81</f>
        <v>0</v>
      </c>
      <c r="EP29" s="79" t="e">
        <f t="shared" si="49"/>
        <v>#DIV/0!</v>
      </c>
      <c r="EQ29" s="80">
        <f>Яро!C86</f>
        <v>30</v>
      </c>
      <c r="ER29" s="80">
        <f>Яро!D86</f>
        <v>23.948</v>
      </c>
      <c r="ES29" s="79">
        <f t="shared" si="50"/>
        <v>79.82666666666667</v>
      </c>
      <c r="ET29" s="79">
        <f>Яро!C92</f>
        <v>0</v>
      </c>
      <c r="EU29" s="79">
        <f>Яро!D92</f>
        <v>0</v>
      </c>
      <c r="EV29" s="79" t="e">
        <f t="shared" si="51"/>
        <v>#DIV/0!</v>
      </c>
      <c r="EW29" s="88">
        <f t="shared" si="52"/>
        <v>-376.43935000000056</v>
      </c>
      <c r="EX29" s="88">
        <f t="shared" si="53"/>
        <v>693.2729599999998</v>
      </c>
      <c r="EY29" s="79">
        <f t="shared" si="54"/>
        <v>-184.16591145426182</v>
      </c>
      <c r="EZ29" s="93"/>
      <c r="FA29" s="94"/>
      <c r="FC29" s="94"/>
    </row>
    <row r="30" spans="1:256" s="79" customFormat="1" ht="17.25" customHeight="1">
      <c r="A30" s="116"/>
      <c r="B30" s="117"/>
      <c r="C30" s="108"/>
      <c r="D30" s="118"/>
      <c r="F30" s="80"/>
      <c r="G30" s="84"/>
      <c r="I30" s="84"/>
      <c r="J30" s="97"/>
      <c r="V30" s="119"/>
      <c r="X30" s="84"/>
      <c r="Y30" s="84"/>
      <c r="AA30" s="84"/>
      <c r="AB30" s="84"/>
      <c r="AD30" s="84"/>
      <c r="AE30" s="84"/>
      <c r="AM30" s="84"/>
      <c r="AN30" s="84"/>
      <c r="AP30" s="84"/>
      <c r="AQ30" s="84"/>
      <c r="AS30" s="84"/>
      <c r="AT30" s="86"/>
      <c r="AV30" s="84"/>
      <c r="AW30" s="84"/>
      <c r="BA30" s="79" t="e">
        <f t="shared" si="20"/>
        <v>#DIV/0!</v>
      </c>
      <c r="BP30" s="89"/>
      <c r="BV30" s="90"/>
      <c r="BW30" s="90"/>
      <c r="BX30" s="90"/>
      <c r="BY30" s="90"/>
      <c r="BZ30" s="84"/>
      <c r="CA30" s="84"/>
      <c r="CG30" s="91"/>
      <c r="CH30" s="91"/>
      <c r="CR30" s="119"/>
      <c r="CX30" s="84"/>
      <c r="CY30" s="84"/>
      <c r="DG30" s="84"/>
      <c r="DH30" s="84"/>
      <c r="DJ30" s="84"/>
      <c r="DK30" s="120"/>
      <c r="DZ30" s="88"/>
      <c r="EE30" s="84"/>
      <c r="EF30" s="84"/>
      <c r="EH30" s="84"/>
      <c r="EI30" s="84"/>
      <c r="EK30" s="84"/>
      <c r="EL30" s="84"/>
      <c r="EQ30" s="80"/>
      <c r="ER30" s="80"/>
      <c r="EW30" s="88"/>
      <c r="EX30" s="88"/>
      <c r="EY30" s="79" t="e">
        <f t="shared" si="54"/>
        <v>#DIV/0!</v>
      </c>
      <c r="EZ30" s="59"/>
      <c r="FA30" s="94"/>
      <c r="FB30" s="59"/>
      <c r="FC30" s="94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155" s="132" customFormat="1" ht="18.75" customHeight="1">
      <c r="A31" s="452" t="s">
        <v>139</v>
      </c>
      <c r="B31" s="452"/>
      <c r="C31" s="121">
        <f>SUM(C14:C29)</f>
        <v>233769.88932</v>
      </c>
      <c r="D31" s="121">
        <f>SUM(D14:D29)</f>
        <v>177710.7839</v>
      </c>
      <c r="E31" s="122">
        <f>D31/C31*100</f>
        <v>76.01953545725365</v>
      </c>
      <c r="F31" s="123">
        <f>SUM(F14:F29)</f>
        <v>44078.729640000005</v>
      </c>
      <c r="G31" s="122">
        <f>SUM(G14:G29)</f>
        <v>38680.21106</v>
      </c>
      <c r="H31" s="122">
        <f>G31/F31*100</f>
        <v>87.75255406838897</v>
      </c>
      <c r="I31" s="122">
        <f>SUM(I14:I29)</f>
        <v>6745.44</v>
      </c>
      <c r="J31" s="124">
        <f>SUM(J14:J29)</f>
        <v>5591.042730000001</v>
      </c>
      <c r="K31" s="122">
        <f>J31/I31*100</f>
        <v>82.88625693802038</v>
      </c>
      <c r="L31" s="122">
        <f>SUM(L14:L29)</f>
        <v>3399.7400000000007</v>
      </c>
      <c r="M31" s="122">
        <f>SUM(M14:M29)</f>
        <v>4232.49694</v>
      </c>
      <c r="N31" s="122">
        <f>M31/L31*100</f>
        <v>124.49472430244664</v>
      </c>
      <c r="O31" s="122">
        <f>SUM(O14:O29)</f>
        <v>36.059999999999995</v>
      </c>
      <c r="P31" s="122">
        <f>SUM(P14:P29)</f>
        <v>30.021910000000002</v>
      </c>
      <c r="Q31" s="122">
        <f>P31/O31*100</f>
        <v>83.25543538546867</v>
      </c>
      <c r="R31" s="122">
        <f>SUM(R14:R29)</f>
        <v>5697.9</v>
      </c>
      <c r="S31" s="122">
        <f>SUM(S14:S29)</f>
        <v>5688.66337</v>
      </c>
      <c r="T31" s="122">
        <f>S31/R31*100</f>
        <v>99.83789413643625</v>
      </c>
      <c r="U31" s="122">
        <f>SUM(U14:U29)</f>
        <v>0</v>
      </c>
      <c r="V31" s="122">
        <f>SUM(V14:V29)</f>
        <v>-717.1320400000001</v>
      </c>
      <c r="W31" s="122" t="e">
        <f>V31/U31*100</f>
        <v>#DIV/0!</v>
      </c>
      <c r="X31" s="122">
        <f>SUM(X14:X29)</f>
        <v>694.8</v>
      </c>
      <c r="Y31" s="122">
        <f>SUM(Y14:Y29)</f>
        <v>506.99785</v>
      </c>
      <c r="Z31" s="122">
        <f>Y31/X31*100</f>
        <v>72.9703295912493</v>
      </c>
      <c r="AA31" s="122">
        <f>SUM(AA14:AA29)</f>
        <v>6050</v>
      </c>
      <c r="AB31" s="122">
        <f>SUM(AB14:AB29)</f>
        <v>4356.295789999999</v>
      </c>
      <c r="AC31" s="122">
        <f>AB31/AA31*100</f>
        <v>72.00488909090907</v>
      </c>
      <c r="AD31" s="122">
        <f>SUM(AD14:AD29)</f>
        <v>16957</v>
      </c>
      <c r="AE31" s="122">
        <f>SUM(AE14:AE29)</f>
        <v>14230.56106</v>
      </c>
      <c r="AF31" s="122">
        <f>AE31/AD31*100</f>
        <v>83.9214546205107</v>
      </c>
      <c r="AG31" s="121">
        <f>SUM(AG14:AG29)</f>
        <v>118</v>
      </c>
      <c r="AH31" s="122">
        <f>SUM(AH14:AH29)</f>
        <v>52.615</v>
      </c>
      <c r="AI31" s="79">
        <f>AH31/AG31*100</f>
        <v>44.58898305084746</v>
      </c>
      <c r="AJ31" s="122">
        <f>AJ14+AJ15+AJ16+AJ17+AJ18+AJ19+AJ20+AJ21+AJ22+AJ23+AJ24+AJ25+AJ26+AJ27+AJ28+AJ29</f>
        <v>0</v>
      </c>
      <c r="AK31" s="122">
        <f>AK14+AK15+AK16+AK17+AK18+AK19+AK20+AK21+AK22+AK23+AK24+AK25+AK26+AK27+AK28+AK29</f>
        <v>0</v>
      </c>
      <c r="AL31" s="79" t="e">
        <f>AK31/AJ31*100</f>
        <v>#DIV/0!</v>
      </c>
      <c r="AM31" s="122">
        <f>SUM(AM14:AM29)</f>
        <v>0</v>
      </c>
      <c r="AN31" s="122">
        <f>SUM(AN14:AN29)</f>
        <v>0</v>
      </c>
      <c r="AO31" s="122" t="e">
        <f>AN31/AM31*100</f>
        <v>#DIV/0!</v>
      </c>
      <c r="AP31" s="122">
        <f>SUM(AP14:AP29)</f>
        <v>2598.3999999999996</v>
      </c>
      <c r="AQ31" s="122">
        <f>SUM(AQ14:AQ29)</f>
        <v>2780.1130199999993</v>
      </c>
      <c r="AR31" s="122">
        <f>AQ31/AP31*100</f>
        <v>106.99326585591132</v>
      </c>
      <c r="AS31" s="122">
        <f>SUM(AS14:AS29)</f>
        <v>390.79999999999995</v>
      </c>
      <c r="AT31" s="122">
        <f>SUM(AT14:AT29)</f>
        <v>291.35394</v>
      </c>
      <c r="AU31" s="122">
        <f>AT31/AS31*100</f>
        <v>74.55320880245651</v>
      </c>
      <c r="AV31" s="122">
        <f>SUM(AV14:AV29)</f>
        <v>0</v>
      </c>
      <c r="AW31" s="122">
        <f>SUM(AW14:AW29)</f>
        <v>0</v>
      </c>
      <c r="AX31" s="122" t="e">
        <f>AW31/AV31*100</f>
        <v>#DIV/0!</v>
      </c>
      <c r="AY31" s="122">
        <f>SUM(AY14:AY29)</f>
        <v>875</v>
      </c>
      <c r="AZ31" s="122">
        <f>SUM(AZ14:AZ29)</f>
        <v>855.0318199999999</v>
      </c>
      <c r="BA31" s="79">
        <f t="shared" si="20"/>
        <v>97.71792228571428</v>
      </c>
      <c r="BB31" s="79">
        <f>SUM(BB14:BB29)</f>
        <v>0</v>
      </c>
      <c r="BC31" s="79">
        <f>SUM(BC14:BC29)</f>
        <v>0</v>
      </c>
      <c r="BD31" s="79" t="e">
        <f>BC31/BB31*100</f>
        <v>#DIV/0!</v>
      </c>
      <c r="BE31" s="123">
        <f>SUM(BE14:BE29)</f>
        <v>515.58964</v>
      </c>
      <c r="BF31" s="122">
        <f>SUM(BF14:BF29)</f>
        <v>241.77784</v>
      </c>
      <c r="BG31" s="122">
        <f>BF31/BE31*100</f>
        <v>46.89346356920592</v>
      </c>
      <c r="BH31" s="122">
        <f>SUM(BH14:BH29)</f>
        <v>0</v>
      </c>
      <c r="BI31" s="122">
        <f>SUM(BI14:BI29)</f>
        <v>0</v>
      </c>
      <c r="BJ31" s="122" t="e">
        <f>BI31/BH31*100</f>
        <v>#DIV/0!</v>
      </c>
      <c r="BK31" s="122">
        <f>SUM(BK14:BK29)</f>
        <v>0</v>
      </c>
      <c r="BL31" s="122">
        <f>BL15+BL27+BL28+BL19+BL22+BL26+BL18</f>
        <v>0</v>
      </c>
      <c r="BM31" s="122" t="e">
        <f>BL31/BK31*100</f>
        <v>#DIV/0!</v>
      </c>
      <c r="BN31" s="122">
        <f>BN14+BN15+BN16+BN17+BN18+BN19+BN20+BN21+BN22+BN23+BN24+BN25+BN26+BN27+BN28+BN29</f>
        <v>0</v>
      </c>
      <c r="BO31" s="122">
        <f>BO14+BO15+BO16+BO17+BO18+BO19+BO20+BO21+BO22+BO23+BO24+BO25+BO26+BO27+BO28+BO29</f>
        <v>287.02312</v>
      </c>
      <c r="BP31" s="125" t="e">
        <f>BO31/BN31*100</f>
        <v>#DIV/0!</v>
      </c>
      <c r="BQ31" s="122">
        <f>SUM(BQ14:BQ29)</f>
        <v>0</v>
      </c>
      <c r="BR31" s="122">
        <f>SUM(BR14:BR29)</f>
        <v>253.34870999999998</v>
      </c>
      <c r="BS31" s="122" t="e">
        <f>BR31/BQ31*100</f>
        <v>#DIV/0!</v>
      </c>
      <c r="BT31" s="122">
        <f>SUM(BT14:BT29)</f>
        <v>0</v>
      </c>
      <c r="BU31" s="122"/>
      <c r="BV31" s="122" t="e">
        <f aca="true" t="shared" si="59" ref="BV31:CA31">SUM(BV14:BV29)</f>
        <v>#DIV/0!</v>
      </c>
      <c r="BW31" s="122">
        <f t="shared" si="59"/>
        <v>0</v>
      </c>
      <c r="BX31" s="122">
        <f t="shared" si="59"/>
        <v>0</v>
      </c>
      <c r="BY31" s="126" t="e">
        <f t="shared" si="59"/>
        <v>#DIV/0!</v>
      </c>
      <c r="BZ31" s="123">
        <f t="shared" si="59"/>
        <v>189691.15967999995</v>
      </c>
      <c r="CA31" s="122">
        <f t="shared" si="59"/>
        <v>139030.57284</v>
      </c>
      <c r="CB31" s="122">
        <f>CA31/BZ31*100</f>
        <v>73.29312186953679</v>
      </c>
      <c r="CC31" s="122">
        <f>SUM(CC14:CC29)</f>
        <v>53535.399999999994</v>
      </c>
      <c r="CD31" s="122">
        <f>SUM(CD14:CD29)</f>
        <v>49074.475999999995</v>
      </c>
      <c r="CE31" s="122">
        <f>CD31/CC31*100</f>
        <v>91.66733787363128</v>
      </c>
      <c r="CF31" s="123">
        <f>SUM(CF14:CF29)</f>
        <v>0</v>
      </c>
      <c r="CG31" s="127">
        <f>SUM(CG14:CG29)</f>
        <v>0</v>
      </c>
      <c r="CH31" s="127" t="e">
        <f>CG31/CF31*100</f>
        <v>#DIV/0!</v>
      </c>
      <c r="CI31" s="122">
        <f>SUM(CI14:CI29)</f>
        <v>90486.46253</v>
      </c>
      <c r="CJ31" s="122">
        <f>SUM(CJ14:CJ29)</f>
        <v>63506.62679999999</v>
      </c>
      <c r="CK31" s="122">
        <f>CJ31/CI31*100</f>
        <v>70.18356671744674</v>
      </c>
      <c r="CL31" s="122">
        <f>SUM(CL14:CL29)</f>
        <v>9706.412049999999</v>
      </c>
      <c r="CM31" s="122">
        <f>SUM(CM14:CM29)</f>
        <v>2188.4</v>
      </c>
      <c r="CN31" s="122">
        <f>CM31/CL31*100</f>
        <v>22.5459210749249</v>
      </c>
      <c r="CO31" s="128">
        <f>SUM(CO14:CO29)</f>
        <v>31214.135950000004</v>
      </c>
      <c r="CP31" s="129">
        <f>SUM(CP14:CP29)</f>
        <v>20467.887470000005</v>
      </c>
      <c r="CQ31" s="122">
        <f>CP31/CO31*100</f>
        <v>65.57249415068304</v>
      </c>
      <c r="CR31" s="122">
        <f>SUM(CR14:CR29)</f>
        <v>4748.749150000001</v>
      </c>
      <c r="CS31" s="122">
        <f>SUM(CS14:CS29)</f>
        <v>4263.79404</v>
      </c>
      <c r="CT31" s="122">
        <f>CS31/CR31*100</f>
        <v>89.78772946976994</v>
      </c>
      <c r="CU31" s="122">
        <f>SUM(CU14:CU29)</f>
        <v>0</v>
      </c>
      <c r="CV31" s="122">
        <f>SUM(CV14:CV29)</f>
        <v>-470.61146999999994</v>
      </c>
      <c r="CW31" s="122" t="e">
        <f>CV31/CU31*100</f>
        <v>#DIV/0!</v>
      </c>
      <c r="CX31" s="122">
        <f>SUM(CX14:CX29)</f>
        <v>0</v>
      </c>
      <c r="CY31" s="122">
        <f>SUM(CY14:CY29)</f>
        <v>0</v>
      </c>
      <c r="CZ31" s="122" t="e">
        <f>CY31/CX31*100</f>
        <v>#DIV/0!</v>
      </c>
      <c r="DA31" s="122">
        <f>DA14+DA15+DA16+DA17+DA18+DA19+DA20+DA21+DA22+DA23+DA24+DA25+DA26+DA27+DA28+DA29</f>
        <v>0</v>
      </c>
      <c r="DB31" s="122">
        <f>DB14+DB15+DB16+DB17+DB18+DB19+DB20+DB21+DB22+DB23+DB24+DB25+DB26+DB27+DB28+DB29</f>
        <v>0</v>
      </c>
      <c r="DC31" s="122" t="e">
        <f>DB31/DA31*100</f>
        <v>#DIV/0!</v>
      </c>
      <c r="DD31" s="122">
        <f>DD14+DD15+DD16+DD17+DD18+DD19+DD20+DD21+DD22+DD23+DD24+DD25+DD26+DD27+DD28+DD29</f>
        <v>0</v>
      </c>
      <c r="DE31" s="122">
        <f>DE14+DE15+DE16+DE17+DE18+DE19+DE20+DE21+DE22+DE23+DE24+DE25+DE26+DE27+DE28+DE29</f>
        <v>0</v>
      </c>
      <c r="DF31" s="122">
        <v>0</v>
      </c>
      <c r="DG31" s="123">
        <f>SUM(DG14:DG29)</f>
        <v>241242.01377000002</v>
      </c>
      <c r="DH31" s="123">
        <f>SUM(DH14:DH29)</f>
        <v>170415.60072</v>
      </c>
      <c r="DI31" s="122">
        <f>DH31/DG31*100</f>
        <v>70.64092943713946</v>
      </c>
      <c r="DJ31" s="123">
        <f>SUM(DJ14:DJ29)</f>
        <v>29445.850229999993</v>
      </c>
      <c r="DK31" s="130">
        <f>SUM(DK14:DK29)</f>
        <v>23874.85829</v>
      </c>
      <c r="DL31" s="122">
        <f>DK31/DJ31*100</f>
        <v>81.0805532987322</v>
      </c>
      <c r="DM31" s="122">
        <f>SUM(DM14:DM29)</f>
        <v>27685.484999999997</v>
      </c>
      <c r="DN31" s="123">
        <f>SUM(DN14:DN29)</f>
        <v>23081.820060000002</v>
      </c>
      <c r="DO31" s="122">
        <f>DN31/DM31*100</f>
        <v>83.37155755082493</v>
      </c>
      <c r="DP31" s="122">
        <f>SUM(DP14:DP29)</f>
        <v>112.58</v>
      </c>
      <c r="DQ31" s="122">
        <f>SUM(DQ14:DQ29)</f>
        <v>112.58</v>
      </c>
      <c r="DR31" s="122">
        <f>DQ31/DP31*100</f>
        <v>100</v>
      </c>
      <c r="DS31" s="123">
        <f>SUM(DS14:DS29)</f>
        <v>849.977</v>
      </c>
      <c r="DT31" s="122">
        <f>SUM(DT14:DT29)</f>
        <v>0</v>
      </c>
      <c r="DU31" s="122">
        <f>DT31/DS31*100</f>
        <v>0</v>
      </c>
      <c r="DV31" s="122">
        <f>SUM(DV14:DV29)</f>
        <v>797.80823</v>
      </c>
      <c r="DW31" s="122">
        <f>SUM(DW14:DW29)</f>
        <v>680.4582300000001</v>
      </c>
      <c r="DX31" s="79">
        <f>DW31/DV31*100</f>
        <v>85.29095143578552</v>
      </c>
      <c r="DY31" s="122">
        <f>SUM(DY14:DY29)</f>
        <v>2384.6</v>
      </c>
      <c r="DZ31" s="123">
        <f>SUM(DZ14:DZ29)</f>
        <v>1747.9085600000003</v>
      </c>
      <c r="EA31" s="122">
        <f>DZ31/DY31*100</f>
        <v>73.29986412815568</v>
      </c>
      <c r="EB31" s="123">
        <f>SUM(EB14:EB29)</f>
        <v>841.2074399999999</v>
      </c>
      <c r="EC31" s="123">
        <f>SUM(EC14:EC29)</f>
        <v>366.69668</v>
      </c>
      <c r="ED31" s="79">
        <f>EC31/EB31*100</f>
        <v>43.591706701975916</v>
      </c>
      <c r="EE31" s="122">
        <f>SUM(EE14:EE29)</f>
        <v>47353.95978</v>
      </c>
      <c r="EF31" s="123">
        <f>SUM(EF14:EF29)</f>
        <v>37396.55464</v>
      </c>
      <c r="EG31" s="122">
        <f>EF31/EE31*100</f>
        <v>78.97239177829957</v>
      </c>
      <c r="EH31" s="122">
        <f>SUM(EH14:EH29)</f>
        <v>128116.75425</v>
      </c>
      <c r="EI31" s="123">
        <f>SUM(EI14:EI29)</f>
        <v>81811.72305999999</v>
      </c>
      <c r="EJ31" s="122">
        <f>EI31/EH31*100</f>
        <v>63.857161804424955</v>
      </c>
      <c r="EK31" s="123">
        <f>SUM(EK14:EK29)</f>
        <v>32750.10707</v>
      </c>
      <c r="EL31" s="123">
        <f>SUM(EL14:EL29)</f>
        <v>25033.245489999998</v>
      </c>
      <c r="EM31" s="122">
        <f>EL31/EK31*100</f>
        <v>76.43714091222358</v>
      </c>
      <c r="EN31" s="123">
        <f>SUM(EN14:EN29)</f>
        <v>5</v>
      </c>
      <c r="EO31" s="123">
        <f>SUM(EO14:EO29)</f>
        <v>5</v>
      </c>
      <c r="EP31" s="122">
        <f>EO31/EN31*100</f>
        <v>100</v>
      </c>
      <c r="EQ31" s="122">
        <f>SUM(EQ14:EQ29)</f>
        <v>344.535</v>
      </c>
      <c r="ER31" s="122">
        <f>SUM(ER14:ER29)</f>
        <v>179.614</v>
      </c>
      <c r="ES31" s="122">
        <f>ER31/EQ31*100</f>
        <v>52.13229425167254</v>
      </c>
      <c r="ET31" s="122">
        <f>SUM(ET14:ET29)</f>
        <v>0</v>
      </c>
      <c r="EU31" s="121">
        <f>SUM(EU14:EU29)</f>
        <v>0</v>
      </c>
      <c r="EV31" s="79" t="e">
        <f>EU31/ET31*100</f>
        <v>#DIV/0!</v>
      </c>
      <c r="EW31" s="131">
        <f>SUM(EW14:EW29)</f>
        <v>-7472.124450000016</v>
      </c>
      <c r="EX31" s="128">
        <f>SUM(EX14:EX29)</f>
        <v>7295.183180000009</v>
      </c>
      <c r="EY31" s="79">
        <f t="shared" si="54"/>
        <v>-97.63198175854785</v>
      </c>
    </row>
    <row r="32" spans="3:154" s="133" customFormat="1" ht="27.75" customHeight="1">
      <c r="C32" s="134">
        <v>233769.88932</v>
      </c>
      <c r="D32" s="134">
        <v>177710.7839</v>
      </c>
      <c r="E32" s="134"/>
      <c r="F32" s="134">
        <v>44078.72964</v>
      </c>
      <c r="G32" s="134">
        <v>38680.21106</v>
      </c>
      <c r="H32" s="134"/>
      <c r="I32" s="134">
        <v>6745.44</v>
      </c>
      <c r="J32" s="134">
        <v>5591.04273</v>
      </c>
      <c r="K32" s="134"/>
      <c r="L32" s="134">
        <v>3399.74</v>
      </c>
      <c r="M32" s="134">
        <v>4232.49694</v>
      </c>
      <c r="N32" s="134"/>
      <c r="O32" s="134">
        <v>36.06</v>
      </c>
      <c r="P32" s="134">
        <v>30.02191</v>
      </c>
      <c r="Q32" s="134"/>
      <c r="R32" s="134">
        <v>5697.9</v>
      </c>
      <c r="S32" s="134">
        <v>5688.66337</v>
      </c>
      <c r="T32" s="134"/>
      <c r="U32" s="134" t="e">
        <f>NA()</f>
        <v>#N/A</v>
      </c>
      <c r="V32" s="134">
        <v>-717.13204</v>
      </c>
      <c r="W32" s="134"/>
      <c r="X32" s="134">
        <v>694.8</v>
      </c>
      <c r="Y32" s="134">
        <v>506.99785</v>
      </c>
      <c r="Z32" s="134"/>
      <c r="AA32" s="134">
        <v>6050</v>
      </c>
      <c r="AB32" s="134">
        <v>4356.29579</v>
      </c>
      <c r="AC32" s="134"/>
      <c r="AD32" s="134">
        <v>16957</v>
      </c>
      <c r="AE32" s="134">
        <v>14230.56106</v>
      </c>
      <c r="AF32" s="134"/>
      <c r="AG32" s="134">
        <v>118</v>
      </c>
      <c r="AH32" s="134">
        <v>52.615</v>
      </c>
      <c r="AI32" s="134"/>
      <c r="AJ32" s="134" t="e">
        <f>NA()</f>
        <v>#N/A</v>
      </c>
      <c r="AK32" s="134" t="e">
        <f>NA()</f>
        <v>#N/A</v>
      </c>
      <c r="AL32" s="134"/>
      <c r="AM32" s="134" t="e">
        <f>NA()</f>
        <v>#N/A</v>
      </c>
      <c r="AN32" s="134" t="e">
        <f>NA()</f>
        <v>#N/A</v>
      </c>
      <c r="AO32" s="134"/>
      <c r="AP32" s="134">
        <v>2598.4</v>
      </c>
      <c r="AQ32" s="134">
        <v>2780.11302</v>
      </c>
      <c r="AR32" s="134"/>
      <c r="AS32" s="134">
        <v>390.8</v>
      </c>
      <c r="AT32" s="134">
        <v>291.35394</v>
      </c>
      <c r="AU32" s="134"/>
      <c r="AV32" s="134" t="e">
        <f>NA()</f>
        <v>#N/A</v>
      </c>
      <c r="AW32" s="134" t="e">
        <f>NA()</f>
        <v>#N/A</v>
      </c>
      <c r="AX32" s="134" t="e">
        <f>NA()</f>
        <v>#N/A</v>
      </c>
      <c r="AY32" s="134">
        <v>875</v>
      </c>
      <c r="AZ32" s="134">
        <v>855.03182</v>
      </c>
      <c r="BA32" s="134"/>
      <c r="BB32" s="134" t="e">
        <f>NA()</f>
        <v>#N/A</v>
      </c>
      <c r="BC32" s="134" t="e">
        <f>NA()</f>
        <v>#N/A</v>
      </c>
      <c r="BD32" s="134" t="e">
        <f>NA()</f>
        <v>#N/A</v>
      </c>
      <c r="BE32" s="134">
        <v>515.58964</v>
      </c>
      <c r="BF32" s="134">
        <v>241.77784</v>
      </c>
      <c r="BG32" s="134"/>
      <c r="BH32" s="134" t="e">
        <f>NA()</f>
        <v>#N/A</v>
      </c>
      <c r="BI32" s="134" t="e">
        <f>NA()</f>
        <v>#N/A</v>
      </c>
      <c r="BJ32" s="134" t="e">
        <f>NA()</f>
        <v>#N/A</v>
      </c>
      <c r="BK32" s="134" t="e">
        <f>NA()</f>
        <v>#N/A</v>
      </c>
      <c r="BL32" s="134" t="e">
        <f>NA()</f>
        <v>#N/A</v>
      </c>
      <c r="BM32" s="134" t="e">
        <f>NA()</f>
        <v>#N/A</v>
      </c>
      <c r="BN32" s="134">
        <v>0</v>
      </c>
      <c r="BO32" s="134">
        <v>287.02312</v>
      </c>
      <c r="BP32" s="134"/>
      <c r="BQ32" s="134" t="e">
        <f>NA()</f>
        <v>#N/A</v>
      </c>
      <c r="BR32" s="134">
        <v>253.34871</v>
      </c>
      <c r="BS32" s="134"/>
      <c r="BT32" s="134" t="e">
        <f>NA()</f>
        <v>#N/A</v>
      </c>
      <c r="BU32" s="134" t="e">
        <f>NA()</f>
        <v>#N/A</v>
      </c>
      <c r="BV32" s="134" t="e">
        <f>NA()</f>
        <v>#N/A</v>
      </c>
      <c r="BW32" s="134" t="e">
        <f>NA()</f>
        <v>#N/A</v>
      </c>
      <c r="BX32" s="134" t="e">
        <f>NA()</f>
        <v>#N/A</v>
      </c>
      <c r="BY32" s="134" t="e">
        <f>NA()</f>
        <v>#N/A</v>
      </c>
      <c r="BZ32" s="134">
        <v>189691.15968</v>
      </c>
      <c r="CA32" s="134">
        <v>139030.57284</v>
      </c>
      <c r="CB32" s="134"/>
      <c r="CC32" s="134">
        <v>53535.4</v>
      </c>
      <c r="CD32" s="134">
        <v>49074.476</v>
      </c>
      <c r="CE32" s="134"/>
      <c r="CF32" s="134">
        <v>0</v>
      </c>
      <c r="CG32" s="134">
        <v>0</v>
      </c>
      <c r="CH32" s="134"/>
      <c r="CI32" s="134">
        <v>90486.46253</v>
      </c>
      <c r="CJ32" s="134">
        <v>63506.6268</v>
      </c>
      <c r="CK32" s="134"/>
      <c r="CL32" s="134">
        <v>9706.41205</v>
      </c>
      <c r="CM32" s="134">
        <v>2188.4</v>
      </c>
      <c r="CN32" s="134"/>
      <c r="CO32" s="134">
        <v>31214.13595</v>
      </c>
      <c r="CP32" s="134">
        <v>20467.88747</v>
      </c>
      <c r="CQ32" s="134"/>
      <c r="CR32" s="134">
        <v>4748.74915</v>
      </c>
      <c r="CS32" s="134">
        <v>4263.79404</v>
      </c>
      <c r="CT32" s="134"/>
      <c r="CU32" s="134" t="e">
        <f>NA()</f>
        <v>#N/A</v>
      </c>
      <c r="CV32" s="134">
        <v>-470.61147</v>
      </c>
      <c r="CW32" s="134"/>
      <c r="CX32" s="134" t="e">
        <f>NA()</f>
        <v>#N/A</v>
      </c>
      <c r="CY32" s="134" t="e">
        <f>NA()</f>
        <v>#N/A</v>
      </c>
      <c r="CZ32" s="134" t="e">
        <f>NA()</f>
        <v>#N/A</v>
      </c>
      <c r="DA32" s="134" t="e">
        <f>NA()</f>
        <v>#N/A</v>
      </c>
      <c r="DB32" s="134" t="e">
        <f>NA()</f>
        <v>#N/A</v>
      </c>
      <c r="DC32" s="134" t="e">
        <f>NA()</f>
        <v>#N/A</v>
      </c>
      <c r="DD32" s="134" t="e">
        <f>NA()</f>
        <v>#N/A</v>
      </c>
      <c r="DE32" s="134" t="e">
        <f>NA()</f>
        <v>#N/A</v>
      </c>
      <c r="DF32" s="134"/>
      <c r="DG32" s="134">
        <v>241242.01377</v>
      </c>
      <c r="DH32" s="134">
        <v>170415.60072</v>
      </c>
      <c r="DI32" s="134"/>
      <c r="DJ32" s="134">
        <v>29445.85023</v>
      </c>
      <c r="DK32" s="134">
        <v>23874.85829</v>
      </c>
      <c r="DL32" s="134"/>
      <c r="DM32" s="134">
        <v>27685.485</v>
      </c>
      <c r="DN32" s="134">
        <v>23081.82006</v>
      </c>
      <c r="DO32" s="134"/>
      <c r="DP32" s="134">
        <v>112.58</v>
      </c>
      <c r="DQ32" s="134">
        <v>112.58</v>
      </c>
      <c r="DR32" s="134"/>
      <c r="DS32" s="134">
        <v>849.977</v>
      </c>
      <c r="DT32" s="134" t="e">
        <f>NA()</f>
        <v>#N/A</v>
      </c>
      <c r="DU32" s="134"/>
      <c r="DV32" s="134">
        <v>797.80823</v>
      </c>
      <c r="DW32" s="134">
        <v>680.45823</v>
      </c>
      <c r="DX32" s="134"/>
      <c r="DY32" s="134">
        <v>2384.6</v>
      </c>
      <c r="DZ32" s="134">
        <v>1747.90856</v>
      </c>
      <c r="EA32" s="134"/>
      <c r="EB32" s="134">
        <v>841.20744</v>
      </c>
      <c r="EC32" s="134">
        <v>366.69668</v>
      </c>
      <c r="ED32" s="134"/>
      <c r="EE32" s="134">
        <v>47353.95978</v>
      </c>
      <c r="EF32" s="134">
        <v>37396.55464</v>
      </c>
      <c r="EG32" s="134"/>
      <c r="EH32" s="134">
        <v>128116.75425</v>
      </c>
      <c r="EI32" s="134">
        <v>81811.72306</v>
      </c>
      <c r="EJ32" s="134"/>
      <c r="EK32" s="134">
        <v>32750.10707</v>
      </c>
      <c r="EL32" s="134">
        <v>25033.24549</v>
      </c>
      <c r="EM32" s="134"/>
      <c r="EN32" s="134">
        <v>5</v>
      </c>
      <c r="EO32" s="134">
        <v>5</v>
      </c>
      <c r="EP32" s="134"/>
      <c r="EQ32" s="134">
        <v>344.535</v>
      </c>
      <c r="ER32" s="134">
        <v>179.614</v>
      </c>
      <c r="ES32" s="134"/>
      <c r="ET32" s="134" t="e">
        <f>NA()</f>
        <v>#N/A</v>
      </c>
      <c r="EU32" s="134" t="e">
        <f>NA()</f>
        <v>#N/A</v>
      </c>
      <c r="EV32" s="134"/>
      <c r="EW32" s="134">
        <v>-7472.12445</v>
      </c>
      <c r="EX32" s="134">
        <v>7295.18318</v>
      </c>
    </row>
    <row r="33" spans="3:155" ht="15">
      <c r="C33" s="134">
        <f>C32-C31</f>
        <v>0</v>
      </c>
      <c r="D33" s="134">
        <f>D32-D31</f>
        <v>0</v>
      </c>
      <c r="E33" s="134"/>
      <c r="F33" s="134">
        <f>F32-F31</f>
        <v>0</v>
      </c>
      <c r="G33" s="134">
        <f>G32-G31</f>
        <v>0</v>
      </c>
      <c r="H33" s="134"/>
      <c r="I33" s="134">
        <f>I32-I31</f>
        <v>0</v>
      </c>
      <c r="J33" s="134">
        <f>J32-J31</f>
        <v>0</v>
      </c>
      <c r="K33" s="134"/>
      <c r="L33" s="134">
        <f>L32-L31</f>
        <v>0</v>
      </c>
      <c r="M33" s="134">
        <f>M32-M31</f>
        <v>0</v>
      </c>
      <c r="N33" s="134"/>
      <c r="O33" s="134">
        <f>O32-O31</f>
        <v>0</v>
      </c>
      <c r="P33" s="134">
        <f>P32-P31</f>
        <v>0</v>
      </c>
      <c r="Q33" s="134"/>
      <c r="R33" s="134">
        <f>R32-R31</f>
        <v>0</v>
      </c>
      <c r="S33" s="134">
        <f>S32-S31</f>
        <v>0</v>
      </c>
      <c r="T33" s="134"/>
      <c r="U33" s="134" t="e">
        <f>U32-U31</f>
        <v>#N/A</v>
      </c>
      <c r="V33" s="134">
        <f>V32-V31</f>
        <v>0</v>
      </c>
      <c r="W33" s="134"/>
      <c r="X33" s="134">
        <f>X32-X31</f>
        <v>0</v>
      </c>
      <c r="Y33" s="134">
        <f>SUM(Y32-Y31)</f>
        <v>0</v>
      </c>
      <c r="Z33" s="134"/>
      <c r="AA33" s="134">
        <f>AA32-AA31</f>
        <v>0</v>
      </c>
      <c r="AB33" s="134">
        <f>AB32-AB31</f>
        <v>0</v>
      </c>
      <c r="AC33" s="134"/>
      <c r="AD33" s="134">
        <f>AD32-AD31</f>
        <v>0</v>
      </c>
      <c r="AE33" s="134">
        <f>AE32-AE31</f>
        <v>0</v>
      </c>
      <c r="AF33" s="134"/>
      <c r="AG33" s="134">
        <f>AG32-AG31</f>
        <v>0</v>
      </c>
      <c r="AH33" s="134">
        <f>AH32-AH31</f>
        <v>0</v>
      </c>
      <c r="AI33" s="134"/>
      <c r="AJ33" s="134" t="e">
        <f aca="true" t="shared" si="60" ref="AJ33:AQ33">AJ32-AJ31</f>
        <v>#N/A</v>
      </c>
      <c r="AK33" s="134" t="e">
        <f t="shared" si="60"/>
        <v>#N/A</v>
      </c>
      <c r="AL33" s="134" t="e">
        <f t="shared" si="60"/>
        <v>#DIV/0!</v>
      </c>
      <c r="AM33" s="134" t="e">
        <f t="shared" si="60"/>
        <v>#N/A</v>
      </c>
      <c r="AN33" s="134" t="e">
        <f t="shared" si="60"/>
        <v>#N/A</v>
      </c>
      <c r="AO33" s="134" t="e">
        <f t="shared" si="60"/>
        <v>#DIV/0!</v>
      </c>
      <c r="AP33" s="134">
        <f t="shared" si="60"/>
        <v>0</v>
      </c>
      <c r="AQ33" s="134">
        <f t="shared" si="60"/>
        <v>0</v>
      </c>
      <c r="AR33" s="134"/>
      <c r="AS33" s="134">
        <f>AS32-AS31</f>
        <v>0</v>
      </c>
      <c r="AT33" s="134">
        <f>AT32-AT31</f>
        <v>0</v>
      </c>
      <c r="AU33" s="134"/>
      <c r="AV33" s="134" t="e">
        <f>AV32-AV31</f>
        <v>#N/A</v>
      </c>
      <c r="AW33" s="134" t="e">
        <f>AW32-AW31</f>
        <v>#N/A</v>
      </c>
      <c r="AX33" s="134" t="e">
        <f>AX32-AX31</f>
        <v>#N/A</v>
      </c>
      <c r="AY33" s="134">
        <f>AY32-AY31</f>
        <v>0</v>
      </c>
      <c r="AZ33" s="134">
        <f>AZ32-AZ31</f>
        <v>0</v>
      </c>
      <c r="BA33" s="134"/>
      <c r="BB33" s="134" t="e">
        <f>BB32-BB31</f>
        <v>#N/A</v>
      </c>
      <c r="BC33" s="134" t="e">
        <f>BC32-BC31</f>
        <v>#N/A</v>
      </c>
      <c r="BD33" s="134" t="e">
        <f>BD32-BD31</f>
        <v>#N/A</v>
      </c>
      <c r="BE33" s="134">
        <f>BE32-BE31</f>
        <v>0</v>
      </c>
      <c r="BF33" s="134">
        <f>BF32-BF31</f>
        <v>0</v>
      </c>
      <c r="BG33" s="134"/>
      <c r="BH33" s="134" t="e">
        <f aca="true" t="shared" si="61" ref="BH33:BO33">BH32-BH31</f>
        <v>#N/A</v>
      </c>
      <c r="BI33" s="134" t="e">
        <f t="shared" si="61"/>
        <v>#N/A</v>
      </c>
      <c r="BJ33" s="134" t="e">
        <f t="shared" si="61"/>
        <v>#N/A</v>
      </c>
      <c r="BK33" s="134" t="e">
        <f t="shared" si="61"/>
        <v>#N/A</v>
      </c>
      <c r="BL33" s="134" t="e">
        <f t="shared" si="61"/>
        <v>#N/A</v>
      </c>
      <c r="BM33" s="134" t="e">
        <f t="shared" si="61"/>
        <v>#N/A</v>
      </c>
      <c r="BN33" s="134">
        <f t="shared" si="61"/>
        <v>0</v>
      </c>
      <c r="BO33" s="134">
        <f t="shared" si="61"/>
        <v>0</v>
      </c>
      <c r="BP33" s="134"/>
      <c r="BQ33" s="134" t="e">
        <f>BQ32-BQ31</f>
        <v>#N/A</v>
      </c>
      <c r="BR33" s="134">
        <f>BR32-BR31</f>
        <v>0</v>
      </c>
      <c r="BS33" s="134"/>
      <c r="BT33" s="134" t="e">
        <f aca="true" t="shared" si="62" ref="BT33:CA33">BT32-BT31</f>
        <v>#N/A</v>
      </c>
      <c r="BU33" s="134" t="e">
        <f t="shared" si="62"/>
        <v>#N/A</v>
      </c>
      <c r="BV33" s="134" t="e">
        <f t="shared" si="62"/>
        <v>#N/A</v>
      </c>
      <c r="BW33" s="134" t="e">
        <f t="shared" si="62"/>
        <v>#N/A</v>
      </c>
      <c r="BX33" s="134" t="e">
        <f t="shared" si="62"/>
        <v>#N/A</v>
      </c>
      <c r="BY33" s="134" t="e">
        <f t="shared" si="62"/>
        <v>#N/A</v>
      </c>
      <c r="BZ33" s="134">
        <f t="shared" si="62"/>
        <v>0</v>
      </c>
      <c r="CA33" s="134">
        <f t="shared" si="62"/>
        <v>0</v>
      </c>
      <c r="CB33" s="134"/>
      <c r="CC33" s="134">
        <f>CC32-CC31</f>
        <v>0</v>
      </c>
      <c r="CD33" s="134">
        <f>CD32-CD31</f>
        <v>0</v>
      </c>
      <c r="CE33" s="134"/>
      <c r="CF33" s="134">
        <f>CF32-CF31</f>
        <v>0</v>
      </c>
      <c r="CG33" s="134">
        <f>CG32-CG31</f>
        <v>0</v>
      </c>
      <c r="CH33" s="134"/>
      <c r="CI33" s="134">
        <f>CI32-CI31</f>
        <v>0</v>
      </c>
      <c r="CJ33" s="134">
        <f>CJ32-CJ31</f>
        <v>0</v>
      </c>
      <c r="CK33" s="134"/>
      <c r="CL33" s="134">
        <f>CL32-CL31</f>
        <v>0</v>
      </c>
      <c r="CM33" s="134">
        <f>CM32-CM31</f>
        <v>0</v>
      </c>
      <c r="CN33" s="134"/>
      <c r="CO33" s="134">
        <f>CO32-CO31</f>
        <v>0</v>
      </c>
      <c r="CP33" s="134">
        <f>CP32-CP31</f>
        <v>0</v>
      </c>
      <c r="CQ33" s="134"/>
      <c r="CR33" s="134">
        <f>CR32-CR31</f>
        <v>0</v>
      </c>
      <c r="CS33" s="134">
        <f>CS32-CS31</f>
        <v>0</v>
      </c>
      <c r="CT33" s="134"/>
      <c r="CU33" s="134" t="e">
        <f>CU32-CU31</f>
        <v>#N/A</v>
      </c>
      <c r="CV33" s="134">
        <f>CV32-CV31</f>
        <v>0</v>
      </c>
      <c r="CW33" s="134"/>
      <c r="CX33" s="134" t="e">
        <f aca="true" t="shared" si="63" ref="CX33:DH33">CX32-CX31</f>
        <v>#N/A</v>
      </c>
      <c r="CY33" s="134" t="e">
        <f t="shared" si="63"/>
        <v>#N/A</v>
      </c>
      <c r="CZ33" s="134" t="e">
        <f t="shared" si="63"/>
        <v>#N/A</v>
      </c>
      <c r="DA33" s="134" t="e">
        <f t="shared" si="63"/>
        <v>#N/A</v>
      </c>
      <c r="DB33" s="134" t="e">
        <f t="shared" si="63"/>
        <v>#N/A</v>
      </c>
      <c r="DC33" s="134" t="e">
        <f t="shared" si="63"/>
        <v>#N/A</v>
      </c>
      <c r="DD33" s="134" t="e">
        <f t="shared" si="63"/>
        <v>#N/A</v>
      </c>
      <c r="DE33" s="134" t="e">
        <f t="shared" si="63"/>
        <v>#N/A</v>
      </c>
      <c r="DF33" s="134">
        <f t="shared" si="63"/>
        <v>0</v>
      </c>
      <c r="DG33" s="134">
        <f t="shared" si="63"/>
        <v>0</v>
      </c>
      <c r="DH33" s="134">
        <f t="shared" si="63"/>
        <v>0</v>
      </c>
      <c r="DI33" s="134"/>
      <c r="DJ33" s="134">
        <f>DJ32-DJ31</f>
        <v>0</v>
      </c>
      <c r="DK33" s="134">
        <f>DK32-DK31</f>
        <v>0</v>
      </c>
      <c r="DL33" s="134"/>
      <c r="DM33" s="134">
        <f>DM32-DM31</f>
        <v>0</v>
      </c>
      <c r="DN33" s="134">
        <f>DN32-DN31</f>
        <v>0</v>
      </c>
      <c r="DO33" s="134"/>
      <c r="DP33" s="134">
        <f>DP32-DP31</f>
        <v>0</v>
      </c>
      <c r="DQ33" s="134">
        <f>DQ32-DQ31</f>
        <v>0</v>
      </c>
      <c r="DR33" s="134"/>
      <c r="DS33" s="134">
        <f>DS32-DS31</f>
        <v>0</v>
      </c>
      <c r="DT33" s="134" t="e">
        <f>DT32-DT31</f>
        <v>#N/A</v>
      </c>
      <c r="DU33" s="134"/>
      <c r="DV33" s="134">
        <f>DV32-DV31</f>
        <v>0</v>
      </c>
      <c r="DW33" s="134">
        <f>DW32-DW31</f>
        <v>0</v>
      </c>
      <c r="DX33" s="134"/>
      <c r="DY33" s="134">
        <f>DY32-DY31</f>
        <v>0</v>
      </c>
      <c r="DZ33" s="134">
        <f>DZ32-DZ31</f>
        <v>0</v>
      </c>
      <c r="EA33" s="134"/>
      <c r="EB33" s="134">
        <f>EB32-EB31</f>
        <v>0</v>
      </c>
      <c r="EC33" s="134">
        <f>EC32-EC31</f>
        <v>0</v>
      </c>
      <c r="ED33" s="134"/>
      <c r="EE33" s="134">
        <f>EE32-EE31</f>
        <v>0</v>
      </c>
      <c r="EF33" s="134">
        <f>EF32-EF31</f>
        <v>0</v>
      </c>
      <c r="EG33" s="134"/>
      <c r="EH33" s="134">
        <f>EH32-EH31</f>
        <v>0</v>
      </c>
      <c r="EI33" s="134">
        <f>EI32-EI31</f>
        <v>0</v>
      </c>
      <c r="EJ33" s="134"/>
      <c r="EK33" s="134">
        <f>EK32-EK31</f>
        <v>0</v>
      </c>
      <c r="EL33" s="134">
        <f>EL32-EL31</f>
        <v>0</v>
      </c>
      <c r="EM33" s="134"/>
      <c r="EN33" s="134">
        <f>EN32-EN31</f>
        <v>0</v>
      </c>
      <c r="EO33" s="134">
        <f>EO32-EO31</f>
        <v>0</v>
      </c>
      <c r="EP33" s="134"/>
      <c r="EQ33" s="134">
        <f>EQ32-EQ31</f>
        <v>0</v>
      </c>
      <c r="ER33" s="134">
        <f>ER32-ER31</f>
        <v>0</v>
      </c>
      <c r="ES33" s="134"/>
      <c r="ET33" s="134" t="e">
        <f>ET32-ET31</f>
        <v>#N/A</v>
      </c>
      <c r="EU33" s="134" t="e">
        <f>EU32-EU31</f>
        <v>#N/A</v>
      </c>
      <c r="EV33" s="134"/>
      <c r="EW33" s="134">
        <f>EW32-EW31</f>
        <v>1.546140993013978E-11</v>
      </c>
      <c r="EX33" s="134">
        <f>EX32-EX31</f>
        <v>-9.094947017729282E-12</v>
      </c>
      <c r="EY33" s="135"/>
    </row>
  </sheetData>
  <sheetProtection selectLockedCells="1" selectUnlockedCells="1"/>
  <mergeCells count="69">
    <mergeCell ref="X1:Z1"/>
    <mergeCell ref="AD1:AF1"/>
    <mergeCell ref="AD2:AF2"/>
    <mergeCell ref="X3:Z3"/>
    <mergeCell ref="AD3:AF3"/>
    <mergeCell ref="B4:Z4"/>
    <mergeCell ref="B5:Z5"/>
    <mergeCell ref="I6:X6"/>
    <mergeCell ref="A7:A12"/>
    <mergeCell ref="B7:B12"/>
    <mergeCell ref="C7:E11"/>
    <mergeCell ref="DG7:DI11"/>
    <mergeCell ref="I9:K11"/>
    <mergeCell ref="L9:N11"/>
    <mergeCell ref="O9:Q11"/>
    <mergeCell ref="R9:T11"/>
    <mergeCell ref="DJ7:EV7"/>
    <mergeCell ref="EW7:EY11"/>
    <mergeCell ref="F8:H11"/>
    <mergeCell ref="I8:AX8"/>
    <mergeCell ref="BZ8:CB11"/>
    <mergeCell ref="CC8:CN8"/>
    <mergeCell ref="CX8:CZ11"/>
    <mergeCell ref="DA8:DC8"/>
    <mergeCell ref="DD8:DF8"/>
    <mergeCell ref="DJ8:EV8"/>
    <mergeCell ref="U9:W11"/>
    <mergeCell ref="X9:Z11"/>
    <mergeCell ref="AA9:AC11"/>
    <mergeCell ref="AD9:AF11"/>
    <mergeCell ref="AG9:AI11"/>
    <mergeCell ref="AJ9:AL11"/>
    <mergeCell ref="AM9:AO11"/>
    <mergeCell ref="AP9:AR11"/>
    <mergeCell ref="AS9:AU11"/>
    <mergeCell ref="AV9:AX11"/>
    <mergeCell ref="AY9:BA11"/>
    <mergeCell ref="BB9:BD11"/>
    <mergeCell ref="BE9:BG11"/>
    <mergeCell ref="BH9:BJ11"/>
    <mergeCell ref="BK9:BM11"/>
    <mergeCell ref="BN9:BP11"/>
    <mergeCell ref="BQ9:BS11"/>
    <mergeCell ref="BT9:BV11"/>
    <mergeCell ref="BW9:BY11"/>
    <mergeCell ref="CC9:CE11"/>
    <mergeCell ref="CF9:CH11"/>
    <mergeCell ref="CI9:CK11"/>
    <mergeCell ref="CL9:CN11"/>
    <mergeCell ref="CO9:CQ11"/>
    <mergeCell ref="EH9:EJ11"/>
    <mergeCell ref="EK9:EM11"/>
    <mergeCell ref="EN9:EP11"/>
    <mergeCell ref="CR9:CT11"/>
    <mergeCell ref="CU9:CW11"/>
    <mergeCell ref="DA9:DC11"/>
    <mergeCell ref="DD9:DF11"/>
    <mergeCell ref="DJ9:DL11"/>
    <mergeCell ref="DM9:DX9"/>
    <mergeCell ref="A31:B31"/>
    <mergeCell ref="EQ9:ES11"/>
    <mergeCell ref="ET9:EV11"/>
    <mergeCell ref="DM11:DO11"/>
    <mergeCell ref="DP11:DR11"/>
    <mergeCell ref="DS11:DU11"/>
    <mergeCell ref="DV11:DX11"/>
    <mergeCell ref="DY9:EA11"/>
    <mergeCell ref="EB9:ED11"/>
    <mergeCell ref="EE9:EG11"/>
  </mergeCells>
  <printOptions/>
  <pageMargins left="0.7086614173228347" right="0.1968503937007874" top="0.7480314960629921" bottom="0.7480314960629921" header="0.5118110236220472" footer="0.5118110236220472"/>
  <pageSetup horizontalDpi="300" verticalDpi="300" orientation="landscape" paperSize="9" scale="40" r:id="rId1"/>
  <colBreaks count="6" manualBreakCount="6">
    <brk id="17" max="65535" man="1"/>
    <brk id="35" max="65535" man="1"/>
    <brk id="59" max="65535" man="1"/>
    <brk id="92" max="65535" man="1"/>
    <brk id="116" max="65535" man="1"/>
    <brk id="13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20"/>
  <sheetViews>
    <sheetView view="pageBreakPreview" zoomScaleSheetLayoutView="100" zoomScalePageLayoutView="0" workbookViewId="0" topLeftCell="A1">
      <selection activeCell="B100" sqref="B100"/>
    </sheetView>
  </sheetViews>
  <sheetFormatPr defaultColWidth="8.7109375" defaultRowHeight="12.75"/>
  <cols>
    <col min="1" max="16384" width="8.7109375" style="356" customWidth="1"/>
  </cols>
  <sheetData>
    <row r="1" spans="36:51" ht="12.75">
      <c r="AJ1" s="356" t="s">
        <v>373</v>
      </c>
      <c r="AO1" s="356" t="s">
        <v>374</v>
      </c>
      <c r="AP1" s="356" t="s">
        <v>375</v>
      </c>
      <c r="AS1" s="356" t="s">
        <v>376</v>
      </c>
      <c r="AW1" s="356">
        <v>187.4</v>
      </c>
      <c r="AX1" s="356" t="s">
        <v>377</v>
      </c>
      <c r="AY1" s="356" t="s">
        <v>378</v>
      </c>
    </row>
    <row r="2" spans="32:36" ht="12.75">
      <c r="AF2" s="356" t="s">
        <v>379</v>
      </c>
      <c r="AJ2" s="356" t="s">
        <v>380</v>
      </c>
    </row>
    <row r="3" spans="32:47" ht="12.75">
      <c r="AF3" s="356" t="s">
        <v>381</v>
      </c>
      <c r="AH3" s="356" t="s">
        <v>382</v>
      </c>
      <c r="AJ3" s="356" t="s">
        <v>381</v>
      </c>
      <c r="AN3" s="356" t="s">
        <v>382</v>
      </c>
      <c r="AO3" s="356" t="s">
        <v>382</v>
      </c>
      <c r="AP3" s="356" t="s">
        <v>382</v>
      </c>
      <c r="AS3" s="356" t="s">
        <v>383</v>
      </c>
      <c r="AT3" s="356" t="s">
        <v>384</v>
      </c>
      <c r="AU3" s="356" t="s">
        <v>385</v>
      </c>
    </row>
    <row r="4" spans="34:48" ht="12.75">
      <c r="AH4" s="356">
        <v>0</v>
      </c>
      <c r="AN4" s="356">
        <v>0</v>
      </c>
      <c r="AO4" s="356">
        <v>1088.66666666667</v>
      </c>
      <c r="AP4" s="356">
        <v>28196.4666666667</v>
      </c>
      <c r="AS4" s="356">
        <v>27107.8</v>
      </c>
      <c r="AT4" s="356" t="s">
        <v>386</v>
      </c>
      <c r="AU4" s="356" t="s">
        <v>387</v>
      </c>
      <c r="AV4" s="356" t="s">
        <v>388</v>
      </c>
    </row>
    <row r="5" spans="34:48" ht="12.75">
      <c r="AH5" s="356">
        <v>0</v>
      </c>
      <c r="AN5" s="356">
        <v>0</v>
      </c>
      <c r="AO5" s="356">
        <v>1088.66666666667</v>
      </c>
      <c r="AP5" s="356">
        <v>23297.4666666667</v>
      </c>
      <c r="AS5" s="356">
        <v>22208.8</v>
      </c>
      <c r="AT5" s="356" t="s">
        <v>389</v>
      </c>
      <c r="AU5" s="356" t="s">
        <v>387</v>
      </c>
      <c r="AV5" s="356" t="s">
        <v>390</v>
      </c>
    </row>
    <row r="6" spans="34:48" ht="12.75">
      <c r="AH6" s="356">
        <v>0</v>
      </c>
      <c r="AN6" s="356">
        <v>0</v>
      </c>
      <c r="AO6" s="356">
        <v>886.833333333333</v>
      </c>
      <c r="AP6" s="356">
        <v>17647.9833333333</v>
      </c>
      <c r="AS6" s="356">
        <v>16761.15</v>
      </c>
      <c r="AT6" s="356" t="s">
        <v>391</v>
      </c>
      <c r="AU6" s="356" t="s">
        <v>387</v>
      </c>
      <c r="AV6" s="356" t="s">
        <v>390</v>
      </c>
    </row>
    <row r="7" spans="34:50" ht="12.75">
      <c r="AH7" s="356">
        <v>0</v>
      </c>
      <c r="AN7" s="356">
        <v>0</v>
      </c>
      <c r="AO7" s="356">
        <v>886.833333333333</v>
      </c>
      <c r="AP7" s="356">
        <v>17115.8833333333</v>
      </c>
      <c r="AS7" s="356">
        <v>16229.05</v>
      </c>
      <c r="AT7" s="356" t="s">
        <v>392</v>
      </c>
      <c r="AU7" s="356" t="s">
        <v>387</v>
      </c>
      <c r="AV7" s="356" t="s">
        <v>393</v>
      </c>
      <c r="AX7" s="356">
        <v>0.5</v>
      </c>
    </row>
    <row r="8" spans="34:48" ht="12.75">
      <c r="AH8" s="356">
        <v>0</v>
      </c>
      <c r="AN8" s="356">
        <v>0</v>
      </c>
      <c r="AO8" s="356">
        <v>886.833333333333</v>
      </c>
      <c r="AP8" s="356">
        <v>17381.9333333333</v>
      </c>
      <c r="AS8" s="356">
        <v>16495.1</v>
      </c>
      <c r="AT8" s="356" t="s">
        <v>394</v>
      </c>
      <c r="AU8" s="356" t="s">
        <v>387</v>
      </c>
      <c r="AV8" s="356" t="s">
        <v>395</v>
      </c>
    </row>
    <row r="9" spans="34:49" ht="12.75">
      <c r="AH9" s="356">
        <v>0</v>
      </c>
      <c r="AN9" s="356">
        <v>0</v>
      </c>
      <c r="AO9" s="356">
        <v>1065.16666666667</v>
      </c>
      <c r="AP9" s="356">
        <v>21835.9166666667</v>
      </c>
      <c r="AS9" s="356">
        <v>20770.75</v>
      </c>
      <c r="AT9" s="356" t="s">
        <v>396</v>
      </c>
      <c r="AU9" s="356" t="s">
        <v>387</v>
      </c>
      <c r="AV9" s="356" t="s">
        <v>397</v>
      </c>
      <c r="AW9" s="356" t="s">
        <v>398</v>
      </c>
    </row>
    <row r="10" spans="34:48" ht="12.75">
      <c r="AH10" s="356">
        <v>0</v>
      </c>
      <c r="AN10" s="356">
        <v>0</v>
      </c>
      <c r="AO10" s="356">
        <v>886.833333333333</v>
      </c>
      <c r="AP10" s="356">
        <v>17914.0333333333</v>
      </c>
      <c r="AS10" s="356">
        <v>17027.2</v>
      </c>
      <c r="AT10" s="356" t="s">
        <v>399</v>
      </c>
      <c r="AU10" s="356" t="s">
        <v>387</v>
      </c>
      <c r="AV10" s="356" t="s">
        <v>400</v>
      </c>
    </row>
    <row r="11" spans="34:49" ht="12.75">
      <c r="AH11" s="356">
        <v>0</v>
      </c>
      <c r="AN11" s="356">
        <v>0</v>
      </c>
      <c r="AO11" s="356">
        <v>1065.16666666667</v>
      </c>
      <c r="AP11" s="356">
        <v>22475.0166666667</v>
      </c>
      <c r="AS11" s="356">
        <v>21409.85</v>
      </c>
      <c r="AT11" s="356" t="s">
        <v>401</v>
      </c>
      <c r="AU11" s="356" t="s">
        <v>387</v>
      </c>
      <c r="AV11" s="356" t="s">
        <v>402</v>
      </c>
      <c r="AW11" s="356" t="s">
        <v>398</v>
      </c>
    </row>
    <row r="12" spans="34:48" ht="12.75">
      <c r="AH12" s="356">
        <v>0</v>
      </c>
      <c r="AN12" s="356">
        <v>0</v>
      </c>
      <c r="AO12" s="356">
        <v>886.833333333333</v>
      </c>
      <c r="AP12" s="356">
        <v>17381.9333333333</v>
      </c>
      <c r="AS12" s="356">
        <v>16495.1</v>
      </c>
      <c r="AT12" s="356" t="s">
        <v>403</v>
      </c>
      <c r="AU12" s="356" t="s">
        <v>387</v>
      </c>
      <c r="AV12" s="356" t="s">
        <v>404</v>
      </c>
    </row>
    <row r="13" spans="34:48" ht="12.75">
      <c r="AH13" s="356">
        <v>0</v>
      </c>
      <c r="AN13" s="356">
        <v>0</v>
      </c>
      <c r="AO13" s="356">
        <v>886.833333333333</v>
      </c>
      <c r="AP13" s="356">
        <v>15785.6333333333</v>
      </c>
      <c r="AS13" s="356">
        <v>14898.8</v>
      </c>
      <c r="AT13" s="356" t="s">
        <v>405</v>
      </c>
      <c r="AU13" s="356" t="s">
        <v>387</v>
      </c>
      <c r="AV13" s="356" t="s">
        <v>406</v>
      </c>
    </row>
    <row r="14" spans="34:50" ht="12.75">
      <c r="AH14" s="356">
        <v>0</v>
      </c>
      <c r="AN14" s="356">
        <v>0</v>
      </c>
      <c r="AO14" s="356">
        <v>886.833333333333</v>
      </c>
      <c r="AP14" s="356">
        <v>16583.7833333333</v>
      </c>
      <c r="AS14" s="356">
        <v>15696.95</v>
      </c>
      <c r="AT14" s="356" t="s">
        <v>407</v>
      </c>
      <c r="AU14" s="356" t="s">
        <v>387</v>
      </c>
      <c r="AV14" s="356" t="s">
        <v>393</v>
      </c>
      <c r="AX14" s="356">
        <v>0.35</v>
      </c>
    </row>
    <row r="15" spans="34:49" ht="12.75">
      <c r="AH15" s="356">
        <v>0</v>
      </c>
      <c r="AN15" s="356">
        <v>0</v>
      </c>
      <c r="AO15" s="356">
        <v>1065.16666666667</v>
      </c>
      <c r="AP15" s="356">
        <v>21835.9166666667</v>
      </c>
      <c r="AS15" s="356">
        <v>20770.75</v>
      </c>
      <c r="AT15" s="356" t="s">
        <v>408</v>
      </c>
      <c r="AU15" s="356" t="s">
        <v>387</v>
      </c>
      <c r="AV15" s="356" t="s">
        <v>409</v>
      </c>
      <c r="AW15" s="356" t="s">
        <v>410</v>
      </c>
    </row>
    <row r="16" spans="32:49" ht="12.75">
      <c r="AF16" s="356">
        <v>40</v>
      </c>
      <c r="AH16" s="356">
        <v>2128.4</v>
      </c>
      <c r="AN16" s="356">
        <v>0</v>
      </c>
      <c r="AO16" s="356">
        <v>886.833333333333</v>
      </c>
      <c r="AP16" s="356">
        <v>20308.4833333333</v>
      </c>
      <c r="AS16" s="356">
        <v>19421.65</v>
      </c>
      <c r="AT16" s="356" t="s">
        <v>411</v>
      </c>
      <c r="AU16" s="356" t="s">
        <v>387</v>
      </c>
      <c r="AV16" s="356" t="s">
        <v>390</v>
      </c>
      <c r="AW16" s="356" t="s">
        <v>412</v>
      </c>
    </row>
    <row r="17" spans="34:50" ht="12.75">
      <c r="AH17" s="356">
        <v>0</v>
      </c>
      <c r="AN17" s="356">
        <v>0</v>
      </c>
      <c r="AO17" s="356">
        <v>886.833333333333</v>
      </c>
      <c r="AP17" s="356">
        <v>16583.7833333333</v>
      </c>
      <c r="AS17" s="356">
        <v>15696.95</v>
      </c>
      <c r="AT17" s="356" t="s">
        <v>413</v>
      </c>
      <c r="AU17" s="356" t="s">
        <v>387</v>
      </c>
      <c r="AV17" s="356" t="s">
        <v>414</v>
      </c>
      <c r="AX17" s="356">
        <v>0.35</v>
      </c>
    </row>
    <row r="18" spans="34:50" ht="12.75">
      <c r="AH18" s="356">
        <v>0</v>
      </c>
      <c r="AN18" s="356">
        <v>0</v>
      </c>
      <c r="AO18" s="356">
        <v>886.833333333333</v>
      </c>
      <c r="AP18" s="356">
        <v>17647.9833333333</v>
      </c>
      <c r="AS18" s="356">
        <v>16761.15</v>
      </c>
      <c r="AT18" s="356" t="s">
        <v>415</v>
      </c>
      <c r="AU18" s="356" t="s">
        <v>387</v>
      </c>
      <c r="AV18" s="356" t="s">
        <v>390</v>
      </c>
      <c r="AX18" s="356">
        <v>0.35</v>
      </c>
    </row>
    <row r="19" spans="34:48" ht="12.75">
      <c r="AH19" s="356">
        <v>0</v>
      </c>
      <c r="AN19" s="356">
        <v>0</v>
      </c>
      <c r="AO19" s="356">
        <v>808.333333333333</v>
      </c>
      <c r="AP19" s="356">
        <v>16570.8333333333</v>
      </c>
      <c r="AS19" s="356">
        <v>15762.5</v>
      </c>
      <c r="AT19" s="356" t="s">
        <v>416</v>
      </c>
      <c r="AU19" s="356" t="s">
        <v>417</v>
      </c>
      <c r="AV19" s="356" t="s">
        <v>400</v>
      </c>
    </row>
    <row r="20" spans="34:51" ht="12.75">
      <c r="AH20" s="356">
        <v>2128.4</v>
      </c>
      <c r="AN20" s="356">
        <v>0</v>
      </c>
      <c r="AO20" s="356">
        <v>15049.5</v>
      </c>
      <c r="AP20" s="356">
        <v>308563.05</v>
      </c>
      <c r="AS20" s="356">
        <v>293513.55</v>
      </c>
      <c r="AT20" s="356">
        <v>218266.05</v>
      </c>
      <c r="AW20" s="356">
        <v>306.8</v>
      </c>
      <c r="AX20" s="356" t="s">
        <v>418</v>
      </c>
      <c r="AY20" s="356" t="s">
        <v>419</v>
      </c>
    </row>
    <row r="82" ht="12.75" hidden="1"/>
    <row r="83" ht="12.75" hidden="1"/>
    <row r="84" ht="12.75" hidden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6">
      <selection activeCell="A16" sqref="A16"/>
    </sheetView>
  </sheetViews>
  <sheetFormatPr defaultColWidth="8.7109375" defaultRowHeight="12.75"/>
  <cols>
    <col min="1" max="16384" width="8.7109375" style="35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SheetLayoutView="100" zoomScalePageLayoutView="0" workbookViewId="0" topLeftCell="A1">
      <selection activeCell="A1" sqref="A1:B18"/>
    </sheetView>
  </sheetViews>
  <sheetFormatPr defaultColWidth="8.7109375" defaultRowHeight="12.75"/>
  <cols>
    <col min="1" max="16384" width="8.7109375" style="356" customWidth="1"/>
  </cols>
  <sheetData>
    <row r="1" spans="1:2" ht="18">
      <c r="A1" s="80">
        <f aca="true" t="shared" si="0" ref="A1:A16">D1+S1+V1+Y1+AB1+AH1+AN1+AZ1+BL1+BI1+AE1+AT1+G1+M1+J1+P1+AK1</f>
        <v>0</v>
      </c>
      <c r="B1" s="80">
        <f aca="true" t="shared" si="1" ref="B1:B16">E1+T1+W1+Z1+AC1+AI1+AO1+BA1+AF1+BM1+BJ1+AU1+H1+N1+K1+Q1+AL1</f>
        <v>0</v>
      </c>
    </row>
    <row r="2" spans="1:2" ht="18">
      <c r="A2" s="80">
        <f t="shared" si="0"/>
        <v>0</v>
      </c>
      <c r="B2" s="80">
        <f t="shared" si="1"/>
        <v>0</v>
      </c>
    </row>
    <row r="3" spans="1:2" ht="18">
      <c r="A3" s="80">
        <f t="shared" si="0"/>
        <v>0</v>
      </c>
      <c r="B3" s="80">
        <f t="shared" si="1"/>
        <v>0</v>
      </c>
    </row>
    <row r="4" spans="1:2" ht="18">
      <c r="A4" s="80">
        <f t="shared" si="0"/>
        <v>0</v>
      </c>
      <c r="B4" s="80">
        <f t="shared" si="1"/>
        <v>0</v>
      </c>
    </row>
    <row r="5" spans="1:2" ht="18">
      <c r="A5" s="80">
        <f t="shared" si="0"/>
        <v>0</v>
      </c>
      <c r="B5" s="80">
        <f t="shared" si="1"/>
        <v>0</v>
      </c>
    </row>
    <row r="6" spans="1:2" ht="18">
      <c r="A6" s="80">
        <f t="shared" si="0"/>
        <v>0</v>
      </c>
      <c r="B6" s="104">
        <f t="shared" si="1"/>
        <v>0</v>
      </c>
    </row>
    <row r="7" spans="1:2" ht="18">
      <c r="A7" s="80">
        <f t="shared" si="0"/>
        <v>0</v>
      </c>
      <c r="B7" s="80">
        <f t="shared" si="1"/>
        <v>0</v>
      </c>
    </row>
    <row r="8" spans="1:2" ht="18">
      <c r="A8" s="80">
        <f t="shared" si="0"/>
        <v>0</v>
      </c>
      <c r="B8" s="80">
        <f t="shared" si="1"/>
        <v>0</v>
      </c>
    </row>
    <row r="9" spans="1:2" ht="18">
      <c r="A9" s="80">
        <f t="shared" si="0"/>
        <v>0</v>
      </c>
      <c r="B9" s="80">
        <f t="shared" si="1"/>
        <v>0</v>
      </c>
    </row>
    <row r="10" spans="1:2" ht="18">
      <c r="A10" s="80">
        <f t="shared" si="0"/>
        <v>0</v>
      </c>
      <c r="B10" s="80">
        <f t="shared" si="1"/>
        <v>0</v>
      </c>
    </row>
    <row r="11" spans="1:2" ht="18">
      <c r="A11" s="80">
        <f t="shared" si="0"/>
        <v>0</v>
      </c>
      <c r="B11" s="104">
        <f t="shared" si="1"/>
        <v>0</v>
      </c>
    </row>
    <row r="12" spans="1:2" ht="18">
      <c r="A12" s="80">
        <f t="shared" si="0"/>
        <v>0</v>
      </c>
      <c r="B12" s="80">
        <f t="shared" si="1"/>
        <v>0</v>
      </c>
    </row>
    <row r="13" spans="1:2" ht="18">
      <c r="A13" s="80">
        <f t="shared" si="0"/>
        <v>0</v>
      </c>
      <c r="B13" s="104">
        <f t="shared" si="1"/>
        <v>0</v>
      </c>
    </row>
    <row r="14" spans="1:2" ht="18">
      <c r="A14" s="80">
        <f t="shared" si="0"/>
        <v>0</v>
      </c>
      <c r="B14" s="80">
        <f t="shared" si="1"/>
        <v>0</v>
      </c>
    </row>
    <row r="15" spans="1:2" ht="18">
      <c r="A15" s="80">
        <f t="shared" si="0"/>
        <v>0</v>
      </c>
      <c r="B15" s="80">
        <f t="shared" si="1"/>
        <v>0</v>
      </c>
    </row>
    <row r="16" spans="1:2" ht="18">
      <c r="A16" s="80">
        <f t="shared" si="0"/>
        <v>0</v>
      </c>
      <c r="B16" s="80">
        <f t="shared" si="1"/>
        <v>0</v>
      </c>
    </row>
    <row r="17" spans="1:2" ht="18">
      <c r="A17" s="80"/>
      <c r="B17" s="84"/>
    </row>
    <row r="18" spans="1:2" ht="18">
      <c r="A18" s="123">
        <f>SUM(A1:A16)</f>
        <v>0</v>
      </c>
      <c r="B18" s="122">
        <f>SUM(B1:B16)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1" sqref="D1:D16"/>
    </sheetView>
  </sheetViews>
  <sheetFormatPr defaultColWidth="8.7109375" defaultRowHeight="12.75"/>
  <cols>
    <col min="1" max="2" width="16.57421875" style="356" customWidth="1"/>
    <col min="3" max="3" width="13.140625" style="356" customWidth="1"/>
    <col min="4" max="4" width="11.8515625" style="356" customWidth="1"/>
    <col min="5" max="16384" width="8.7109375" style="356" customWidth="1"/>
  </cols>
  <sheetData>
    <row r="1" spans="1:4" ht="12.75">
      <c r="A1" s="356">
        <v>639.72</v>
      </c>
      <c r="B1" s="356">
        <f>A1*1000</f>
        <v>639720</v>
      </c>
      <c r="C1" s="356">
        <v>537.09006</v>
      </c>
      <c r="D1" s="356">
        <f>C1*1000</f>
        <v>537090.0599999999</v>
      </c>
    </row>
    <row r="2" spans="1:4" ht="12.75">
      <c r="A2" s="356">
        <v>3721.32</v>
      </c>
      <c r="B2" s="356">
        <f aca="true" t="shared" si="0" ref="B2:B16">A2*1000</f>
        <v>3721320</v>
      </c>
      <c r="C2" s="356">
        <v>3329.2156</v>
      </c>
      <c r="D2" s="356">
        <f aca="true" t="shared" si="1" ref="D2:D16">C2*1000</f>
        <v>3329215.6</v>
      </c>
    </row>
    <row r="3" spans="1:4" ht="12.75">
      <c r="A3" s="356">
        <v>2500.44564</v>
      </c>
      <c r="B3" s="356">
        <f t="shared" si="0"/>
        <v>2500445.64</v>
      </c>
      <c r="C3" s="356">
        <v>2740.5030900000006</v>
      </c>
      <c r="D3" s="356">
        <f t="shared" si="1"/>
        <v>2740503.090000001</v>
      </c>
    </row>
    <row r="4" spans="1:4" ht="12.75">
      <c r="A4" s="356">
        <v>4848.53</v>
      </c>
      <c r="B4" s="356">
        <f t="shared" si="0"/>
        <v>4848530</v>
      </c>
      <c r="C4" s="356">
        <v>5018.22027</v>
      </c>
      <c r="D4" s="356">
        <f t="shared" si="1"/>
        <v>5018220.27</v>
      </c>
    </row>
    <row r="5" spans="1:4" ht="12.75">
      <c r="A5" s="356">
        <v>5006.5199999999995</v>
      </c>
      <c r="B5" s="356">
        <f t="shared" si="0"/>
        <v>5006519.999999999</v>
      </c>
      <c r="C5" s="356">
        <v>5229.350420000001</v>
      </c>
      <c r="D5" s="356">
        <f t="shared" si="1"/>
        <v>5229350.420000001</v>
      </c>
    </row>
    <row r="6" spans="1:4" ht="12.75">
      <c r="A6" s="356">
        <v>6409.35</v>
      </c>
      <c r="B6" s="356">
        <f t="shared" si="0"/>
        <v>6409350</v>
      </c>
      <c r="C6" s="356">
        <v>4125.16008</v>
      </c>
      <c r="D6" s="356">
        <f t="shared" si="1"/>
        <v>4125160.0799999996</v>
      </c>
    </row>
    <row r="7" spans="1:4" ht="12.75">
      <c r="A7" s="356">
        <v>2709.1200000000003</v>
      </c>
      <c r="B7" s="356">
        <f t="shared" si="0"/>
        <v>2709120.0000000005</v>
      </c>
      <c r="C7" s="356">
        <v>2321.771309999999</v>
      </c>
      <c r="D7" s="356">
        <f t="shared" si="1"/>
        <v>2321771.309999999</v>
      </c>
    </row>
    <row r="8" spans="1:4" ht="12.75">
      <c r="A8" s="356">
        <v>2203.15</v>
      </c>
      <c r="B8" s="356">
        <f t="shared" si="0"/>
        <v>2203150</v>
      </c>
      <c r="C8" s="356">
        <v>1642.5508700000003</v>
      </c>
      <c r="D8" s="356">
        <f t="shared" si="1"/>
        <v>1642550.8700000003</v>
      </c>
    </row>
    <row r="9" spans="1:4" ht="12.75">
      <c r="A9" s="356">
        <v>2143.44</v>
      </c>
      <c r="B9" s="356">
        <f t="shared" si="0"/>
        <v>2143440</v>
      </c>
      <c r="C9" s="356">
        <v>2252.3262600000003</v>
      </c>
      <c r="D9" s="356">
        <f t="shared" si="1"/>
        <v>2252326.2600000002</v>
      </c>
    </row>
    <row r="10" spans="1:4" ht="12.75">
      <c r="A10" s="356">
        <v>1317.8600000000001</v>
      </c>
      <c r="B10" s="356">
        <f t="shared" si="0"/>
        <v>1317860.0000000002</v>
      </c>
      <c r="C10" s="356">
        <v>1068.89258</v>
      </c>
      <c r="D10" s="356">
        <f t="shared" si="1"/>
        <v>1068892.5799999998</v>
      </c>
    </row>
    <row r="11" spans="1:4" ht="12.75">
      <c r="A11" s="356">
        <v>1244.58</v>
      </c>
      <c r="B11" s="356">
        <f t="shared" si="0"/>
        <v>1244580</v>
      </c>
      <c r="C11" s="356">
        <v>1130.99277</v>
      </c>
      <c r="D11" s="356">
        <f t="shared" si="1"/>
        <v>1130992.77</v>
      </c>
    </row>
    <row r="12" spans="1:4" ht="12.75">
      <c r="A12" s="356">
        <v>1308.0040000000001</v>
      </c>
      <c r="B12" s="356">
        <f t="shared" si="0"/>
        <v>1308004.0000000002</v>
      </c>
      <c r="C12" s="356">
        <v>1114.1205599999998</v>
      </c>
      <c r="D12" s="356">
        <f t="shared" si="1"/>
        <v>1114120.5599999998</v>
      </c>
    </row>
    <row r="13" spans="1:4" ht="12.75">
      <c r="A13" s="356">
        <v>3522.4</v>
      </c>
      <c r="B13" s="356">
        <f t="shared" si="0"/>
        <v>3522400</v>
      </c>
      <c r="C13" s="356">
        <v>2451.96863</v>
      </c>
      <c r="D13" s="356">
        <f t="shared" si="1"/>
        <v>2451968.63</v>
      </c>
    </row>
    <row r="14" spans="1:4" ht="12.75">
      <c r="A14" s="356">
        <v>1546.69</v>
      </c>
      <c r="B14" s="356">
        <f t="shared" si="0"/>
        <v>1546690</v>
      </c>
      <c r="C14" s="356">
        <v>1771.04067</v>
      </c>
      <c r="D14" s="356">
        <f t="shared" si="1"/>
        <v>1771040.6700000002</v>
      </c>
    </row>
    <row r="15" spans="1:4" ht="12.75">
      <c r="A15" s="356">
        <v>2647.75</v>
      </c>
      <c r="B15" s="356">
        <f t="shared" si="0"/>
        <v>2647750</v>
      </c>
      <c r="C15" s="356">
        <v>2264.8732199999995</v>
      </c>
      <c r="D15" s="356">
        <f t="shared" si="1"/>
        <v>2264873.2199999993</v>
      </c>
    </row>
    <row r="16" spans="1:4" ht="12.75">
      <c r="A16" s="356">
        <v>2309.85</v>
      </c>
      <c r="B16" s="356">
        <f t="shared" si="0"/>
        <v>2309850</v>
      </c>
      <c r="C16" s="356">
        <v>1682.1346700000001</v>
      </c>
      <c r="D16" s="356">
        <f t="shared" si="1"/>
        <v>1682134.6700000002</v>
      </c>
    </row>
    <row r="18" spans="1:3" ht="12.75">
      <c r="A18" s="356">
        <v>44078.729640000005</v>
      </c>
      <c r="C18" s="356">
        <v>38680.21106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99">
      <selection activeCell="D132" sqref="D132"/>
    </sheetView>
  </sheetViews>
  <sheetFormatPr defaultColWidth="9.140625" defaultRowHeight="12.75"/>
  <cols>
    <col min="1" max="1" width="16.28125" style="136" customWidth="1"/>
    <col min="2" max="2" width="35.140625" style="137" customWidth="1"/>
    <col min="3" max="3" width="14.00390625" style="138" customWidth="1"/>
    <col min="4" max="4" width="14.140625" style="138" customWidth="1"/>
    <col min="5" max="5" width="9.421875" style="138" customWidth="1"/>
    <col min="6" max="6" width="11.28125" style="138" customWidth="1"/>
    <col min="7" max="7" width="20.7109375" style="139" customWidth="1"/>
    <col min="8" max="8" width="19.140625" style="139" customWidth="1"/>
    <col min="9" max="16384" width="9.140625" style="139" customWidth="1"/>
  </cols>
  <sheetData>
    <row r="1" spans="1:6" s="358" customFormat="1" ht="12.75">
      <c r="A1" s="357" t="s">
        <v>140</v>
      </c>
      <c r="B1" s="357"/>
      <c r="C1" s="357"/>
      <c r="D1" s="357"/>
      <c r="E1" s="357"/>
      <c r="F1" s="357"/>
    </row>
    <row r="2" spans="1:6" s="358" customFormat="1" ht="12.75">
      <c r="A2" s="357" t="s">
        <v>443</v>
      </c>
      <c r="B2" s="357"/>
      <c r="C2" s="357"/>
      <c r="D2" s="357"/>
      <c r="E2" s="357"/>
      <c r="F2" s="357"/>
    </row>
    <row r="3" spans="1:6" s="358" customFormat="1" ht="38.25">
      <c r="A3" s="359" t="s">
        <v>141</v>
      </c>
      <c r="B3" s="359" t="s">
        <v>142</v>
      </c>
      <c r="C3" s="360" t="s">
        <v>143</v>
      </c>
      <c r="D3" s="361" t="s">
        <v>442</v>
      </c>
      <c r="E3" s="360" t="s">
        <v>144</v>
      </c>
      <c r="F3" s="362" t="s">
        <v>145</v>
      </c>
    </row>
    <row r="4" spans="1:6" s="366" customFormat="1" ht="12.75">
      <c r="A4" s="363"/>
      <c r="B4" s="364" t="s">
        <v>7</v>
      </c>
      <c r="C4" s="365">
        <f>C5+C12+C17+C22+C24+C28+C7</f>
        <v>159058.13096</v>
      </c>
      <c r="D4" s="365">
        <f>D5+D12+D17+D22+D24+D28+D7</f>
        <v>147449.34936000002</v>
      </c>
      <c r="E4" s="365">
        <f aca="true" t="shared" si="0" ref="E4:E46">SUM(D4/C4*100)</f>
        <v>92.70154783667151</v>
      </c>
      <c r="F4" s="365">
        <f aca="true" t="shared" si="1" ref="F4:F42">SUM(D4-C4)</f>
        <v>-11608.781599999988</v>
      </c>
    </row>
    <row r="5" spans="1:6" s="366" customFormat="1" ht="12.75">
      <c r="A5" s="363">
        <v>1010000</v>
      </c>
      <c r="B5" s="364" t="s">
        <v>146</v>
      </c>
      <c r="C5" s="365">
        <f>C6</f>
        <v>131006</v>
      </c>
      <c r="D5" s="365">
        <f>D6</f>
        <v>117003.55168</v>
      </c>
      <c r="E5" s="365">
        <f t="shared" si="0"/>
        <v>89.31159769781537</v>
      </c>
      <c r="F5" s="365">
        <f t="shared" si="1"/>
        <v>-14002.448319999996</v>
      </c>
    </row>
    <row r="6" spans="1:6" s="358" customFormat="1" ht="12.75">
      <c r="A6" s="367">
        <v>1010200001</v>
      </c>
      <c r="B6" s="368" t="s">
        <v>147</v>
      </c>
      <c r="C6" s="369">
        <v>131006</v>
      </c>
      <c r="D6" s="370">
        <v>117003.55168</v>
      </c>
      <c r="E6" s="369">
        <f t="shared" si="0"/>
        <v>89.31159769781537</v>
      </c>
      <c r="F6" s="369">
        <f t="shared" si="1"/>
        <v>-14002.448319999996</v>
      </c>
    </row>
    <row r="7" spans="1:6" s="358" customFormat="1" ht="25.5">
      <c r="A7" s="363">
        <v>1030000</v>
      </c>
      <c r="B7" s="371" t="s">
        <v>148</v>
      </c>
      <c r="C7" s="365">
        <f>C8+C10+C9</f>
        <v>5342.1</v>
      </c>
      <c r="D7" s="365">
        <f>D8+D10+D9+D11</f>
        <v>5290.3413199999995</v>
      </c>
      <c r="E7" s="369">
        <f t="shared" si="0"/>
        <v>99.03111735085452</v>
      </c>
      <c r="F7" s="369">
        <f t="shared" si="1"/>
        <v>-51.75868000000082</v>
      </c>
    </row>
    <row r="8" spans="1:6" s="358" customFormat="1" ht="12.75">
      <c r="A8" s="367">
        <v>1030223001</v>
      </c>
      <c r="B8" s="368" t="s">
        <v>149</v>
      </c>
      <c r="C8" s="369">
        <v>1793.2</v>
      </c>
      <c r="D8" s="370">
        <v>2424.86809</v>
      </c>
      <c r="E8" s="369">
        <f t="shared" si="0"/>
        <v>135.22574670979256</v>
      </c>
      <c r="F8" s="369">
        <f t="shared" si="1"/>
        <v>631.6680899999999</v>
      </c>
    </row>
    <row r="9" spans="1:6" s="358" customFormat="1" ht="12.75">
      <c r="A9" s="367">
        <v>1030224001</v>
      </c>
      <c r="B9" s="368" t="s">
        <v>150</v>
      </c>
      <c r="C9" s="369">
        <v>21.5</v>
      </c>
      <c r="D9" s="370">
        <v>17.20007</v>
      </c>
      <c r="E9" s="369">
        <f t="shared" si="0"/>
        <v>80.00032558139534</v>
      </c>
      <c r="F9" s="369">
        <f t="shared" si="1"/>
        <v>-4.29993</v>
      </c>
    </row>
    <row r="10" spans="1:6" s="358" customFormat="1" ht="12.75">
      <c r="A10" s="367">
        <v>1030225001</v>
      </c>
      <c r="B10" s="368" t="s">
        <v>151</v>
      </c>
      <c r="C10" s="369">
        <v>3527.4</v>
      </c>
      <c r="D10" s="370">
        <v>3259.13005</v>
      </c>
      <c r="E10" s="369">
        <f t="shared" si="0"/>
        <v>92.39468305267337</v>
      </c>
      <c r="F10" s="369">
        <f t="shared" si="1"/>
        <v>-268.2699499999999</v>
      </c>
    </row>
    <row r="11" spans="1:6" s="358" customFormat="1" ht="12.75">
      <c r="A11" s="367">
        <v>1030226001</v>
      </c>
      <c r="B11" s="368" t="s">
        <v>152</v>
      </c>
      <c r="C11" s="369">
        <v>0</v>
      </c>
      <c r="D11" s="370">
        <v>-410.85689</v>
      </c>
      <c r="E11" s="369" t="e">
        <f t="shared" si="0"/>
        <v>#DIV/0!</v>
      </c>
      <c r="F11" s="369">
        <f t="shared" si="1"/>
        <v>-410.85689</v>
      </c>
    </row>
    <row r="12" spans="1:6" s="366" customFormat="1" ht="12.75">
      <c r="A12" s="363">
        <v>1050000</v>
      </c>
      <c r="B12" s="364" t="s">
        <v>153</v>
      </c>
      <c r="C12" s="365">
        <f>SUM(C13:C16)</f>
        <v>15327.9</v>
      </c>
      <c r="D12" s="365">
        <f>SUM(D13:D16)</f>
        <v>17356.14242</v>
      </c>
      <c r="E12" s="365">
        <f t="shared" si="0"/>
        <v>113.23235681339257</v>
      </c>
      <c r="F12" s="365">
        <f t="shared" si="1"/>
        <v>2028.2424200000005</v>
      </c>
    </row>
    <row r="13" spans="1:6" s="366" customFormat="1" ht="12.75">
      <c r="A13" s="367">
        <v>1050100000</v>
      </c>
      <c r="B13" s="372" t="s">
        <v>154</v>
      </c>
      <c r="C13" s="369">
        <v>11393.9</v>
      </c>
      <c r="D13" s="369">
        <v>13046.88516</v>
      </c>
      <c r="E13" s="369">
        <f t="shared" si="0"/>
        <v>114.5076326806449</v>
      </c>
      <c r="F13" s="369">
        <f t="shared" si="1"/>
        <v>1652.9851600000002</v>
      </c>
    </row>
    <row r="14" spans="1:6" s="358" customFormat="1" ht="12.75">
      <c r="A14" s="367">
        <v>1050200000</v>
      </c>
      <c r="B14" s="372" t="s">
        <v>155</v>
      </c>
      <c r="C14" s="373">
        <v>1250.7</v>
      </c>
      <c r="D14" s="370">
        <v>1262.1047</v>
      </c>
      <c r="E14" s="369">
        <f t="shared" si="0"/>
        <v>100.91186535540098</v>
      </c>
      <c r="F14" s="369">
        <f t="shared" si="1"/>
        <v>11.404700000000048</v>
      </c>
    </row>
    <row r="15" spans="1:6" s="358" customFormat="1" ht="23.25" customHeight="1">
      <c r="A15" s="367">
        <v>1050300000</v>
      </c>
      <c r="B15" s="372" t="s">
        <v>156</v>
      </c>
      <c r="C15" s="373">
        <v>1283.3</v>
      </c>
      <c r="D15" s="370">
        <v>1182.99497</v>
      </c>
      <c r="E15" s="369">
        <f t="shared" si="0"/>
        <v>92.18382061871738</v>
      </c>
      <c r="F15" s="369">
        <f t="shared" si="1"/>
        <v>-100.30502999999999</v>
      </c>
    </row>
    <row r="16" spans="1:6" s="358" customFormat="1" ht="38.25">
      <c r="A16" s="367">
        <v>1050400002</v>
      </c>
      <c r="B16" s="368" t="s">
        <v>157</v>
      </c>
      <c r="C16" s="373">
        <v>1400</v>
      </c>
      <c r="D16" s="370">
        <v>1864.15759</v>
      </c>
      <c r="E16" s="369">
        <f t="shared" si="0"/>
        <v>133.15411357142858</v>
      </c>
      <c r="F16" s="369">
        <f t="shared" si="1"/>
        <v>464.15759</v>
      </c>
    </row>
    <row r="17" spans="1:6" s="366" customFormat="1" ht="15.75" customHeight="1">
      <c r="A17" s="363">
        <v>1060000</v>
      </c>
      <c r="B17" s="364" t="s">
        <v>158</v>
      </c>
      <c r="C17" s="365">
        <f>SUM(C18:C21)</f>
        <v>2482.13096</v>
      </c>
      <c r="D17" s="365">
        <f>SUM(D18:D21)</f>
        <v>2299.47884</v>
      </c>
      <c r="E17" s="365">
        <f t="shared" si="0"/>
        <v>92.64131816799869</v>
      </c>
      <c r="F17" s="365">
        <f t="shared" si="1"/>
        <v>-182.65211999999974</v>
      </c>
    </row>
    <row r="18" spans="1:6" s="366" customFormat="1" ht="18" customHeight="1" hidden="1">
      <c r="A18" s="367">
        <v>1060100000</v>
      </c>
      <c r="B18" s="372" t="s">
        <v>159</v>
      </c>
      <c r="C18" s="369"/>
      <c r="D18" s="370"/>
      <c r="E18" s="365" t="e">
        <f t="shared" si="0"/>
        <v>#DIV/0!</v>
      </c>
      <c r="F18" s="365">
        <f t="shared" si="1"/>
        <v>0</v>
      </c>
    </row>
    <row r="19" spans="1:6" s="366" customFormat="1" ht="2.25" customHeight="1" hidden="1">
      <c r="A19" s="367">
        <v>1060200000</v>
      </c>
      <c r="B19" s="372" t="s">
        <v>160</v>
      </c>
      <c r="C19" s="369"/>
      <c r="D19" s="370"/>
      <c r="E19" s="365" t="e">
        <f t="shared" si="0"/>
        <v>#DIV/0!</v>
      </c>
      <c r="F19" s="365">
        <f t="shared" si="1"/>
        <v>0</v>
      </c>
    </row>
    <row r="20" spans="1:6" s="366" customFormat="1" ht="12" customHeight="1">
      <c r="A20" s="367">
        <v>1060400000</v>
      </c>
      <c r="B20" s="372" t="s">
        <v>161</v>
      </c>
      <c r="C20" s="369">
        <v>2482.13096</v>
      </c>
      <c r="D20" s="370">
        <v>2299.47884</v>
      </c>
      <c r="E20" s="369">
        <f t="shared" si="0"/>
        <v>92.64131816799869</v>
      </c>
      <c r="F20" s="369">
        <f t="shared" si="1"/>
        <v>-182.65211999999974</v>
      </c>
    </row>
    <row r="21" spans="1:6" s="358" customFormat="1" ht="31.5" customHeight="1" hidden="1">
      <c r="A21" s="367">
        <v>1060600000</v>
      </c>
      <c r="B21" s="372" t="s">
        <v>162</v>
      </c>
      <c r="C21" s="369"/>
      <c r="D21" s="370"/>
      <c r="E21" s="369" t="e">
        <f t="shared" si="0"/>
        <v>#DIV/0!</v>
      </c>
      <c r="F21" s="369">
        <f t="shared" si="1"/>
        <v>0</v>
      </c>
    </row>
    <row r="22" spans="1:6" s="366" customFormat="1" ht="42" customHeight="1">
      <c r="A22" s="363">
        <v>1070000</v>
      </c>
      <c r="B22" s="371" t="s">
        <v>163</v>
      </c>
      <c r="C22" s="365">
        <f>SUM(C23)</f>
        <v>1900</v>
      </c>
      <c r="D22" s="365">
        <f>SUM(D23)</f>
        <v>3210.3273</v>
      </c>
      <c r="E22" s="365">
        <f t="shared" si="0"/>
        <v>168.96459473684212</v>
      </c>
      <c r="F22" s="365">
        <f t="shared" si="1"/>
        <v>1310.3273</v>
      </c>
    </row>
    <row r="23" spans="1:6" s="358" customFormat="1" ht="25.5" customHeight="1">
      <c r="A23" s="367">
        <v>1070102001</v>
      </c>
      <c r="B23" s="368" t="s">
        <v>164</v>
      </c>
      <c r="C23" s="369">
        <v>1900</v>
      </c>
      <c r="D23" s="370">
        <v>3210.3273</v>
      </c>
      <c r="E23" s="369">
        <f t="shared" si="0"/>
        <v>168.96459473684212</v>
      </c>
      <c r="F23" s="369">
        <f t="shared" si="1"/>
        <v>1310.3273</v>
      </c>
    </row>
    <row r="24" spans="1:6" s="366" customFormat="1" ht="12.75">
      <c r="A24" s="363">
        <v>1080000</v>
      </c>
      <c r="B24" s="364" t="s">
        <v>165</v>
      </c>
      <c r="C24" s="365">
        <f>C25+C26+C27</f>
        <v>3000</v>
      </c>
      <c r="D24" s="365">
        <f>D25+D26+D27</f>
        <v>2289.44062</v>
      </c>
      <c r="E24" s="365">
        <f t="shared" si="0"/>
        <v>76.31468733333332</v>
      </c>
      <c r="F24" s="365">
        <f t="shared" si="1"/>
        <v>-710.5593800000001</v>
      </c>
    </row>
    <row r="25" spans="1:6" s="358" customFormat="1" ht="21" customHeight="1">
      <c r="A25" s="367">
        <v>1080300001</v>
      </c>
      <c r="B25" s="368" t="s">
        <v>166</v>
      </c>
      <c r="C25" s="369">
        <v>2990</v>
      </c>
      <c r="D25" s="370">
        <v>2284.44062</v>
      </c>
      <c r="E25" s="369">
        <f t="shared" si="0"/>
        <v>76.40269632107022</v>
      </c>
      <c r="F25" s="369">
        <f t="shared" si="1"/>
        <v>-705.5593800000001</v>
      </c>
    </row>
    <row r="26" spans="1:6" s="358" customFormat="1" ht="33.75" customHeight="1" hidden="1">
      <c r="A26" s="367">
        <v>1080600001</v>
      </c>
      <c r="B26" s="368" t="s">
        <v>167</v>
      </c>
      <c r="C26" s="369">
        <v>0</v>
      </c>
      <c r="D26" s="370">
        <v>0</v>
      </c>
      <c r="E26" s="369" t="e">
        <f t="shared" si="0"/>
        <v>#DIV/0!</v>
      </c>
      <c r="F26" s="369">
        <f t="shared" si="1"/>
        <v>0</v>
      </c>
    </row>
    <row r="27" spans="1:6" s="358" customFormat="1" ht="87.75" customHeight="1">
      <c r="A27" s="367">
        <v>1080700001</v>
      </c>
      <c r="B27" s="368" t="s">
        <v>168</v>
      </c>
      <c r="C27" s="369">
        <v>10</v>
      </c>
      <c r="D27" s="370">
        <v>5</v>
      </c>
      <c r="E27" s="369">
        <f t="shared" si="0"/>
        <v>50</v>
      </c>
      <c r="F27" s="369">
        <f t="shared" si="1"/>
        <v>-5</v>
      </c>
    </row>
    <row r="28" spans="1:6" s="374" customFormat="1" ht="25.5" customHeight="1">
      <c r="A28" s="363">
        <v>109000000</v>
      </c>
      <c r="B28" s="371" t="s">
        <v>169</v>
      </c>
      <c r="C28" s="365">
        <f>C29+C30+C31+C32</f>
        <v>0</v>
      </c>
      <c r="D28" s="365">
        <f>D29+D30+D31+D32</f>
        <v>0.06718</v>
      </c>
      <c r="E28" s="369" t="e">
        <f t="shared" si="0"/>
        <v>#DIV/0!</v>
      </c>
      <c r="F28" s="365">
        <f t="shared" si="1"/>
        <v>0.06718</v>
      </c>
    </row>
    <row r="29" spans="1:6" s="374" customFormat="1" ht="24" customHeight="1">
      <c r="A29" s="367">
        <v>1090100000</v>
      </c>
      <c r="B29" s="368" t="s">
        <v>170</v>
      </c>
      <c r="C29" s="369">
        <v>0</v>
      </c>
      <c r="D29" s="370">
        <v>0</v>
      </c>
      <c r="E29" s="369" t="e">
        <f t="shared" si="0"/>
        <v>#DIV/0!</v>
      </c>
      <c r="F29" s="369">
        <f t="shared" si="1"/>
        <v>0</v>
      </c>
    </row>
    <row r="30" spans="1:6" s="374" customFormat="1" ht="23.25" customHeight="1">
      <c r="A30" s="367">
        <v>1090400000</v>
      </c>
      <c r="B30" s="368" t="s">
        <v>171</v>
      </c>
      <c r="C30" s="369">
        <v>0</v>
      </c>
      <c r="D30" s="370">
        <v>0</v>
      </c>
      <c r="E30" s="369" t="e">
        <f t="shared" si="0"/>
        <v>#DIV/0!</v>
      </c>
      <c r="F30" s="369">
        <f t="shared" si="1"/>
        <v>0</v>
      </c>
    </row>
    <row r="31" spans="1:6" s="374" customFormat="1" ht="22.5" customHeight="1">
      <c r="A31" s="367">
        <v>1090600000</v>
      </c>
      <c r="B31" s="368" t="s">
        <v>172</v>
      </c>
      <c r="C31" s="369">
        <v>0</v>
      </c>
      <c r="D31" s="370">
        <v>0</v>
      </c>
      <c r="E31" s="369" t="e">
        <f t="shared" si="0"/>
        <v>#DIV/0!</v>
      </c>
      <c r="F31" s="369">
        <f t="shared" si="1"/>
        <v>0</v>
      </c>
    </row>
    <row r="32" spans="1:6" s="374" customFormat="1" ht="21.75" customHeight="1">
      <c r="A32" s="367">
        <v>1090700000</v>
      </c>
      <c r="B32" s="368" t="s">
        <v>173</v>
      </c>
      <c r="C32" s="369">
        <v>0</v>
      </c>
      <c r="D32" s="370">
        <v>0.06718</v>
      </c>
      <c r="E32" s="369" t="e">
        <f t="shared" si="0"/>
        <v>#DIV/0!</v>
      </c>
      <c r="F32" s="369">
        <f t="shared" si="1"/>
        <v>0.06718</v>
      </c>
    </row>
    <row r="33" spans="1:6" s="366" customFormat="1" ht="21" customHeight="1">
      <c r="A33" s="363"/>
      <c r="B33" s="364" t="s">
        <v>17</v>
      </c>
      <c r="C33" s="365">
        <f>C34+C43+C45+C48+C51+C53+C58</f>
        <v>18526</v>
      </c>
      <c r="D33" s="365">
        <f>D34+D43+D45+D48+D51+D53+D58</f>
        <v>16547.11194</v>
      </c>
      <c r="E33" s="365">
        <f t="shared" si="0"/>
        <v>89.3183198747706</v>
      </c>
      <c r="F33" s="365">
        <f t="shared" si="1"/>
        <v>-1978.8880600000011</v>
      </c>
    </row>
    <row r="34" spans="1:6" s="366" customFormat="1" ht="37.5" customHeight="1">
      <c r="A34" s="363">
        <v>1110000</v>
      </c>
      <c r="B34" s="371" t="s">
        <v>174</v>
      </c>
      <c r="C34" s="365">
        <f>SUM(C35:C42)</f>
        <v>9613</v>
      </c>
      <c r="D34" s="365">
        <f>SUM(D35+D37+D38+D40+D41+D42)</f>
        <v>7101.28211</v>
      </c>
      <c r="E34" s="365">
        <f t="shared" si="0"/>
        <v>73.87165411422033</v>
      </c>
      <c r="F34" s="365">
        <f t="shared" si="1"/>
        <v>-2511.71789</v>
      </c>
    </row>
    <row r="35" spans="1:6" s="366" customFormat="1" ht="26.25" customHeight="1">
      <c r="A35" s="367">
        <v>1110105005</v>
      </c>
      <c r="B35" s="368" t="s">
        <v>175</v>
      </c>
      <c r="C35" s="369">
        <v>0</v>
      </c>
      <c r="D35" s="369">
        <v>0</v>
      </c>
      <c r="E35" s="369" t="e">
        <f t="shared" si="0"/>
        <v>#DIV/0!</v>
      </c>
      <c r="F35" s="369">
        <f t="shared" si="1"/>
        <v>0</v>
      </c>
    </row>
    <row r="36" spans="1:6" s="358" customFormat="1" ht="27.75" customHeight="1" hidden="1">
      <c r="A36" s="367">
        <v>1110305005</v>
      </c>
      <c r="B36" s="372" t="s">
        <v>176</v>
      </c>
      <c r="C36" s="369">
        <v>0</v>
      </c>
      <c r="D36" s="370">
        <v>0</v>
      </c>
      <c r="E36" s="369" t="e">
        <f t="shared" si="0"/>
        <v>#DIV/0!</v>
      </c>
      <c r="F36" s="369">
        <f t="shared" si="1"/>
        <v>0</v>
      </c>
    </row>
    <row r="37" spans="1:6" s="358" customFormat="1" ht="12.75">
      <c r="A37" s="375">
        <v>1110501101</v>
      </c>
      <c r="B37" s="376" t="s">
        <v>177</v>
      </c>
      <c r="C37" s="373">
        <v>8800</v>
      </c>
      <c r="D37" s="370">
        <v>6342.19661</v>
      </c>
      <c r="E37" s="369">
        <f t="shared" si="0"/>
        <v>72.07041602272727</v>
      </c>
      <c r="F37" s="369">
        <f t="shared" si="1"/>
        <v>-2457.80339</v>
      </c>
    </row>
    <row r="38" spans="1:6" s="358" customFormat="1" ht="10.5" customHeight="1">
      <c r="A38" s="367">
        <v>1110503505</v>
      </c>
      <c r="B38" s="372" t="s">
        <v>178</v>
      </c>
      <c r="C38" s="373">
        <v>246</v>
      </c>
      <c r="D38" s="370">
        <v>249.92933</v>
      </c>
      <c r="E38" s="369">
        <f t="shared" si="0"/>
        <v>101.59728861788618</v>
      </c>
      <c r="F38" s="369">
        <f t="shared" si="1"/>
        <v>3.929329999999993</v>
      </c>
    </row>
    <row r="39" spans="1:6" s="358" customFormat="1" ht="131.25" customHeight="1" hidden="1">
      <c r="A39" s="367">
        <v>1110502000</v>
      </c>
      <c r="B39" s="368" t="s">
        <v>179</v>
      </c>
      <c r="C39" s="377">
        <v>0</v>
      </c>
      <c r="D39" s="370">
        <v>0</v>
      </c>
      <c r="E39" s="369" t="e">
        <f t="shared" si="0"/>
        <v>#DIV/0!</v>
      </c>
      <c r="F39" s="369">
        <f t="shared" si="1"/>
        <v>0</v>
      </c>
    </row>
    <row r="40" spans="1:6" s="374" customFormat="1" ht="12.75">
      <c r="A40" s="367">
        <v>1110701505</v>
      </c>
      <c r="B40" s="372" t="s">
        <v>180</v>
      </c>
      <c r="C40" s="373">
        <v>47</v>
      </c>
      <c r="D40" s="370">
        <v>46.986</v>
      </c>
      <c r="E40" s="369">
        <f t="shared" si="0"/>
        <v>99.97021276595744</v>
      </c>
      <c r="F40" s="369">
        <f t="shared" si="1"/>
        <v>-0.014000000000002899</v>
      </c>
    </row>
    <row r="41" spans="1:6" s="374" customFormat="1" ht="12.75">
      <c r="A41" s="367">
        <v>1110903000</v>
      </c>
      <c r="B41" s="372" t="s">
        <v>181</v>
      </c>
      <c r="C41" s="373">
        <v>0</v>
      </c>
      <c r="D41" s="370">
        <v>0</v>
      </c>
      <c r="E41" s="369" t="e">
        <f t="shared" si="0"/>
        <v>#DIV/0!</v>
      </c>
      <c r="F41" s="369">
        <f t="shared" si="1"/>
        <v>0</v>
      </c>
    </row>
    <row r="42" spans="1:6" s="374" customFormat="1" ht="12.75">
      <c r="A42" s="367">
        <v>1110904505</v>
      </c>
      <c r="B42" s="372" t="s">
        <v>182</v>
      </c>
      <c r="C42" s="373">
        <v>520</v>
      </c>
      <c r="D42" s="370">
        <v>462.17017</v>
      </c>
      <c r="E42" s="369">
        <f t="shared" si="0"/>
        <v>88.87887884615384</v>
      </c>
      <c r="F42" s="369">
        <f t="shared" si="1"/>
        <v>-57.829830000000015</v>
      </c>
    </row>
    <row r="43" spans="1:6" s="374" customFormat="1" ht="25.5">
      <c r="A43" s="363">
        <v>1120000</v>
      </c>
      <c r="B43" s="371" t="s">
        <v>183</v>
      </c>
      <c r="C43" s="378">
        <f>C44</f>
        <v>1330</v>
      </c>
      <c r="D43" s="378">
        <f>SUM(D44)</f>
        <v>1227.70981</v>
      </c>
      <c r="E43" s="365">
        <f t="shared" si="0"/>
        <v>92.3090082706767</v>
      </c>
      <c r="F43" s="365" t="e">
        <f>SUM("d43d43"-C43)</f>
        <v>#VALUE!</v>
      </c>
    </row>
    <row r="44" spans="1:6" s="374" customFormat="1" ht="25.5">
      <c r="A44" s="367">
        <v>1120100001</v>
      </c>
      <c r="B44" s="368" t="s">
        <v>184</v>
      </c>
      <c r="C44" s="369">
        <v>1330</v>
      </c>
      <c r="D44" s="370">
        <v>1227.70981</v>
      </c>
      <c r="E44" s="369">
        <f t="shared" si="0"/>
        <v>92.3090082706767</v>
      </c>
      <c r="F44" s="369">
        <f aca="true" t="shared" si="2" ref="F44:F71">SUM(D44-C44)</f>
        <v>-102.29018999999994</v>
      </c>
    </row>
    <row r="45" spans="1:6" s="381" customFormat="1" ht="21.75" customHeight="1">
      <c r="A45" s="379">
        <v>1130000</v>
      </c>
      <c r="B45" s="380" t="s">
        <v>185</v>
      </c>
      <c r="C45" s="365">
        <f>C46+C47</f>
        <v>83</v>
      </c>
      <c r="D45" s="446">
        <f>D46+D47</f>
        <v>66.47303</v>
      </c>
      <c r="E45" s="365">
        <f t="shared" si="0"/>
        <v>80.08798795180722</v>
      </c>
      <c r="F45" s="365">
        <f t="shared" si="2"/>
        <v>-16.526970000000006</v>
      </c>
    </row>
    <row r="46" spans="1:6" s="374" customFormat="1" ht="36" customHeight="1">
      <c r="A46" s="367">
        <v>1130200000</v>
      </c>
      <c r="B46" s="368" t="s">
        <v>186</v>
      </c>
      <c r="C46" s="369">
        <v>83</v>
      </c>
      <c r="D46" s="369">
        <v>66.47303</v>
      </c>
      <c r="E46" s="369">
        <f t="shared" si="0"/>
        <v>80.08798795180722</v>
      </c>
      <c r="F46" s="369">
        <f t="shared" si="2"/>
        <v>-16.526970000000006</v>
      </c>
    </row>
    <row r="47" spans="1:6" s="358" customFormat="1" ht="25.5" customHeight="1">
      <c r="A47" s="367">
        <v>1130305005</v>
      </c>
      <c r="B47" s="368" t="s">
        <v>187</v>
      </c>
      <c r="C47" s="369">
        <v>0</v>
      </c>
      <c r="D47" s="370">
        <v>0</v>
      </c>
      <c r="E47" s="369"/>
      <c r="F47" s="369">
        <f t="shared" si="2"/>
        <v>0</v>
      </c>
    </row>
    <row r="48" spans="1:6" s="358" customFormat="1" ht="20.25" customHeight="1">
      <c r="A48" s="382">
        <v>1140000</v>
      </c>
      <c r="B48" s="383" t="s">
        <v>188</v>
      </c>
      <c r="C48" s="365">
        <f>C49+C50</f>
        <v>6000</v>
      </c>
      <c r="D48" s="365">
        <f>D49+D50</f>
        <v>6627.04868</v>
      </c>
      <c r="E48" s="365">
        <f aca="true" t="shared" si="3" ref="E48:E72">SUM(D48/C48*100)</f>
        <v>110.45081133333332</v>
      </c>
      <c r="F48" s="365">
        <f t="shared" si="2"/>
        <v>627.0486799999999</v>
      </c>
    </row>
    <row r="49" spans="1:6" s="358" customFormat="1" ht="12.75">
      <c r="A49" s="384">
        <v>1140200000</v>
      </c>
      <c r="B49" s="385" t="s">
        <v>189</v>
      </c>
      <c r="C49" s="369">
        <v>1000</v>
      </c>
      <c r="D49" s="370">
        <v>649.62864</v>
      </c>
      <c r="E49" s="369">
        <f t="shared" si="3"/>
        <v>64.962864</v>
      </c>
      <c r="F49" s="369">
        <f t="shared" si="2"/>
        <v>-350.37136</v>
      </c>
    </row>
    <row r="50" spans="1:6" s="358" customFormat="1" ht="24" customHeight="1">
      <c r="A50" s="386">
        <v>1140600000</v>
      </c>
      <c r="B50" s="368" t="s">
        <v>190</v>
      </c>
      <c r="C50" s="369">
        <v>5000</v>
      </c>
      <c r="D50" s="370">
        <v>5977.42004</v>
      </c>
      <c r="E50" s="369">
        <f t="shared" si="3"/>
        <v>119.5484008</v>
      </c>
      <c r="F50" s="369">
        <f t="shared" si="2"/>
        <v>977.42004</v>
      </c>
    </row>
    <row r="51" spans="1:6" s="358" customFormat="1" ht="24" customHeight="1">
      <c r="A51" s="363">
        <v>1150000000</v>
      </c>
      <c r="B51" s="371" t="s">
        <v>191</v>
      </c>
      <c r="C51" s="365">
        <f>C52</f>
        <v>0</v>
      </c>
      <c r="D51" s="365">
        <f>D52</f>
        <v>0</v>
      </c>
      <c r="E51" s="365" t="e">
        <f t="shared" si="3"/>
        <v>#DIV/0!</v>
      </c>
      <c r="F51" s="365">
        <f t="shared" si="2"/>
        <v>0</v>
      </c>
    </row>
    <row r="52" spans="1:6" s="358" customFormat="1" ht="24" customHeight="1">
      <c r="A52" s="367">
        <v>1150205005</v>
      </c>
      <c r="B52" s="368" t="s">
        <v>192</v>
      </c>
      <c r="C52" s="369">
        <v>0</v>
      </c>
      <c r="D52" s="370">
        <v>0</v>
      </c>
      <c r="E52" s="369" t="e">
        <f t="shared" si="3"/>
        <v>#DIV/0!</v>
      </c>
      <c r="F52" s="369">
        <f t="shared" si="2"/>
        <v>0</v>
      </c>
    </row>
    <row r="53" spans="1:8" s="358" customFormat="1" ht="25.5">
      <c r="A53" s="363">
        <v>1160000</v>
      </c>
      <c r="B53" s="371" t="s">
        <v>193</v>
      </c>
      <c r="C53" s="365">
        <f>SUM(C54:C57)</f>
        <v>1500</v>
      </c>
      <c r="D53" s="365">
        <f>SUM(D54:D57)</f>
        <v>1524.5983099999999</v>
      </c>
      <c r="E53" s="365">
        <f t="shared" si="3"/>
        <v>101.63988733333333</v>
      </c>
      <c r="F53" s="365">
        <f t="shared" si="2"/>
        <v>24.598309999999856</v>
      </c>
      <c r="H53" s="387"/>
    </row>
    <row r="54" spans="1:6" s="358" customFormat="1" ht="36.75" customHeight="1">
      <c r="A54" s="367">
        <v>1160100001</v>
      </c>
      <c r="B54" s="368" t="s">
        <v>194</v>
      </c>
      <c r="C54" s="369">
        <v>927</v>
      </c>
      <c r="D54" s="388">
        <v>967.91455</v>
      </c>
      <c r="E54" s="369">
        <f t="shared" si="3"/>
        <v>104.41365156418554</v>
      </c>
      <c r="F54" s="369">
        <f t="shared" si="2"/>
        <v>40.91454999999996</v>
      </c>
    </row>
    <row r="55" spans="1:6" s="358" customFormat="1" ht="39.75" customHeight="1">
      <c r="A55" s="367">
        <v>1160709000</v>
      </c>
      <c r="B55" s="368" t="s">
        <v>195</v>
      </c>
      <c r="C55" s="369">
        <v>336</v>
      </c>
      <c r="D55" s="389">
        <v>294.51127</v>
      </c>
      <c r="E55" s="369">
        <f t="shared" si="3"/>
        <v>87.65216369047619</v>
      </c>
      <c r="F55" s="369">
        <f t="shared" si="2"/>
        <v>-41.488729999999975</v>
      </c>
    </row>
    <row r="56" spans="1:6" s="358" customFormat="1" ht="41.25" customHeight="1">
      <c r="A56" s="367">
        <v>1161012000</v>
      </c>
      <c r="B56" s="368" t="s">
        <v>196</v>
      </c>
      <c r="C56" s="389">
        <v>150</v>
      </c>
      <c r="D56" s="389">
        <v>176.69409</v>
      </c>
      <c r="E56" s="369">
        <f t="shared" si="3"/>
        <v>117.79606</v>
      </c>
      <c r="F56" s="369">
        <f t="shared" si="2"/>
        <v>26.69408999999999</v>
      </c>
    </row>
    <row r="57" spans="1:6" s="358" customFormat="1" ht="41.25" customHeight="1">
      <c r="A57" s="367">
        <v>1161100001</v>
      </c>
      <c r="B57" s="368" t="s">
        <v>197</v>
      </c>
      <c r="C57" s="389">
        <v>87</v>
      </c>
      <c r="D57" s="389">
        <v>85.4784</v>
      </c>
      <c r="E57" s="369">
        <f t="shared" si="3"/>
        <v>98.25103448275861</v>
      </c>
      <c r="F57" s="369">
        <f t="shared" si="2"/>
        <v>-1.5216000000000065</v>
      </c>
    </row>
    <row r="58" spans="1:6" s="358" customFormat="1" ht="25.5" customHeight="1">
      <c r="A58" s="363">
        <v>1170000</v>
      </c>
      <c r="B58" s="371" t="s">
        <v>198</v>
      </c>
      <c r="C58" s="365">
        <f>C59+C60</f>
        <v>0</v>
      </c>
      <c r="D58" s="365">
        <f>D59+D60</f>
        <v>0</v>
      </c>
      <c r="E58" s="369" t="e">
        <f t="shared" si="3"/>
        <v>#DIV/0!</v>
      </c>
      <c r="F58" s="365">
        <f t="shared" si="2"/>
        <v>0</v>
      </c>
    </row>
    <row r="59" spans="1:6" s="358" customFormat="1" ht="12.75">
      <c r="A59" s="367">
        <v>1170105005</v>
      </c>
      <c r="B59" s="368" t="s">
        <v>199</v>
      </c>
      <c r="C59" s="369">
        <v>0</v>
      </c>
      <c r="D59" s="369">
        <v>0</v>
      </c>
      <c r="E59" s="369" t="e">
        <f t="shared" si="3"/>
        <v>#DIV/0!</v>
      </c>
      <c r="F59" s="369">
        <f t="shared" si="2"/>
        <v>0</v>
      </c>
    </row>
    <row r="60" spans="1:6" s="358" customFormat="1" ht="12.75">
      <c r="A60" s="367">
        <v>1170505005</v>
      </c>
      <c r="B60" s="372" t="s">
        <v>200</v>
      </c>
      <c r="C60" s="369">
        <v>0</v>
      </c>
      <c r="D60" s="370">
        <v>0</v>
      </c>
      <c r="E60" s="369" t="e">
        <f t="shared" si="3"/>
        <v>#DIV/0!</v>
      </c>
      <c r="F60" s="369">
        <f t="shared" si="2"/>
        <v>0</v>
      </c>
    </row>
    <row r="61" spans="1:8" s="366" customFormat="1" ht="12.75">
      <c r="A61" s="363">
        <v>100000</v>
      </c>
      <c r="B61" s="364" t="s">
        <v>26</v>
      </c>
      <c r="C61" s="390">
        <f>SUM(C4,C33)</f>
        <v>177584.13096</v>
      </c>
      <c r="D61" s="390">
        <f>SUM(D4,D33)</f>
        <v>163996.46130000002</v>
      </c>
      <c r="E61" s="365">
        <f t="shared" si="3"/>
        <v>92.34860142820952</v>
      </c>
      <c r="F61" s="365">
        <f t="shared" si="2"/>
        <v>-13587.669659999985</v>
      </c>
      <c r="G61" s="391"/>
      <c r="H61" s="391"/>
    </row>
    <row r="62" spans="1:8" s="366" customFormat="1" ht="30" customHeight="1">
      <c r="A62" s="363">
        <v>200000</v>
      </c>
      <c r="B62" s="364" t="s">
        <v>201</v>
      </c>
      <c r="C62" s="365">
        <f>C63+C66+C67+C68+C70+C65+C69</f>
        <v>885666.17903</v>
      </c>
      <c r="D62" s="365">
        <f>D63+D66+D67+D68+D70+D65+D69</f>
        <v>728827.9201899999</v>
      </c>
      <c r="E62" s="365">
        <f t="shared" si="3"/>
        <v>82.29149282726674</v>
      </c>
      <c r="F62" s="365">
        <f t="shared" si="2"/>
        <v>-156838.25884000014</v>
      </c>
      <c r="G62" s="391"/>
      <c r="H62" s="391"/>
    </row>
    <row r="63" spans="1:6" s="358" customFormat="1" ht="21.75" customHeight="1">
      <c r="A63" s="375">
        <v>2021000000</v>
      </c>
      <c r="B63" s="376" t="s">
        <v>202</v>
      </c>
      <c r="C63" s="373">
        <v>10026.8</v>
      </c>
      <c r="D63" s="392">
        <v>9191.6</v>
      </c>
      <c r="E63" s="369">
        <f t="shared" si="3"/>
        <v>91.67032353293175</v>
      </c>
      <c r="F63" s="369">
        <f t="shared" si="2"/>
        <v>-835.1999999999989</v>
      </c>
    </row>
    <row r="64" spans="1:6" s="358" customFormat="1" ht="21.75" customHeight="1">
      <c r="A64" s="375">
        <v>2020100905</v>
      </c>
      <c r="B64" s="385" t="s">
        <v>203</v>
      </c>
      <c r="C64" s="373">
        <v>0</v>
      </c>
      <c r="D64" s="392" t="s">
        <v>204</v>
      </c>
      <c r="E64" s="369" t="e">
        <f t="shared" si="3"/>
        <v>#VALUE!</v>
      </c>
      <c r="F64" s="369" t="e">
        <f t="shared" si="2"/>
        <v>#VALUE!</v>
      </c>
    </row>
    <row r="65" spans="1:6" s="358" customFormat="1" ht="18" customHeight="1">
      <c r="A65" s="375">
        <v>2021500200</v>
      </c>
      <c r="B65" s="376" t="s">
        <v>205</v>
      </c>
      <c r="C65" s="373"/>
      <c r="D65" s="392"/>
      <c r="E65" s="369" t="e">
        <f t="shared" si="3"/>
        <v>#DIV/0!</v>
      </c>
      <c r="F65" s="369">
        <f t="shared" si="2"/>
        <v>0</v>
      </c>
    </row>
    <row r="66" spans="1:6" s="358" customFormat="1" ht="12.75">
      <c r="A66" s="375">
        <v>2022000000</v>
      </c>
      <c r="B66" s="376" t="s">
        <v>206</v>
      </c>
      <c r="C66" s="373">
        <v>397505.72259</v>
      </c>
      <c r="D66" s="370">
        <v>306358.82984</v>
      </c>
      <c r="E66" s="369">
        <f t="shared" si="3"/>
        <v>77.07029419447835</v>
      </c>
      <c r="F66" s="369">
        <f t="shared" si="2"/>
        <v>-91146.89275</v>
      </c>
    </row>
    <row r="67" spans="1:6" s="358" customFormat="1" ht="12.75">
      <c r="A67" s="375">
        <v>2023000000</v>
      </c>
      <c r="B67" s="376" t="s">
        <v>207</v>
      </c>
      <c r="C67" s="373">
        <v>429508.34653</v>
      </c>
      <c r="D67" s="393">
        <v>376501.80159</v>
      </c>
      <c r="E67" s="369">
        <f t="shared" si="3"/>
        <v>87.65878582611022</v>
      </c>
      <c r="F67" s="369">
        <f t="shared" si="2"/>
        <v>-53006.54493999999</v>
      </c>
    </row>
    <row r="68" spans="1:6" s="358" customFormat="1" ht="19.5" customHeight="1">
      <c r="A68" s="375">
        <v>2024000000</v>
      </c>
      <c r="B68" s="385" t="s">
        <v>102</v>
      </c>
      <c r="C68" s="373">
        <v>68364.283</v>
      </c>
      <c r="D68" s="394">
        <v>56046.86663</v>
      </c>
      <c r="E68" s="369">
        <f t="shared" si="3"/>
        <v>81.98267307213622</v>
      </c>
      <c r="F68" s="369">
        <f t="shared" si="2"/>
        <v>-12317.416369999999</v>
      </c>
    </row>
    <row r="69" spans="1:6" s="358" customFormat="1" ht="12.75">
      <c r="A69" s="375">
        <v>2180500005</v>
      </c>
      <c r="B69" s="385" t="s">
        <v>208</v>
      </c>
      <c r="C69" s="373">
        <v>0</v>
      </c>
      <c r="D69" s="394">
        <v>470.61147</v>
      </c>
      <c r="E69" s="369" t="e">
        <f t="shared" si="3"/>
        <v>#DIV/0!</v>
      </c>
      <c r="F69" s="369">
        <f t="shared" si="2"/>
        <v>470.61147</v>
      </c>
    </row>
    <row r="70" spans="1:6" s="358" customFormat="1" ht="18" customHeight="1">
      <c r="A70" s="367">
        <v>2196001005</v>
      </c>
      <c r="B70" s="372" t="s">
        <v>209</v>
      </c>
      <c r="C70" s="370">
        <v>-19738.97309</v>
      </c>
      <c r="D70" s="370">
        <v>-19741.78934</v>
      </c>
      <c r="E70" s="369">
        <f t="shared" si="3"/>
        <v>100.01426745954392</v>
      </c>
      <c r="F70" s="369">
        <f t="shared" si="2"/>
        <v>-2.8162499999998545</v>
      </c>
    </row>
    <row r="71" spans="1:6" s="366" customFormat="1" ht="24" customHeight="1" hidden="1">
      <c r="A71" s="363">
        <v>3000000000</v>
      </c>
      <c r="B71" s="371" t="s">
        <v>210</v>
      </c>
      <c r="C71" s="378">
        <v>0</v>
      </c>
      <c r="D71" s="395">
        <v>0</v>
      </c>
      <c r="E71" s="369" t="e">
        <f t="shared" si="3"/>
        <v>#DIV/0!</v>
      </c>
      <c r="F71" s="365">
        <f t="shared" si="2"/>
        <v>0</v>
      </c>
    </row>
    <row r="72" spans="1:8" s="366" customFormat="1" ht="22.5" customHeight="1">
      <c r="A72" s="363"/>
      <c r="B72" s="364" t="s">
        <v>211</v>
      </c>
      <c r="C72" s="396">
        <f>C61+C62</f>
        <v>1063250.30999</v>
      </c>
      <c r="D72" s="396">
        <f>D61+D62</f>
        <v>892824.3814899998</v>
      </c>
      <c r="E72" s="369">
        <f t="shared" si="3"/>
        <v>83.97123171291592</v>
      </c>
      <c r="F72" s="365">
        <f>SUM(D73-C72)</f>
        <v>-1068119.42528</v>
      </c>
      <c r="G72" s="397">
        <f>C72-798026.07441</f>
        <v>265224.23558</v>
      </c>
      <c r="H72" s="391">
        <f>D72-379713.41199</f>
        <v>513110.96949999983</v>
      </c>
    </row>
    <row r="73" spans="1:8" s="366" customFormat="1" ht="12.75">
      <c r="A73" s="363"/>
      <c r="B73" s="398" t="s">
        <v>212</v>
      </c>
      <c r="C73" s="399">
        <f>C72-C134</f>
        <v>-48638.63086999999</v>
      </c>
      <c r="D73" s="365">
        <f>D72-D134</f>
        <v>-4869.115290000103</v>
      </c>
      <c r="E73" s="400"/>
      <c r="F73" s="400"/>
      <c r="G73" s="391"/>
      <c r="H73" s="391"/>
    </row>
    <row r="74" spans="1:6" s="358" customFormat="1" ht="12.75">
      <c r="A74" s="401"/>
      <c r="B74" s="402"/>
      <c r="C74" s="403"/>
      <c r="D74" s="403"/>
      <c r="E74" s="404"/>
      <c r="F74" s="404"/>
    </row>
    <row r="75" spans="1:6" s="358" customFormat="1" ht="38.25">
      <c r="A75" s="405" t="s">
        <v>141</v>
      </c>
      <c r="B75" s="405" t="s">
        <v>213</v>
      </c>
      <c r="C75" s="360" t="s">
        <v>143</v>
      </c>
      <c r="D75" s="361" t="s">
        <v>441</v>
      </c>
      <c r="E75" s="360" t="s">
        <v>144</v>
      </c>
      <c r="F75" s="362" t="s">
        <v>145</v>
      </c>
    </row>
    <row r="76" spans="1:6" s="358" customFormat="1" ht="12.75">
      <c r="A76" s="406">
        <v>1</v>
      </c>
      <c r="B76" s="405">
        <v>2</v>
      </c>
      <c r="C76" s="407">
        <v>3</v>
      </c>
      <c r="D76" s="408">
        <v>4</v>
      </c>
      <c r="E76" s="407">
        <v>5</v>
      </c>
      <c r="F76" s="407">
        <v>6</v>
      </c>
    </row>
    <row r="77" spans="1:6" s="366" customFormat="1" ht="22.5" customHeight="1">
      <c r="A77" s="409" t="s">
        <v>33</v>
      </c>
      <c r="B77" s="410" t="s">
        <v>214</v>
      </c>
      <c r="C77" s="400">
        <f>SUM(C78+C79+C80+C81+C82+C83+C84)</f>
        <v>48237.52687</v>
      </c>
      <c r="D77" s="400">
        <f>SUM(D78:D84)</f>
        <v>39451.07502</v>
      </c>
      <c r="E77" s="411">
        <f aca="true" t="shared" si="4" ref="E77:E94">SUM(D77/C77*100)</f>
        <v>81.78502833762712</v>
      </c>
      <c r="F77" s="411">
        <f aca="true" t="shared" si="5" ref="F77:F94">SUM(D77-C77)</f>
        <v>-8786.451850000005</v>
      </c>
    </row>
    <row r="78" spans="1:6" s="366" customFormat="1" ht="25.5">
      <c r="A78" s="412" t="s">
        <v>215</v>
      </c>
      <c r="B78" s="413" t="s">
        <v>216</v>
      </c>
      <c r="C78" s="414">
        <v>50</v>
      </c>
      <c r="D78" s="414">
        <v>5.69664</v>
      </c>
      <c r="E78" s="411">
        <f t="shared" si="4"/>
        <v>11.39328</v>
      </c>
      <c r="F78" s="411">
        <f t="shared" si="5"/>
        <v>-44.30336</v>
      </c>
    </row>
    <row r="79" spans="1:6" s="358" customFormat="1" ht="21.75" customHeight="1">
      <c r="A79" s="412" t="s">
        <v>217</v>
      </c>
      <c r="B79" s="415" t="s">
        <v>218</v>
      </c>
      <c r="C79" s="414">
        <v>27396.946</v>
      </c>
      <c r="D79" s="414">
        <v>23023.65686</v>
      </c>
      <c r="E79" s="416">
        <f t="shared" si="4"/>
        <v>84.03731153100057</v>
      </c>
      <c r="F79" s="416">
        <f t="shared" si="5"/>
        <v>-4373.289140000001</v>
      </c>
    </row>
    <row r="80" spans="1:6" s="358" customFormat="1" ht="13.5" customHeight="1">
      <c r="A80" s="412" t="s">
        <v>219</v>
      </c>
      <c r="B80" s="415" t="s">
        <v>220</v>
      </c>
      <c r="C80" s="414">
        <v>10</v>
      </c>
      <c r="D80" s="414">
        <v>10</v>
      </c>
      <c r="E80" s="416">
        <f t="shared" si="4"/>
        <v>100</v>
      </c>
      <c r="F80" s="416">
        <f t="shared" si="5"/>
        <v>0</v>
      </c>
    </row>
    <row r="81" spans="1:6" s="358" customFormat="1" ht="36.75" customHeight="1">
      <c r="A81" s="412" t="s">
        <v>221</v>
      </c>
      <c r="B81" s="415" t="s">
        <v>222</v>
      </c>
      <c r="C81" s="417">
        <v>5622.115</v>
      </c>
      <c r="D81" s="417">
        <v>4822.97748</v>
      </c>
      <c r="E81" s="416">
        <f t="shared" si="4"/>
        <v>85.78582046080523</v>
      </c>
      <c r="F81" s="416">
        <f t="shared" si="5"/>
        <v>-799.1375200000002</v>
      </c>
    </row>
    <row r="82" spans="1:6" s="358" customFormat="1" ht="14.25" customHeight="1">
      <c r="A82" s="412" t="s">
        <v>223</v>
      </c>
      <c r="B82" s="415" t="s">
        <v>224</v>
      </c>
      <c r="C82" s="414">
        <v>61.5</v>
      </c>
      <c r="D82" s="414">
        <v>61.5</v>
      </c>
      <c r="E82" s="416">
        <f t="shared" si="4"/>
        <v>100</v>
      </c>
      <c r="F82" s="416">
        <f t="shared" si="5"/>
        <v>0</v>
      </c>
    </row>
    <row r="83" spans="1:6" s="358" customFormat="1" ht="18" customHeight="1">
      <c r="A83" s="412" t="s">
        <v>225</v>
      </c>
      <c r="B83" s="415" t="s">
        <v>226</v>
      </c>
      <c r="C83" s="417">
        <v>2853.23983</v>
      </c>
      <c r="D83" s="417">
        <v>0</v>
      </c>
      <c r="E83" s="416">
        <f t="shared" si="4"/>
        <v>0</v>
      </c>
      <c r="F83" s="416">
        <f t="shared" si="5"/>
        <v>-2853.23983</v>
      </c>
    </row>
    <row r="84" spans="1:6" s="358" customFormat="1" ht="18" customHeight="1">
      <c r="A84" s="412" t="s">
        <v>227</v>
      </c>
      <c r="B84" s="415" t="s">
        <v>228</v>
      </c>
      <c r="C84" s="414">
        <v>12243.72604</v>
      </c>
      <c r="D84" s="414">
        <v>11527.24404</v>
      </c>
      <c r="E84" s="416">
        <f t="shared" si="4"/>
        <v>94.14817027382621</v>
      </c>
      <c r="F84" s="416">
        <f t="shared" si="5"/>
        <v>-716.482</v>
      </c>
    </row>
    <row r="85" spans="1:6" s="366" customFormat="1" ht="12.75">
      <c r="A85" s="418" t="s">
        <v>35</v>
      </c>
      <c r="B85" s="419" t="s">
        <v>229</v>
      </c>
      <c r="C85" s="400">
        <f>C86</f>
        <v>2384.6</v>
      </c>
      <c r="D85" s="400">
        <f>D86</f>
        <v>2188.4</v>
      </c>
      <c r="E85" s="411">
        <f t="shared" si="4"/>
        <v>91.77220498196763</v>
      </c>
      <c r="F85" s="411">
        <f t="shared" si="5"/>
        <v>-196.19999999999982</v>
      </c>
    </row>
    <row r="86" spans="1:6" s="358" customFormat="1" ht="25.5">
      <c r="A86" s="420" t="s">
        <v>230</v>
      </c>
      <c r="B86" s="421" t="s">
        <v>231</v>
      </c>
      <c r="C86" s="414">
        <v>2384.6</v>
      </c>
      <c r="D86" s="414">
        <v>2188.4</v>
      </c>
      <c r="E86" s="416">
        <f t="shared" si="4"/>
        <v>91.77220498196763</v>
      </c>
      <c r="F86" s="416">
        <f t="shared" si="5"/>
        <v>-196.19999999999982</v>
      </c>
    </row>
    <row r="87" spans="1:6" s="366" customFormat="1" ht="21" customHeight="1">
      <c r="A87" s="409" t="s">
        <v>37</v>
      </c>
      <c r="B87" s="410" t="s">
        <v>232</v>
      </c>
      <c r="C87" s="400">
        <f>SUM(C89:C92)</f>
        <v>6053.4464</v>
      </c>
      <c r="D87" s="422">
        <f>SUM(D89:D92)</f>
        <v>5621.6631800000005</v>
      </c>
      <c r="E87" s="411">
        <f t="shared" si="4"/>
        <v>92.86715052106517</v>
      </c>
      <c r="F87" s="411">
        <f t="shared" si="5"/>
        <v>-431.78321999999935</v>
      </c>
    </row>
    <row r="88" spans="1:6" s="358" customFormat="1" ht="23.25" customHeight="1" hidden="1">
      <c r="A88" s="412" t="s">
        <v>233</v>
      </c>
      <c r="B88" s="415" t="s">
        <v>234</v>
      </c>
      <c r="C88" s="414"/>
      <c r="D88" s="414"/>
      <c r="E88" s="416" t="e">
        <f t="shared" si="4"/>
        <v>#DIV/0!</v>
      </c>
      <c r="F88" s="416">
        <f t="shared" si="5"/>
        <v>0</v>
      </c>
    </row>
    <row r="89" spans="1:6" s="358" customFormat="1" ht="12.75">
      <c r="A89" s="423" t="s">
        <v>235</v>
      </c>
      <c r="B89" s="415" t="s">
        <v>236</v>
      </c>
      <c r="C89" s="414">
        <v>3261.8</v>
      </c>
      <c r="D89" s="414">
        <v>3107.52644</v>
      </c>
      <c r="E89" s="416">
        <f t="shared" si="4"/>
        <v>95.27029370286346</v>
      </c>
      <c r="F89" s="416">
        <f t="shared" si="5"/>
        <v>-154.2735600000001</v>
      </c>
    </row>
    <row r="90" spans="1:6" s="358" customFormat="1" ht="24.75" customHeight="1">
      <c r="A90" s="424" t="s">
        <v>237</v>
      </c>
      <c r="B90" s="425" t="s">
        <v>238</v>
      </c>
      <c r="C90" s="414">
        <v>2592</v>
      </c>
      <c r="D90" s="414">
        <v>2328.68129</v>
      </c>
      <c r="E90" s="416">
        <f t="shared" si="4"/>
        <v>89.84109915123457</v>
      </c>
      <c r="F90" s="416">
        <f t="shared" si="5"/>
        <v>-263.31871</v>
      </c>
    </row>
    <row r="91" spans="1:6" s="358" customFormat="1" ht="14.25" customHeight="1">
      <c r="A91" s="424" t="s">
        <v>239</v>
      </c>
      <c r="B91" s="425" t="s">
        <v>240</v>
      </c>
      <c r="C91" s="414">
        <v>0</v>
      </c>
      <c r="D91" s="414">
        <v>0</v>
      </c>
      <c r="E91" s="416" t="e">
        <f t="shared" si="4"/>
        <v>#DIV/0!</v>
      </c>
      <c r="F91" s="416">
        <f t="shared" si="5"/>
        <v>0</v>
      </c>
    </row>
    <row r="92" spans="1:6" s="358" customFormat="1" ht="26.25" customHeight="1">
      <c r="A92" s="424" t="s">
        <v>241</v>
      </c>
      <c r="B92" s="425" t="s">
        <v>242</v>
      </c>
      <c r="C92" s="426">
        <v>199.6464</v>
      </c>
      <c r="D92" s="414">
        <v>185.45545</v>
      </c>
      <c r="E92" s="416">
        <f t="shared" si="4"/>
        <v>92.89195798171167</v>
      </c>
      <c r="F92" s="416">
        <f t="shared" si="5"/>
        <v>-14.190949999999987</v>
      </c>
    </row>
    <row r="93" spans="1:6" s="366" customFormat="1" ht="18" customHeight="1">
      <c r="A93" s="409" t="s">
        <v>39</v>
      </c>
      <c r="B93" s="410" t="s">
        <v>243</v>
      </c>
      <c r="C93" s="427">
        <f>SUM(C94:C99)</f>
        <v>80848.18899</v>
      </c>
      <c r="D93" s="427">
        <f>SUM(D94:D99)</f>
        <v>63871.230469999995</v>
      </c>
      <c r="E93" s="411">
        <f t="shared" si="4"/>
        <v>79.00143623241844</v>
      </c>
      <c r="F93" s="411">
        <f t="shared" si="5"/>
        <v>-16976.95852</v>
      </c>
    </row>
    <row r="94" spans="1:6" s="358" customFormat="1" ht="15.75" customHeight="1">
      <c r="A94" s="412" t="s">
        <v>244</v>
      </c>
      <c r="B94" s="413" t="s">
        <v>245</v>
      </c>
      <c r="C94" s="428">
        <v>200</v>
      </c>
      <c r="D94" s="428">
        <v>179.2</v>
      </c>
      <c r="E94" s="416">
        <f t="shared" si="4"/>
        <v>89.6</v>
      </c>
      <c r="F94" s="416">
        <f t="shared" si="5"/>
        <v>-20.80000000000001</v>
      </c>
    </row>
    <row r="95" spans="1:6" s="358" customFormat="1" ht="21" customHeight="1" hidden="1">
      <c r="A95" s="412"/>
      <c r="B95" s="415"/>
      <c r="C95" s="428"/>
      <c r="D95" s="414"/>
      <c r="E95" s="416"/>
      <c r="F95" s="416"/>
    </row>
    <row r="96" spans="1:7" s="366" customFormat="1" ht="10.5" customHeight="1">
      <c r="A96" s="412" t="s">
        <v>246</v>
      </c>
      <c r="B96" s="415" t="s">
        <v>247</v>
      </c>
      <c r="C96" s="428">
        <v>835.635</v>
      </c>
      <c r="D96" s="414">
        <v>634.965</v>
      </c>
      <c r="E96" s="416">
        <f>SUM(D96/C96*100)</f>
        <v>75.98592686998511</v>
      </c>
      <c r="F96" s="416">
        <f>SUM(D96-C96)</f>
        <v>-200.66999999999996</v>
      </c>
      <c r="G96" s="429"/>
    </row>
    <row r="97" spans="1:7" s="366" customFormat="1" ht="10.5" customHeight="1">
      <c r="A97" s="412" t="s">
        <v>248</v>
      </c>
      <c r="B97" s="415" t="s">
        <v>249</v>
      </c>
      <c r="C97" s="428">
        <v>500</v>
      </c>
      <c r="D97" s="414"/>
      <c r="E97" s="416"/>
      <c r="F97" s="416"/>
      <c r="G97" s="429"/>
    </row>
    <row r="98" spans="1:6" s="358" customFormat="1" ht="14.25" customHeight="1">
      <c r="A98" s="412" t="s">
        <v>250</v>
      </c>
      <c r="B98" s="415" t="s">
        <v>251</v>
      </c>
      <c r="C98" s="428">
        <v>74676.54399</v>
      </c>
      <c r="D98" s="414">
        <v>60975.41387</v>
      </c>
      <c r="E98" s="416">
        <f aca="true" t="shared" si="6" ref="E98:E127">SUM(D98/C98*100)</f>
        <v>81.65269924404276</v>
      </c>
      <c r="F98" s="416">
        <f aca="true" t="shared" si="7" ref="F98:F119">SUM(D98-C98)</f>
        <v>-13701.130120000009</v>
      </c>
    </row>
    <row r="99" spans="1:6" s="358" customFormat="1" ht="25.5">
      <c r="A99" s="412" t="s">
        <v>252</v>
      </c>
      <c r="B99" s="415" t="s">
        <v>253</v>
      </c>
      <c r="C99" s="428">
        <v>4636.01</v>
      </c>
      <c r="D99" s="414">
        <v>2081.6516</v>
      </c>
      <c r="E99" s="416">
        <f t="shared" si="6"/>
        <v>44.901792705365175</v>
      </c>
      <c r="F99" s="416">
        <f t="shared" si="7"/>
        <v>-2554.3584</v>
      </c>
    </row>
    <row r="100" spans="1:6" s="366" customFormat="1" ht="25.5">
      <c r="A100" s="409" t="s">
        <v>41</v>
      </c>
      <c r="B100" s="410" t="s">
        <v>254</v>
      </c>
      <c r="C100" s="400">
        <f>SUM(C101:C103)</f>
        <v>86308.76234</v>
      </c>
      <c r="D100" s="400">
        <f>SUM(D101:D103)</f>
        <v>46195.112940000006</v>
      </c>
      <c r="E100" s="411">
        <f t="shared" si="6"/>
        <v>53.52308582299155</v>
      </c>
      <c r="F100" s="411">
        <f t="shared" si="7"/>
        <v>-40113.649399999995</v>
      </c>
    </row>
    <row r="101" spans="1:6" s="358" customFormat="1" ht="12.75">
      <c r="A101" s="412" t="s">
        <v>255</v>
      </c>
      <c r="B101" s="430" t="s">
        <v>256</v>
      </c>
      <c r="C101" s="414">
        <v>7737.82205</v>
      </c>
      <c r="D101" s="414">
        <v>350.80555</v>
      </c>
      <c r="E101" s="416">
        <f t="shared" si="6"/>
        <v>4.533647164966788</v>
      </c>
      <c r="F101" s="416">
        <f t="shared" si="7"/>
        <v>-7387.0165</v>
      </c>
    </row>
    <row r="102" spans="1:6" s="358" customFormat="1" ht="10.5" customHeight="1">
      <c r="A102" s="412" t="s">
        <v>257</v>
      </c>
      <c r="B102" s="430" t="s">
        <v>258</v>
      </c>
      <c r="C102" s="414">
        <v>43087.44937</v>
      </c>
      <c r="D102" s="414">
        <v>22541.59253</v>
      </c>
      <c r="E102" s="416">
        <f t="shared" si="6"/>
        <v>52.31591300852163</v>
      </c>
      <c r="F102" s="416">
        <f t="shared" si="7"/>
        <v>-20545.85684</v>
      </c>
    </row>
    <row r="103" spans="1:6" s="358" customFormat="1" ht="11.25" customHeight="1">
      <c r="A103" s="412" t="s">
        <v>259</v>
      </c>
      <c r="B103" s="415" t="s">
        <v>260</v>
      </c>
      <c r="C103" s="414">
        <v>35483.49092</v>
      </c>
      <c r="D103" s="414">
        <v>23302.71486</v>
      </c>
      <c r="E103" s="416">
        <f t="shared" si="6"/>
        <v>65.67199070840464</v>
      </c>
      <c r="F103" s="416">
        <f t="shared" si="7"/>
        <v>-12180.776059999997</v>
      </c>
    </row>
    <row r="104" spans="1:6" s="366" customFormat="1" ht="12.75">
      <c r="A104" s="409" t="s">
        <v>43</v>
      </c>
      <c r="B104" s="431" t="s">
        <v>261</v>
      </c>
      <c r="C104" s="427">
        <f>SUM(C105)</f>
        <v>50</v>
      </c>
      <c r="D104" s="427">
        <f>SUM(D105)</f>
        <v>50</v>
      </c>
      <c r="E104" s="411">
        <f t="shared" si="6"/>
        <v>100</v>
      </c>
      <c r="F104" s="411">
        <f t="shared" si="7"/>
        <v>0</v>
      </c>
    </row>
    <row r="105" spans="1:6" s="358" customFormat="1" ht="25.5">
      <c r="A105" s="412" t="s">
        <v>262</v>
      </c>
      <c r="B105" s="430" t="s">
        <v>263</v>
      </c>
      <c r="C105" s="416">
        <v>50</v>
      </c>
      <c r="D105" s="417">
        <v>50</v>
      </c>
      <c r="E105" s="416">
        <f t="shared" si="6"/>
        <v>100</v>
      </c>
      <c r="F105" s="416">
        <f t="shared" si="7"/>
        <v>0</v>
      </c>
    </row>
    <row r="106" spans="1:6" s="366" customFormat="1" ht="12.75">
      <c r="A106" s="409" t="s">
        <v>45</v>
      </c>
      <c r="B106" s="431" t="s">
        <v>264</v>
      </c>
      <c r="C106" s="427">
        <f>SUM(C107:C111)</f>
        <v>703482.22985</v>
      </c>
      <c r="D106" s="427">
        <f>SUM(D108+D109+D110+D111+D107)</f>
        <v>586118.6897699999</v>
      </c>
      <c r="E106" s="411">
        <f t="shared" si="6"/>
        <v>83.31677260632085</v>
      </c>
      <c r="F106" s="411">
        <f t="shared" si="7"/>
        <v>-117363.54008000006</v>
      </c>
    </row>
    <row r="107" spans="1:6" s="358" customFormat="1" ht="12.75">
      <c r="A107" s="412" t="s">
        <v>265</v>
      </c>
      <c r="B107" s="430" t="s">
        <v>266</v>
      </c>
      <c r="C107" s="428">
        <v>122383.23304</v>
      </c>
      <c r="D107" s="414">
        <v>105619.17926</v>
      </c>
      <c r="E107" s="416">
        <f t="shared" si="6"/>
        <v>86.30200121080246</v>
      </c>
      <c r="F107" s="416">
        <f t="shared" si="7"/>
        <v>-16764.053780000002</v>
      </c>
    </row>
    <row r="108" spans="1:6" s="358" customFormat="1" ht="12.75">
      <c r="A108" s="412" t="s">
        <v>267</v>
      </c>
      <c r="B108" s="430" t="s">
        <v>268</v>
      </c>
      <c r="C108" s="428">
        <v>552719.70681</v>
      </c>
      <c r="D108" s="414">
        <v>456835.59851</v>
      </c>
      <c r="E108" s="416">
        <f t="shared" si="6"/>
        <v>82.65230873467651</v>
      </c>
      <c r="F108" s="416">
        <f t="shared" si="7"/>
        <v>-95884.10830000002</v>
      </c>
    </row>
    <row r="109" spans="1:6" s="358" customFormat="1" ht="12.75">
      <c r="A109" s="412" t="s">
        <v>269</v>
      </c>
      <c r="B109" s="430" t="s">
        <v>270</v>
      </c>
      <c r="C109" s="428">
        <v>22117.99</v>
      </c>
      <c r="D109" s="414">
        <v>18405.22649</v>
      </c>
      <c r="E109" s="416">
        <f t="shared" si="6"/>
        <v>83.21382951163284</v>
      </c>
      <c r="F109" s="416">
        <f t="shared" si="7"/>
        <v>-3712.7635100000007</v>
      </c>
    </row>
    <row r="110" spans="1:6" s="358" customFormat="1" ht="25.5">
      <c r="A110" s="412" t="s">
        <v>271</v>
      </c>
      <c r="B110" s="430" t="s">
        <v>272</v>
      </c>
      <c r="C110" s="428">
        <v>3500</v>
      </c>
      <c r="D110" s="414">
        <v>3053.9994</v>
      </c>
      <c r="E110" s="416">
        <f t="shared" si="6"/>
        <v>87.25712571428572</v>
      </c>
      <c r="F110" s="416">
        <f t="shared" si="7"/>
        <v>-446.00059999999985</v>
      </c>
    </row>
    <row r="111" spans="1:6" s="358" customFormat="1" ht="12.75">
      <c r="A111" s="412" t="s">
        <v>273</v>
      </c>
      <c r="B111" s="430" t="s">
        <v>274</v>
      </c>
      <c r="C111" s="428">
        <v>2761.3</v>
      </c>
      <c r="D111" s="414">
        <v>2204.68611</v>
      </c>
      <c r="E111" s="416">
        <f t="shared" si="6"/>
        <v>79.8423246297034</v>
      </c>
      <c r="F111" s="416">
        <f t="shared" si="7"/>
        <v>-556.6138900000001</v>
      </c>
    </row>
    <row r="112" spans="1:6" s="366" customFormat="1" ht="12.75">
      <c r="A112" s="409" t="s">
        <v>47</v>
      </c>
      <c r="B112" s="410" t="s">
        <v>275</v>
      </c>
      <c r="C112" s="400">
        <f>SUM(C113:C114)</f>
        <v>53347.001</v>
      </c>
      <c r="D112" s="400">
        <f>SUM(D113:D114)</f>
        <v>43163.41285</v>
      </c>
      <c r="E112" s="411">
        <f t="shared" si="6"/>
        <v>80.91066421896895</v>
      </c>
      <c r="F112" s="411">
        <f t="shared" si="7"/>
        <v>-10183.588149999996</v>
      </c>
    </row>
    <row r="113" spans="1:6" s="358" customFormat="1" ht="12.75">
      <c r="A113" s="412" t="s">
        <v>276</v>
      </c>
      <c r="B113" s="415" t="s">
        <v>277</v>
      </c>
      <c r="C113" s="414">
        <v>52487.001</v>
      </c>
      <c r="D113" s="414">
        <v>42740.01408</v>
      </c>
      <c r="E113" s="416">
        <f t="shared" si="6"/>
        <v>81.4297126254175</v>
      </c>
      <c r="F113" s="416">
        <f t="shared" si="7"/>
        <v>-9746.986919999996</v>
      </c>
    </row>
    <row r="114" spans="1:6" s="358" customFormat="1" ht="25.5">
      <c r="A114" s="412" t="s">
        <v>278</v>
      </c>
      <c r="B114" s="415" t="s">
        <v>279</v>
      </c>
      <c r="C114" s="414">
        <v>860</v>
      </c>
      <c r="D114" s="414">
        <v>423.39877</v>
      </c>
      <c r="E114" s="416">
        <f t="shared" si="6"/>
        <v>49.23241511627907</v>
      </c>
      <c r="F114" s="416">
        <f t="shared" si="7"/>
        <v>-436.60123</v>
      </c>
    </row>
    <row r="115" spans="1:7" s="366" customFormat="1" ht="12.75">
      <c r="A115" s="432">
        <v>1000</v>
      </c>
      <c r="B115" s="410" t="s">
        <v>280</v>
      </c>
      <c r="C115" s="400">
        <f>SUM(C116:C119)</f>
        <v>41867.73546</v>
      </c>
      <c r="D115" s="433">
        <f>D116+D117+D118+D119</f>
        <v>34046.32131</v>
      </c>
      <c r="E115" s="411">
        <f t="shared" si="6"/>
        <v>81.31875520835727</v>
      </c>
      <c r="F115" s="411">
        <f t="shared" si="7"/>
        <v>-7821.414150000004</v>
      </c>
      <c r="G115" s="391"/>
    </row>
    <row r="116" spans="1:6" s="358" customFormat="1" ht="12.75">
      <c r="A116" s="434">
        <v>1001</v>
      </c>
      <c r="B116" s="435" t="s">
        <v>281</v>
      </c>
      <c r="C116" s="414">
        <v>60</v>
      </c>
      <c r="D116" s="414">
        <v>23.11144</v>
      </c>
      <c r="E116" s="416">
        <f t="shared" si="6"/>
        <v>38.51906666666667</v>
      </c>
      <c r="F116" s="416">
        <f t="shared" si="7"/>
        <v>-36.88856</v>
      </c>
    </row>
    <row r="117" spans="1:6" s="358" customFormat="1" ht="12.75">
      <c r="A117" s="434">
        <v>1003</v>
      </c>
      <c r="B117" s="435" t="s">
        <v>282</v>
      </c>
      <c r="C117" s="414">
        <v>10113.80101</v>
      </c>
      <c r="D117" s="414">
        <v>7892.96258</v>
      </c>
      <c r="E117" s="416">
        <f t="shared" si="6"/>
        <v>78.04150558425907</v>
      </c>
      <c r="F117" s="416">
        <f t="shared" si="7"/>
        <v>-2220.838429999999</v>
      </c>
    </row>
    <row r="118" spans="1:6" s="358" customFormat="1" ht="12.75">
      <c r="A118" s="434">
        <v>1004</v>
      </c>
      <c r="B118" s="435" t="s">
        <v>283</v>
      </c>
      <c r="C118" s="414">
        <v>31591.53445</v>
      </c>
      <c r="D118" s="436">
        <v>26070.21205</v>
      </c>
      <c r="E118" s="416">
        <f t="shared" si="6"/>
        <v>82.52277866167402</v>
      </c>
      <c r="F118" s="416">
        <f t="shared" si="7"/>
        <v>-5521.322400000001</v>
      </c>
    </row>
    <row r="119" spans="1:6" s="358" customFormat="1" ht="21.75" customHeight="1">
      <c r="A119" s="412" t="s">
        <v>284</v>
      </c>
      <c r="B119" s="415" t="s">
        <v>285</v>
      </c>
      <c r="C119" s="414">
        <v>102.4</v>
      </c>
      <c r="D119" s="414">
        <v>60.03524</v>
      </c>
      <c r="E119" s="416">
        <f t="shared" si="6"/>
        <v>58.6281640625</v>
      </c>
      <c r="F119" s="416">
        <f t="shared" si="7"/>
        <v>-42.364760000000004</v>
      </c>
    </row>
    <row r="120" spans="1:6" s="358" customFormat="1" ht="12.75">
      <c r="A120" s="409" t="s">
        <v>51</v>
      </c>
      <c r="B120" s="410" t="s">
        <v>286</v>
      </c>
      <c r="C120" s="400">
        <f>C121+C122</f>
        <v>8499.828000000001</v>
      </c>
      <c r="D120" s="400">
        <f>D121+D122</f>
        <v>7880.121249999999</v>
      </c>
      <c r="E120" s="416">
        <f t="shared" si="6"/>
        <v>92.70918482115165</v>
      </c>
      <c r="F120" s="400">
        <f>F121+F122+F123+F124+F125</f>
        <v>-619.7067500000007</v>
      </c>
    </row>
    <row r="121" spans="1:6" s="358" customFormat="1" ht="12.75">
      <c r="A121" s="412" t="s">
        <v>287</v>
      </c>
      <c r="B121" s="415" t="s">
        <v>288</v>
      </c>
      <c r="C121" s="414">
        <v>450</v>
      </c>
      <c r="D121" s="414">
        <v>283.1185</v>
      </c>
      <c r="E121" s="416">
        <f t="shared" si="6"/>
        <v>62.91522222222222</v>
      </c>
      <c r="F121" s="416">
        <f>SUM(D121-C121)</f>
        <v>-166.88150000000002</v>
      </c>
    </row>
    <row r="122" spans="1:6" s="358" customFormat="1" ht="14.25" customHeight="1">
      <c r="A122" s="412" t="s">
        <v>289</v>
      </c>
      <c r="B122" s="415" t="s">
        <v>290</v>
      </c>
      <c r="C122" s="414">
        <v>8049.828</v>
      </c>
      <c r="D122" s="414">
        <v>7597.00275</v>
      </c>
      <c r="E122" s="416">
        <f t="shared" si="6"/>
        <v>94.37472142261922</v>
      </c>
      <c r="F122" s="416">
        <f>SUM(D122-C122)</f>
        <v>-452.8252500000008</v>
      </c>
    </row>
    <row r="123" spans="1:6" s="358" customFormat="1" ht="15.75" customHeight="1" hidden="1">
      <c r="A123" s="412" t="s">
        <v>291</v>
      </c>
      <c r="B123" s="415" t="s">
        <v>292</v>
      </c>
      <c r="C123" s="414"/>
      <c r="D123" s="414"/>
      <c r="E123" s="416" t="e">
        <f t="shared" si="6"/>
        <v>#DIV/0!</v>
      </c>
      <c r="F123" s="416"/>
    </row>
    <row r="124" spans="1:6" s="358" customFormat="1" ht="15.75" customHeight="1" hidden="1">
      <c r="A124" s="412" t="s">
        <v>293</v>
      </c>
      <c r="B124" s="415" t="s">
        <v>294</v>
      </c>
      <c r="C124" s="414"/>
      <c r="D124" s="414"/>
      <c r="E124" s="416" t="e">
        <f t="shared" si="6"/>
        <v>#DIV/0!</v>
      </c>
      <c r="F124" s="416"/>
    </row>
    <row r="125" spans="1:6" s="358" customFormat="1" ht="15.75" customHeight="1" hidden="1">
      <c r="A125" s="412" t="s">
        <v>295</v>
      </c>
      <c r="B125" s="415" t="s">
        <v>296</v>
      </c>
      <c r="C125" s="414"/>
      <c r="D125" s="414"/>
      <c r="E125" s="416" t="e">
        <f t="shared" si="6"/>
        <v>#DIV/0!</v>
      </c>
      <c r="F125" s="416"/>
    </row>
    <row r="126" spans="1:6" s="358" customFormat="1" ht="20.25" customHeight="1">
      <c r="A126" s="409" t="s">
        <v>53</v>
      </c>
      <c r="B126" s="410" t="s">
        <v>297</v>
      </c>
      <c r="C126" s="400">
        <f>C127</f>
        <v>45</v>
      </c>
      <c r="D126" s="437">
        <f>D127</f>
        <v>0</v>
      </c>
      <c r="E126" s="416">
        <f t="shared" si="6"/>
        <v>0</v>
      </c>
      <c r="F126" s="416">
        <f aca="true" t="shared" si="8" ref="F126:F134">SUM(D126-C126)</f>
        <v>-45</v>
      </c>
    </row>
    <row r="127" spans="1:6" s="358" customFormat="1" ht="13.5" customHeight="1">
      <c r="A127" s="412" t="s">
        <v>298</v>
      </c>
      <c r="B127" s="415" t="s">
        <v>299</v>
      </c>
      <c r="C127" s="414">
        <v>45</v>
      </c>
      <c r="D127" s="414">
        <v>0</v>
      </c>
      <c r="E127" s="416">
        <f t="shared" si="6"/>
        <v>0</v>
      </c>
      <c r="F127" s="416">
        <f t="shared" si="8"/>
        <v>-45</v>
      </c>
    </row>
    <row r="128" spans="1:6" s="358" customFormat="1" ht="19.5" customHeight="1" hidden="1">
      <c r="A128" s="409" t="s">
        <v>55</v>
      </c>
      <c r="B128" s="419" t="s">
        <v>300</v>
      </c>
      <c r="C128" s="438">
        <f>C129</f>
        <v>0</v>
      </c>
      <c r="D128" s="438">
        <v>0</v>
      </c>
      <c r="E128" s="416"/>
      <c r="F128" s="411">
        <f t="shared" si="8"/>
        <v>0</v>
      </c>
    </row>
    <row r="129" spans="1:6" s="358" customFormat="1" ht="37.5" customHeight="1" hidden="1">
      <c r="A129" s="412" t="s">
        <v>301</v>
      </c>
      <c r="B129" s="421" t="s">
        <v>302</v>
      </c>
      <c r="C129" s="417">
        <v>0</v>
      </c>
      <c r="D129" s="417">
        <v>0</v>
      </c>
      <c r="E129" s="411"/>
      <c r="F129" s="416">
        <f t="shared" si="8"/>
        <v>0</v>
      </c>
    </row>
    <row r="130" spans="1:6" s="366" customFormat="1" ht="15" customHeight="1">
      <c r="A130" s="432">
        <v>1400</v>
      </c>
      <c r="B130" s="439" t="s">
        <v>303</v>
      </c>
      <c r="C130" s="427">
        <f>C131+C132+C133</f>
        <v>80764.62195</v>
      </c>
      <c r="D130" s="427">
        <f>D131+D132+D133</f>
        <v>69107.46999</v>
      </c>
      <c r="E130" s="411">
        <f>SUM(D130/C130*100)</f>
        <v>85.566512071069</v>
      </c>
      <c r="F130" s="411">
        <f t="shared" si="8"/>
        <v>-11657.151960000003</v>
      </c>
    </row>
    <row r="131" spans="1:6" s="358" customFormat="1" ht="30" customHeight="1">
      <c r="A131" s="434">
        <v>1401</v>
      </c>
      <c r="B131" s="435" t="s">
        <v>304</v>
      </c>
      <c r="C131" s="428">
        <v>53535.4</v>
      </c>
      <c r="D131" s="414">
        <v>49074.476</v>
      </c>
      <c r="E131" s="416">
        <f>SUM(D131/C131*100)</f>
        <v>91.66733787363128</v>
      </c>
      <c r="F131" s="416">
        <f t="shared" si="8"/>
        <v>-4460.923999999999</v>
      </c>
    </row>
    <row r="132" spans="1:6" s="358" customFormat="1" ht="13.5" customHeight="1">
      <c r="A132" s="434">
        <v>1402</v>
      </c>
      <c r="B132" s="435" t="s">
        <v>305</v>
      </c>
      <c r="C132" s="428"/>
      <c r="D132" s="414">
        <v>0</v>
      </c>
      <c r="E132" s="416" t="e">
        <f>SUM(D132/C132*100)</f>
        <v>#DIV/0!</v>
      </c>
      <c r="F132" s="416">
        <f t="shared" si="8"/>
        <v>0</v>
      </c>
    </row>
    <row r="133" spans="1:6" s="358" customFormat="1" ht="17.25" customHeight="1">
      <c r="A133" s="434">
        <v>1403</v>
      </c>
      <c r="B133" s="435" t="s">
        <v>306</v>
      </c>
      <c r="C133" s="428">
        <v>27229.22195</v>
      </c>
      <c r="D133" s="414">
        <v>20032.99399</v>
      </c>
      <c r="E133" s="416">
        <f>SUM(D133/C133*100)</f>
        <v>73.57167247299917</v>
      </c>
      <c r="F133" s="416">
        <f t="shared" si="8"/>
        <v>-7196.22796</v>
      </c>
    </row>
    <row r="134" spans="1:8" s="366" customFormat="1" ht="12.75">
      <c r="A134" s="432"/>
      <c r="B134" s="440" t="s">
        <v>307</v>
      </c>
      <c r="C134" s="396">
        <f>C77+C85+C87+C93+C100+C104+C106+C112+C115+C120+C126+C128+C130</f>
        <v>1111888.94086</v>
      </c>
      <c r="D134" s="396">
        <f>D77+D85+D87+D93+D100+D104+D106+D112+D115+D120+D126+D128+D130</f>
        <v>897693.4967799999</v>
      </c>
      <c r="E134" s="411">
        <f>SUM(D134/C134*100)</f>
        <v>80.73589580679445</v>
      </c>
      <c r="F134" s="411">
        <f t="shared" si="8"/>
        <v>-214195.44408000004</v>
      </c>
      <c r="G134" s="391"/>
      <c r="H134" s="391"/>
    </row>
    <row r="135" spans="1:6" s="358" customFormat="1" ht="12.75">
      <c r="A135" s="441"/>
      <c r="B135" s="442"/>
      <c r="C135" s="443"/>
      <c r="D135" s="444"/>
      <c r="E135" s="445"/>
      <c r="F135" s="445"/>
    </row>
    <row r="136" spans="1:4" s="144" customFormat="1" ht="12.75">
      <c r="A136" s="229" t="s">
        <v>308</v>
      </c>
      <c r="B136" s="229"/>
      <c r="C136" s="299"/>
      <c r="D136" s="299"/>
    </row>
    <row r="137" spans="1:4" s="144" customFormat="1" ht="12.75">
      <c r="A137" s="231" t="s">
        <v>309</v>
      </c>
      <c r="B137" s="231"/>
      <c r="C137" s="299" t="s">
        <v>310</v>
      </c>
      <c r="D137" s="299"/>
    </row>
  </sheetData>
  <sheetProtection selectLockedCells="1" selectUnlockedCells="1"/>
  <printOptions/>
  <pageMargins left="0.5905511811023623" right="0.5511811023622047" top="0.15748031496062992" bottom="0.15748031496062992" header="0.5118110236220472" footer="0.5118110236220472"/>
  <pageSetup horizontalDpi="300" verticalDpi="300" orientation="portrait" paperSize="9" scale="57" r:id="rId1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0" zoomScaleSheetLayoutView="70" zoomScalePageLayoutView="0" workbookViewId="0" topLeftCell="A18">
      <selection activeCell="D78" sqref="D78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8.00390625" style="138" customWidth="1"/>
    <col min="4" max="4" width="17.8515625" style="138" customWidth="1"/>
    <col min="5" max="5" width="12.00390625" style="138" customWidth="1"/>
    <col min="6" max="6" width="10.57421875" style="138" customWidth="1"/>
    <col min="7" max="7" width="15.421875" style="139" customWidth="1"/>
    <col min="8" max="8" width="14.8515625" style="139" customWidth="1"/>
    <col min="9" max="10" width="9.140625" style="139" customWidth="1"/>
    <col min="11" max="11" width="11.7109375" style="139" customWidth="1"/>
    <col min="12" max="16384" width="9.140625" style="139" customWidth="1"/>
  </cols>
  <sheetData>
    <row r="1" spans="1:6" ht="12.75" customHeight="1">
      <c r="A1" s="468" t="s">
        <v>423</v>
      </c>
      <c r="B1" s="468"/>
      <c r="C1" s="468"/>
      <c r="D1" s="468"/>
      <c r="E1" s="468"/>
      <c r="F1" s="468"/>
    </row>
    <row r="2" spans="1:6" ht="12.75" customHeight="1">
      <c r="A2" s="468" t="s">
        <v>311</v>
      </c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C5+C7+C12+C14+C17+C20</f>
        <v>585.4200000000001</v>
      </c>
      <c r="D4" s="151">
        <f>D5+D12+D14+D17+D20+D7</f>
        <v>482.8053799999999</v>
      </c>
      <c r="E4" s="151">
        <f aca="true" t="shared" si="0" ref="E4:E47">SUM(D4/C4*100)</f>
        <v>82.47162379146593</v>
      </c>
      <c r="F4" s="151">
        <f aca="true" t="shared" si="1" ref="F4:F47">SUM(D4-C4)</f>
        <v>-102.61462000000017</v>
      </c>
    </row>
    <row r="5" spans="1:6" s="140" customFormat="1" ht="15.75">
      <c r="A5" s="152">
        <v>1010000000</v>
      </c>
      <c r="B5" s="153" t="s">
        <v>146</v>
      </c>
      <c r="C5" s="151">
        <f>C6</f>
        <v>62.67</v>
      </c>
      <c r="D5" s="151">
        <f>D6</f>
        <v>61.4979</v>
      </c>
      <c r="E5" s="151">
        <f t="shared" si="0"/>
        <v>98.12972714217328</v>
      </c>
      <c r="F5" s="151">
        <f t="shared" si="1"/>
        <v>-1.1721000000000004</v>
      </c>
    </row>
    <row r="6" spans="1:6" ht="15.75">
      <c r="A6" s="154">
        <v>1010200001</v>
      </c>
      <c r="B6" s="155" t="s">
        <v>147</v>
      </c>
      <c r="C6" s="156">
        <v>62.67</v>
      </c>
      <c r="D6" s="157">
        <v>61.4979</v>
      </c>
      <c r="E6" s="156">
        <f t="shared" si="0"/>
        <v>98.12972714217328</v>
      </c>
      <c r="F6" s="156">
        <f t="shared" si="1"/>
        <v>-1.1721000000000004</v>
      </c>
    </row>
    <row r="7" spans="1:6" ht="31.5">
      <c r="A7" s="149">
        <v>1030000000</v>
      </c>
      <c r="B7" s="158" t="s">
        <v>148</v>
      </c>
      <c r="C7" s="151">
        <f>C8+C10+C9</f>
        <v>249.75</v>
      </c>
      <c r="D7" s="151">
        <f>D8+D10+D9+D11</f>
        <v>255.65762999999995</v>
      </c>
      <c r="E7" s="156">
        <f t="shared" si="0"/>
        <v>102.3654174174174</v>
      </c>
      <c r="F7" s="156">
        <f t="shared" si="1"/>
        <v>5.907629999999955</v>
      </c>
    </row>
    <row r="8" spans="1:6" ht="15.75">
      <c r="A8" s="154">
        <v>1030223001</v>
      </c>
      <c r="B8" s="155" t="s">
        <v>149</v>
      </c>
      <c r="C8" s="156">
        <v>93.16</v>
      </c>
      <c r="D8" s="157">
        <v>117.18257</v>
      </c>
      <c r="E8" s="156">
        <f t="shared" si="0"/>
        <v>125.78635680549593</v>
      </c>
      <c r="F8" s="156">
        <f t="shared" si="1"/>
        <v>24.02257</v>
      </c>
    </row>
    <row r="9" spans="1:6" ht="15.75">
      <c r="A9" s="154">
        <v>1030224001</v>
      </c>
      <c r="B9" s="155" t="s">
        <v>312</v>
      </c>
      <c r="C9" s="156">
        <v>1</v>
      </c>
      <c r="D9" s="157">
        <v>0.83122</v>
      </c>
      <c r="E9" s="156">
        <f t="shared" si="0"/>
        <v>83.122</v>
      </c>
      <c r="F9" s="156">
        <f t="shared" si="1"/>
        <v>-0.16878000000000004</v>
      </c>
    </row>
    <row r="10" spans="1:6" ht="15.75">
      <c r="A10" s="154">
        <v>1030225001</v>
      </c>
      <c r="B10" s="155" t="s">
        <v>151</v>
      </c>
      <c r="C10" s="156">
        <v>155.59</v>
      </c>
      <c r="D10" s="157">
        <v>157.49863</v>
      </c>
      <c r="E10" s="156">
        <f t="shared" si="0"/>
        <v>101.22670480107976</v>
      </c>
      <c r="F10" s="156">
        <f t="shared" si="1"/>
        <v>1.908629999999988</v>
      </c>
    </row>
    <row r="11" spans="1:6" ht="15.75">
      <c r="A11" s="154">
        <v>1030226001</v>
      </c>
      <c r="B11" s="155" t="s">
        <v>313</v>
      </c>
      <c r="C11" s="156">
        <v>0</v>
      </c>
      <c r="D11" s="157">
        <v>-19.85479</v>
      </c>
      <c r="E11" s="156" t="e">
        <f t="shared" si="0"/>
        <v>#DIV/0!</v>
      </c>
      <c r="F11" s="156">
        <f t="shared" si="1"/>
        <v>-19.85479</v>
      </c>
    </row>
    <row r="12" spans="1:6" s="140" customFormat="1" ht="15.75">
      <c r="A12" s="152">
        <v>1050000000</v>
      </c>
      <c r="B12" s="153" t="s">
        <v>153</v>
      </c>
      <c r="C12" s="151">
        <f>C13</f>
        <v>25</v>
      </c>
      <c r="D12" s="151">
        <f>D13</f>
        <v>0</v>
      </c>
      <c r="E12" s="151">
        <f t="shared" si="0"/>
        <v>0</v>
      </c>
      <c r="F12" s="151">
        <f t="shared" si="1"/>
        <v>-25</v>
      </c>
    </row>
    <row r="13" spans="1:6" ht="15.75" customHeight="1">
      <c r="A13" s="154">
        <v>1050300000</v>
      </c>
      <c r="B13" s="159" t="s">
        <v>156</v>
      </c>
      <c r="C13" s="160">
        <v>25</v>
      </c>
      <c r="D13" s="157">
        <v>0</v>
      </c>
      <c r="E13" s="156">
        <f t="shared" si="0"/>
        <v>0</v>
      </c>
      <c r="F13" s="156">
        <f t="shared" si="1"/>
        <v>-25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245</v>
      </c>
      <c r="D14" s="151">
        <f>D15+D16</f>
        <v>164.64985</v>
      </c>
      <c r="E14" s="151">
        <f t="shared" si="0"/>
        <v>67.20402040816326</v>
      </c>
      <c r="F14" s="151">
        <f t="shared" si="1"/>
        <v>-80.35015000000001</v>
      </c>
    </row>
    <row r="15" spans="1:6" s="140" customFormat="1" ht="15.75" customHeight="1">
      <c r="A15" s="154">
        <v>1060100000</v>
      </c>
      <c r="B15" s="159" t="s">
        <v>159</v>
      </c>
      <c r="C15" s="156">
        <v>50</v>
      </c>
      <c r="D15" s="157">
        <v>37.05415</v>
      </c>
      <c r="E15" s="156">
        <f t="shared" si="0"/>
        <v>74.1083</v>
      </c>
      <c r="F15" s="156">
        <f t="shared" si="1"/>
        <v>-12.94585</v>
      </c>
    </row>
    <row r="16" spans="1:6" ht="15" customHeight="1">
      <c r="A16" s="154">
        <v>1060600000</v>
      </c>
      <c r="B16" s="159" t="s">
        <v>162</v>
      </c>
      <c r="C16" s="156">
        <v>195</v>
      </c>
      <c r="D16" s="157">
        <v>127.5957</v>
      </c>
      <c r="E16" s="156">
        <f t="shared" si="0"/>
        <v>65.4336923076923</v>
      </c>
      <c r="F16" s="156">
        <f t="shared" si="1"/>
        <v>-67.4043</v>
      </c>
    </row>
    <row r="17" spans="1:6" s="140" customFormat="1" ht="15" customHeight="1">
      <c r="A17" s="149">
        <v>1080000000</v>
      </c>
      <c r="B17" s="150" t="s">
        <v>165</v>
      </c>
      <c r="C17" s="151">
        <f>C18</f>
        <v>3</v>
      </c>
      <c r="D17" s="151">
        <f>D18</f>
        <v>1</v>
      </c>
      <c r="E17" s="156">
        <f t="shared" si="0"/>
        <v>33.33333333333333</v>
      </c>
      <c r="F17" s="151">
        <f t="shared" si="1"/>
        <v>-2</v>
      </c>
    </row>
    <row r="18" spans="1:6" ht="18.75" customHeight="1">
      <c r="A18" s="154">
        <v>1080402001</v>
      </c>
      <c r="B18" s="155" t="s">
        <v>167</v>
      </c>
      <c r="C18" s="156">
        <v>3</v>
      </c>
      <c r="D18" s="157">
        <v>1</v>
      </c>
      <c r="E18" s="156">
        <f t="shared" si="0"/>
        <v>33.33333333333333</v>
      </c>
      <c r="F18" s="156">
        <f t="shared" si="1"/>
        <v>-2</v>
      </c>
    </row>
    <row r="19" spans="1:6" ht="15" customHeight="1" hidden="1">
      <c r="A19" s="154">
        <v>1080714001</v>
      </c>
      <c r="B19" s="155" t="s">
        <v>314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17.25" customHeight="1" hidden="1">
      <c r="A20" s="152">
        <v>1090000000</v>
      </c>
      <c r="B20" s="161" t="s">
        <v>169</v>
      </c>
      <c r="C20" s="151"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7.25" customHeight="1" hidden="1">
      <c r="A22" s="154">
        <v>1090400000</v>
      </c>
      <c r="B22" s="155" t="s">
        <v>171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2.2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8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C26+C31+C34+C29</f>
        <v>54.3</v>
      </c>
      <c r="D25" s="151">
        <f>D26+D31+D34+D29</f>
        <v>54.28468</v>
      </c>
      <c r="E25" s="151">
        <f t="shared" si="0"/>
        <v>99.97178637200737</v>
      </c>
      <c r="F25" s="151">
        <f t="shared" si="1"/>
        <v>-0.01531999999999556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54.3</v>
      </c>
      <c r="D26" s="151">
        <f>D27+D28</f>
        <v>54.28468</v>
      </c>
      <c r="E26" s="151">
        <f t="shared" si="0"/>
        <v>99.97178637200737</v>
      </c>
      <c r="F26" s="151">
        <f t="shared" si="1"/>
        <v>-0.01531999999999556</v>
      </c>
    </row>
    <row r="27" spans="1:6" ht="22.5" customHeight="1">
      <c r="A27" s="163">
        <v>1110502000</v>
      </c>
      <c r="B27" s="164" t="s">
        <v>177</v>
      </c>
      <c r="C27" s="160">
        <v>54.3</v>
      </c>
      <c r="D27" s="157">
        <v>54.28468</v>
      </c>
      <c r="E27" s="156">
        <f t="shared" si="0"/>
        <v>99.97178637200737</v>
      </c>
      <c r="F27" s="156">
        <f t="shared" si="1"/>
        <v>-0.01531999999999556</v>
      </c>
    </row>
    <row r="28" spans="1:6" ht="15.75" hidden="1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25.5" customHeight="1" hidden="1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6" t="e">
        <f t="shared" si="0"/>
        <v>#DIV/0!</v>
      </c>
      <c r="F29" s="151">
        <f t="shared" si="1"/>
        <v>0</v>
      </c>
    </row>
    <row r="30" spans="1:6" ht="30.75" customHeight="1" hidden="1">
      <c r="A30" s="154">
        <v>1130200000</v>
      </c>
      <c r="B30" s="155" t="s">
        <v>187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25.5" customHeight="1" hidden="1">
      <c r="A31" s="165">
        <v>1140000000</v>
      </c>
      <c r="B31" s="166" t="s">
        <v>188</v>
      </c>
      <c r="C31" s="151">
        <f>C33+C32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24.75" customHeight="1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27.75" customHeight="1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 hidden="1">
      <c r="A34" s="149">
        <v>1170000000</v>
      </c>
      <c r="B34" s="158" t="s">
        <v>198</v>
      </c>
      <c r="C34" s="151">
        <v>0</v>
      </c>
      <c r="D34" s="168">
        <f>D35+D36</f>
        <v>0</v>
      </c>
      <c r="E34" s="156" t="e">
        <f t="shared" si="0"/>
        <v>#DIV/0!</v>
      </c>
      <c r="F34" s="151">
        <f t="shared" si="1"/>
        <v>0</v>
      </c>
    </row>
    <row r="35" spans="1:6" ht="18.75" customHeight="1" hidden="1">
      <c r="A35" s="154">
        <v>1170105005</v>
      </c>
      <c r="B35" s="155" t="s">
        <v>199</v>
      </c>
      <c r="C35" s="156">
        <v>0</v>
      </c>
      <c r="D35" s="156">
        <v>0</v>
      </c>
      <c r="E35" s="156" t="e">
        <f t="shared" si="0"/>
        <v>#DIV/0!</v>
      </c>
      <c r="F35" s="156">
        <f t="shared" si="1"/>
        <v>0</v>
      </c>
    </row>
    <row r="36" spans="1:6" ht="0.75" customHeight="1" hidden="1">
      <c r="A36" s="154">
        <v>1170505005</v>
      </c>
      <c r="B36" s="159" t="s">
        <v>200</v>
      </c>
      <c r="C36" s="156">
        <v>0</v>
      </c>
      <c r="D36" s="157">
        <v>0</v>
      </c>
      <c r="E36" s="156" t="e">
        <f t="shared" si="0"/>
        <v>#DIV/0!</v>
      </c>
      <c r="F36" s="156">
        <f t="shared" si="1"/>
        <v>0</v>
      </c>
    </row>
    <row r="37" spans="1:6" s="140" customFormat="1" ht="15.75">
      <c r="A37" s="149">
        <v>1000000000</v>
      </c>
      <c r="B37" s="150" t="s">
        <v>26</v>
      </c>
      <c r="C37" s="169">
        <f>C25+C4</f>
        <v>639.72</v>
      </c>
      <c r="D37" s="169">
        <f>SUM(D4,D25)</f>
        <v>537.0900599999999</v>
      </c>
      <c r="E37" s="151">
        <f t="shared" si="0"/>
        <v>83.957053085725</v>
      </c>
      <c r="F37" s="151">
        <f t="shared" si="1"/>
        <v>-102.62994000000015</v>
      </c>
    </row>
    <row r="38" spans="1:7" s="140" customFormat="1" ht="15.75">
      <c r="A38" s="149">
        <v>2000000000</v>
      </c>
      <c r="B38" s="150" t="s">
        <v>201</v>
      </c>
      <c r="C38" s="170">
        <f>C39+C40+C41+C42+C43+C44</f>
        <v>3674.968</v>
      </c>
      <c r="D38" s="170">
        <f>D39+D40+D41+D42+D43+D45+D44</f>
        <v>2477.9893</v>
      </c>
      <c r="E38" s="151">
        <f t="shared" si="0"/>
        <v>67.42886740782505</v>
      </c>
      <c r="F38" s="151">
        <f t="shared" si="1"/>
        <v>-1196.9786999999997</v>
      </c>
      <c r="G38" s="171"/>
    </row>
    <row r="39" spans="1:6" ht="15.75">
      <c r="A39" s="163">
        <v>2021000000</v>
      </c>
      <c r="B39" s="164" t="s">
        <v>202</v>
      </c>
      <c r="C39" s="172">
        <v>1901.5</v>
      </c>
      <c r="D39" s="173">
        <v>1743.06</v>
      </c>
      <c r="E39" s="156">
        <f t="shared" si="0"/>
        <v>91.66763081777543</v>
      </c>
      <c r="F39" s="156">
        <f t="shared" si="1"/>
        <v>-158.44000000000005</v>
      </c>
    </row>
    <row r="40" spans="1:6" ht="15.75">
      <c r="A40" s="163">
        <v>2021500200</v>
      </c>
      <c r="B40" s="164" t="s">
        <v>205</v>
      </c>
      <c r="C40" s="174">
        <v>0</v>
      </c>
      <c r="D40" s="173">
        <v>0</v>
      </c>
      <c r="E40" s="156" t="e">
        <f t="shared" si="0"/>
        <v>#DIV/0!</v>
      </c>
      <c r="F40" s="156">
        <f t="shared" si="1"/>
        <v>0</v>
      </c>
    </row>
    <row r="41" spans="1:6" ht="15.75">
      <c r="A41" s="163">
        <v>2022000000</v>
      </c>
      <c r="B41" s="164" t="s">
        <v>206</v>
      </c>
      <c r="C41" s="174">
        <v>366.14</v>
      </c>
      <c r="D41" s="157">
        <v>352.212</v>
      </c>
      <c r="E41" s="156">
        <f t="shared" si="0"/>
        <v>96.19599060468673</v>
      </c>
      <c r="F41" s="156">
        <f t="shared" si="1"/>
        <v>-13.927999999999997</v>
      </c>
    </row>
    <row r="42" spans="1:6" ht="19.5" customHeight="1">
      <c r="A42" s="163">
        <v>2023000000</v>
      </c>
      <c r="B42" s="164" t="s">
        <v>207</v>
      </c>
      <c r="C42" s="174">
        <v>103.383</v>
      </c>
      <c r="D42" s="175">
        <v>94.3723</v>
      </c>
      <c r="E42" s="156">
        <f t="shared" si="0"/>
        <v>91.28415696971456</v>
      </c>
      <c r="F42" s="156">
        <f t="shared" si="1"/>
        <v>-9.0107</v>
      </c>
    </row>
    <row r="43" spans="1:6" ht="15.75">
      <c r="A43" s="154">
        <v>2070500010</v>
      </c>
      <c r="B43" s="164" t="s">
        <v>315</v>
      </c>
      <c r="C43" s="174">
        <v>0</v>
      </c>
      <c r="D43" s="176">
        <v>0</v>
      </c>
      <c r="E43" s="156" t="e">
        <f t="shared" si="0"/>
        <v>#DIV/0!</v>
      </c>
      <c r="F43" s="156">
        <f t="shared" si="1"/>
        <v>0</v>
      </c>
    </row>
    <row r="44" spans="1:6" ht="15.75" customHeight="1">
      <c r="A44" s="163">
        <v>2024000000</v>
      </c>
      <c r="B44" s="167" t="s">
        <v>102</v>
      </c>
      <c r="C44" s="174">
        <v>1303.945</v>
      </c>
      <c r="D44" s="176">
        <v>288.345</v>
      </c>
      <c r="E44" s="156">
        <f t="shared" si="0"/>
        <v>22.11327931776264</v>
      </c>
      <c r="F44" s="156">
        <f t="shared" si="1"/>
        <v>-1015.5999999999999</v>
      </c>
    </row>
    <row r="45" spans="1:6" ht="17.25" customHeight="1">
      <c r="A45" s="154">
        <v>2190000010</v>
      </c>
      <c r="B45" s="159" t="s">
        <v>209</v>
      </c>
      <c r="C45" s="177">
        <v>0</v>
      </c>
      <c r="D45" s="178">
        <v>0</v>
      </c>
      <c r="E45" s="151" t="e">
        <f t="shared" si="0"/>
        <v>#DIV/0!</v>
      </c>
      <c r="F45" s="151">
        <f t="shared" si="1"/>
        <v>0</v>
      </c>
    </row>
    <row r="46" spans="1:6" s="181" customFormat="1" ht="19.5" customHeight="1" hidden="1">
      <c r="A46" s="149">
        <v>3000000000</v>
      </c>
      <c r="B46" s="158" t="s">
        <v>210</v>
      </c>
      <c r="C46" s="179">
        <v>0</v>
      </c>
      <c r="D46" s="180">
        <v>0</v>
      </c>
      <c r="E46" s="151" t="e">
        <f t="shared" si="0"/>
        <v>#DIV/0!</v>
      </c>
      <c r="F46" s="151">
        <f t="shared" si="1"/>
        <v>0</v>
      </c>
    </row>
    <row r="47" spans="1:11" s="140" customFormat="1" ht="15.75" customHeight="1">
      <c r="A47" s="182"/>
      <c r="B47" s="183" t="s">
        <v>211</v>
      </c>
      <c r="C47" s="184">
        <f>C37+C38</f>
        <v>4314.688</v>
      </c>
      <c r="D47" s="185">
        <f>D37+D38</f>
        <v>3015.07936</v>
      </c>
      <c r="E47" s="186">
        <f t="shared" si="0"/>
        <v>69.87942952074403</v>
      </c>
      <c r="F47" s="186">
        <f t="shared" si="1"/>
        <v>-1299.60864</v>
      </c>
      <c r="G47" s="187"/>
      <c r="H47" s="187"/>
      <c r="K47" s="188"/>
    </row>
    <row r="48" spans="1:6" s="140" customFormat="1" ht="15.75">
      <c r="A48" s="149"/>
      <c r="B48" s="189" t="s">
        <v>316</v>
      </c>
      <c r="C48" s="190">
        <f>C47-C94</f>
        <v>12.9358000000002</v>
      </c>
      <c r="D48" s="151">
        <f>D47-D94</f>
        <v>201.24476000000004</v>
      </c>
      <c r="E48" s="191"/>
      <c r="F48" s="191"/>
    </row>
    <row r="49" spans="1:6" ht="15.75">
      <c r="A49" s="192"/>
      <c r="B49" s="193"/>
      <c r="C49" s="194"/>
      <c r="D49" s="194"/>
      <c r="E49" s="195"/>
      <c r="F49" s="196"/>
    </row>
    <row r="50" spans="1:6" ht="50.25" customHeight="1">
      <c r="A50" s="197" t="s">
        <v>141</v>
      </c>
      <c r="B50" s="197" t="s">
        <v>213</v>
      </c>
      <c r="C50" s="198" t="s">
        <v>143</v>
      </c>
      <c r="D50" s="147" t="s">
        <v>424</v>
      </c>
      <c r="E50" s="146" t="s">
        <v>144</v>
      </c>
      <c r="F50" s="148" t="s">
        <v>145</v>
      </c>
    </row>
    <row r="51" spans="1:6" ht="15.75">
      <c r="A51" s="199">
        <v>1</v>
      </c>
      <c r="B51" s="200">
        <v>2</v>
      </c>
      <c r="C51" s="200">
        <v>3</v>
      </c>
      <c r="D51" s="200">
        <v>4</v>
      </c>
      <c r="E51" s="200">
        <v>5</v>
      </c>
      <c r="F51" s="200">
        <v>6</v>
      </c>
    </row>
    <row r="52" spans="1:6" s="140" customFormat="1" ht="30.75" customHeight="1">
      <c r="A52" s="201" t="s">
        <v>33</v>
      </c>
      <c r="B52" s="202" t="s">
        <v>214</v>
      </c>
      <c r="C52" s="191">
        <f>C54+C57+C58+C59</f>
        <v>1265.808</v>
      </c>
      <c r="D52" s="191">
        <f>D54+D57+D58+D59</f>
        <v>1095.19869</v>
      </c>
      <c r="E52" s="203">
        <f>SUM(D52/C52*100)</f>
        <v>86.52170708353873</v>
      </c>
      <c r="F52" s="203">
        <f>SUM(D52-C52)</f>
        <v>-170.60931000000005</v>
      </c>
    </row>
    <row r="53" spans="1:6" s="140" customFormat="1" ht="31.5" hidden="1">
      <c r="A53" s="204" t="s">
        <v>215</v>
      </c>
      <c r="B53" s="205" t="s">
        <v>216</v>
      </c>
      <c r="C53" s="196"/>
      <c r="D53" s="196"/>
      <c r="E53" s="206"/>
      <c r="F53" s="206"/>
    </row>
    <row r="54" spans="1:6" ht="16.5" customHeight="1">
      <c r="A54" s="204" t="s">
        <v>217</v>
      </c>
      <c r="B54" s="207" t="s">
        <v>218</v>
      </c>
      <c r="C54" s="196">
        <v>1195.8</v>
      </c>
      <c r="D54" s="196">
        <v>1075.19069</v>
      </c>
      <c r="E54" s="206">
        <f>SUM(D54/C54*100)</f>
        <v>89.91392289680547</v>
      </c>
      <c r="F54" s="206">
        <f aca="true" t="shared" si="2" ref="F54:F66">SUM(D54-C54)</f>
        <v>-120.60931000000005</v>
      </c>
    </row>
    <row r="55" spans="1:6" ht="0.75" customHeight="1" hidden="1">
      <c r="A55" s="204" t="s">
        <v>219</v>
      </c>
      <c r="B55" s="207" t="s">
        <v>220</v>
      </c>
      <c r="C55" s="196"/>
      <c r="D55" s="196"/>
      <c r="E55" s="206"/>
      <c r="F55" s="206">
        <f t="shared" si="2"/>
        <v>0</v>
      </c>
    </row>
    <row r="56" spans="1:6" ht="15.75" customHeight="1" hidden="1">
      <c r="A56" s="204" t="s">
        <v>221</v>
      </c>
      <c r="B56" s="207" t="s">
        <v>222</v>
      </c>
      <c r="C56" s="196"/>
      <c r="D56" s="196"/>
      <c r="E56" s="206" t="e">
        <f aca="true" t="shared" si="3" ref="E56:E66">SUM(D56/C56*100)</f>
        <v>#DIV/0!</v>
      </c>
      <c r="F56" s="206">
        <f t="shared" si="2"/>
        <v>0</v>
      </c>
    </row>
    <row r="57" spans="1:6" ht="17.25" customHeight="1" hidden="1">
      <c r="A57" s="204" t="s">
        <v>223</v>
      </c>
      <c r="B57" s="207" t="s">
        <v>224</v>
      </c>
      <c r="C57" s="196">
        <v>0</v>
      </c>
      <c r="D57" s="196">
        <v>0</v>
      </c>
      <c r="E57" s="206" t="e">
        <f t="shared" si="3"/>
        <v>#DIV/0!</v>
      </c>
      <c r="F57" s="206">
        <f t="shared" si="2"/>
        <v>0</v>
      </c>
    </row>
    <row r="58" spans="1:6" ht="17.25" customHeight="1">
      <c r="A58" s="204" t="s">
        <v>225</v>
      </c>
      <c r="B58" s="207" t="s">
        <v>226</v>
      </c>
      <c r="C58" s="208">
        <v>50</v>
      </c>
      <c r="D58" s="208">
        <v>0</v>
      </c>
      <c r="E58" s="206">
        <f t="shared" si="3"/>
        <v>0</v>
      </c>
      <c r="F58" s="206">
        <f t="shared" si="2"/>
        <v>-50</v>
      </c>
    </row>
    <row r="59" spans="1:6" ht="17.25" customHeight="1">
      <c r="A59" s="204" t="s">
        <v>227</v>
      </c>
      <c r="B59" s="207" t="s">
        <v>228</v>
      </c>
      <c r="C59" s="196">
        <v>20.008</v>
      </c>
      <c r="D59" s="196">
        <v>20.008</v>
      </c>
      <c r="E59" s="206">
        <f t="shared" si="3"/>
        <v>100</v>
      </c>
      <c r="F59" s="206">
        <f t="shared" si="2"/>
        <v>0</v>
      </c>
    </row>
    <row r="60" spans="1:6" s="140" customFormat="1" ht="15.75">
      <c r="A60" s="209" t="s">
        <v>35</v>
      </c>
      <c r="B60" s="210" t="s">
        <v>229</v>
      </c>
      <c r="C60" s="191">
        <f>C61</f>
        <v>103.383</v>
      </c>
      <c r="D60" s="191">
        <f>D61</f>
        <v>87.18856</v>
      </c>
      <c r="E60" s="203">
        <f t="shared" si="3"/>
        <v>84.33549036108451</v>
      </c>
      <c r="F60" s="203">
        <f t="shared" si="2"/>
        <v>-16.19444</v>
      </c>
    </row>
    <row r="61" spans="1:6" ht="15.75">
      <c r="A61" s="211" t="s">
        <v>230</v>
      </c>
      <c r="B61" s="212" t="s">
        <v>231</v>
      </c>
      <c r="C61" s="196">
        <v>103.383</v>
      </c>
      <c r="D61" s="196">
        <v>87.18856</v>
      </c>
      <c r="E61" s="206">
        <f t="shared" si="3"/>
        <v>84.33549036108451</v>
      </c>
      <c r="F61" s="206">
        <f t="shared" si="2"/>
        <v>-16.19444</v>
      </c>
    </row>
    <row r="62" spans="1:6" s="140" customFormat="1" ht="17.25" customHeight="1">
      <c r="A62" s="201" t="s">
        <v>37</v>
      </c>
      <c r="B62" s="202" t="s">
        <v>232</v>
      </c>
      <c r="C62" s="191">
        <f>C65+C66+C67</f>
        <v>18.5</v>
      </c>
      <c r="D62" s="191">
        <f>D65+D66+D67</f>
        <v>12.13554</v>
      </c>
      <c r="E62" s="203">
        <f t="shared" si="3"/>
        <v>65.59751351351352</v>
      </c>
      <c r="F62" s="203">
        <f t="shared" si="2"/>
        <v>-6.364459999999999</v>
      </c>
    </row>
    <row r="63" spans="1:6" ht="13.5" customHeight="1" hidden="1">
      <c r="A63" s="204" t="s">
        <v>233</v>
      </c>
      <c r="B63" s="207" t="s">
        <v>234</v>
      </c>
      <c r="C63" s="196"/>
      <c r="D63" s="196"/>
      <c r="E63" s="203" t="e">
        <f t="shared" si="3"/>
        <v>#DIV/0!</v>
      </c>
      <c r="F63" s="203">
        <f t="shared" si="2"/>
        <v>0</v>
      </c>
    </row>
    <row r="64" spans="1:6" ht="15.75" hidden="1">
      <c r="A64" s="213" t="s">
        <v>235</v>
      </c>
      <c r="B64" s="207" t="s">
        <v>317</v>
      </c>
      <c r="C64" s="196"/>
      <c r="D64" s="196"/>
      <c r="E64" s="203" t="e">
        <f t="shared" si="3"/>
        <v>#DIV/0!</v>
      </c>
      <c r="F64" s="203">
        <f t="shared" si="2"/>
        <v>0</v>
      </c>
    </row>
    <row r="65" spans="1:6" ht="15.75" customHeight="1">
      <c r="A65" s="214" t="s">
        <v>237</v>
      </c>
      <c r="B65" s="215" t="s">
        <v>238</v>
      </c>
      <c r="C65" s="196">
        <v>3</v>
      </c>
      <c r="D65" s="196">
        <v>2.81148</v>
      </c>
      <c r="E65" s="203">
        <f t="shared" si="3"/>
        <v>93.716</v>
      </c>
      <c r="F65" s="203">
        <f t="shared" si="2"/>
        <v>-0.18852000000000002</v>
      </c>
    </row>
    <row r="66" spans="1:6" ht="15.75" customHeight="1">
      <c r="A66" s="214" t="s">
        <v>239</v>
      </c>
      <c r="B66" s="215" t="s">
        <v>240</v>
      </c>
      <c r="C66" s="196">
        <v>13.5</v>
      </c>
      <c r="D66" s="196">
        <v>7.32406</v>
      </c>
      <c r="E66" s="206">
        <f t="shared" si="3"/>
        <v>54.2522962962963</v>
      </c>
      <c r="F66" s="206">
        <f t="shared" si="2"/>
        <v>-6.17594</v>
      </c>
    </row>
    <row r="67" spans="1:6" ht="15.75" customHeight="1">
      <c r="A67" s="214" t="s">
        <v>241</v>
      </c>
      <c r="B67" s="215" t="s">
        <v>318</v>
      </c>
      <c r="C67" s="196">
        <v>2</v>
      </c>
      <c r="D67" s="196">
        <v>2</v>
      </c>
      <c r="E67" s="206"/>
      <c r="F67" s="206"/>
    </row>
    <row r="68" spans="1:6" s="140" customFormat="1" ht="15.75">
      <c r="A68" s="201" t="s">
        <v>39</v>
      </c>
      <c r="B68" s="202" t="s">
        <v>243</v>
      </c>
      <c r="C68" s="216">
        <f>C71+C72+C69+C70</f>
        <v>901.9442</v>
      </c>
      <c r="D68" s="216">
        <f>D71+D72+D69+D70</f>
        <v>789.40512</v>
      </c>
      <c r="E68" s="203">
        <f aca="true" t="shared" si="4" ref="E68:E82">SUM(D68/C68*100)</f>
        <v>87.52261170923877</v>
      </c>
      <c r="F68" s="203">
        <f aca="true" t="shared" si="5" ref="F68:F83">SUM(D68-C68)</f>
        <v>-112.53908000000001</v>
      </c>
    </row>
    <row r="69" spans="1:6" ht="16.5" customHeight="1">
      <c r="A69" s="204" t="s">
        <v>246</v>
      </c>
      <c r="B69" s="207" t="s">
        <v>319</v>
      </c>
      <c r="C69" s="217">
        <v>0</v>
      </c>
      <c r="D69" s="196">
        <v>0</v>
      </c>
      <c r="E69" s="206" t="e">
        <f t="shared" si="4"/>
        <v>#DIV/0!</v>
      </c>
      <c r="F69" s="206">
        <f t="shared" si="5"/>
        <v>0</v>
      </c>
    </row>
    <row r="70" spans="1:7" s="140" customFormat="1" ht="15.75" customHeight="1">
      <c r="A70" s="204" t="s">
        <v>248</v>
      </c>
      <c r="B70" s="207" t="s">
        <v>320</v>
      </c>
      <c r="C70" s="217">
        <v>22</v>
      </c>
      <c r="D70" s="196">
        <v>19.72</v>
      </c>
      <c r="E70" s="206">
        <f t="shared" si="4"/>
        <v>89.63636363636364</v>
      </c>
      <c r="F70" s="206">
        <f t="shared" si="5"/>
        <v>-2.280000000000001</v>
      </c>
      <c r="G70" s="143"/>
    </row>
    <row r="71" spans="1:6" ht="15.75" customHeight="1">
      <c r="A71" s="204" t="s">
        <v>250</v>
      </c>
      <c r="B71" s="207" t="s">
        <v>251</v>
      </c>
      <c r="C71" s="217">
        <v>829.9442</v>
      </c>
      <c r="D71" s="196">
        <v>749.68512</v>
      </c>
      <c r="E71" s="206">
        <f t="shared" si="4"/>
        <v>90.32958119353084</v>
      </c>
      <c r="F71" s="206">
        <f t="shared" si="5"/>
        <v>-80.25908000000004</v>
      </c>
    </row>
    <row r="72" spans="1:6" ht="19.5" customHeight="1">
      <c r="A72" s="204" t="s">
        <v>252</v>
      </c>
      <c r="B72" s="207" t="s">
        <v>253</v>
      </c>
      <c r="C72" s="217">
        <v>50</v>
      </c>
      <c r="D72" s="196">
        <v>20</v>
      </c>
      <c r="E72" s="206">
        <f t="shared" si="4"/>
        <v>40</v>
      </c>
      <c r="F72" s="206">
        <f t="shared" si="5"/>
        <v>-30</v>
      </c>
    </row>
    <row r="73" spans="1:6" s="140" customFormat="1" ht="18" customHeight="1">
      <c r="A73" s="201" t="s">
        <v>41</v>
      </c>
      <c r="B73" s="202" t="s">
        <v>254</v>
      </c>
      <c r="C73" s="191">
        <f>C76</f>
        <v>647.913</v>
      </c>
      <c r="D73" s="191">
        <f>D76</f>
        <v>532.70269</v>
      </c>
      <c r="E73" s="203">
        <f t="shared" si="4"/>
        <v>82.21824380742476</v>
      </c>
      <c r="F73" s="203">
        <f t="shared" si="5"/>
        <v>-115.21031000000005</v>
      </c>
    </row>
    <row r="74" spans="1:6" ht="0.75" customHeight="1" hidden="1">
      <c r="A74" s="204" t="s">
        <v>255</v>
      </c>
      <c r="B74" s="218" t="s">
        <v>256</v>
      </c>
      <c r="C74" s="196"/>
      <c r="D74" s="196"/>
      <c r="E74" s="206" t="e">
        <f t="shared" si="4"/>
        <v>#DIV/0!</v>
      </c>
      <c r="F74" s="206">
        <f t="shared" si="5"/>
        <v>0</v>
      </c>
    </row>
    <row r="75" spans="1:6" ht="15.75" hidden="1">
      <c r="A75" s="204" t="s">
        <v>257</v>
      </c>
      <c r="B75" s="218" t="s">
        <v>258</v>
      </c>
      <c r="C75" s="196"/>
      <c r="D75" s="196"/>
      <c r="E75" s="206" t="e">
        <f t="shared" si="4"/>
        <v>#DIV/0!</v>
      </c>
      <c r="F75" s="206">
        <f t="shared" si="5"/>
        <v>0</v>
      </c>
    </row>
    <row r="76" spans="1:6" ht="16.5" customHeight="1">
      <c r="A76" s="204" t="s">
        <v>259</v>
      </c>
      <c r="B76" s="207" t="s">
        <v>260</v>
      </c>
      <c r="C76" s="196">
        <v>647.913</v>
      </c>
      <c r="D76" s="196">
        <v>532.70269</v>
      </c>
      <c r="E76" s="206">
        <f t="shared" si="4"/>
        <v>82.21824380742476</v>
      </c>
      <c r="F76" s="206">
        <f t="shared" si="5"/>
        <v>-115.21031000000005</v>
      </c>
    </row>
    <row r="77" spans="1:6" s="140" customFormat="1" ht="15.75">
      <c r="A77" s="201" t="s">
        <v>47</v>
      </c>
      <c r="B77" s="202" t="s">
        <v>275</v>
      </c>
      <c r="C77" s="191">
        <f>C78</f>
        <v>1334.204</v>
      </c>
      <c r="D77" s="191">
        <f>D78</f>
        <v>297.204</v>
      </c>
      <c r="E77" s="203">
        <f t="shared" si="4"/>
        <v>22.275753932681962</v>
      </c>
      <c r="F77" s="203">
        <f t="shared" si="5"/>
        <v>-1037</v>
      </c>
    </row>
    <row r="78" spans="1:6" ht="16.5" customHeight="1">
      <c r="A78" s="204" t="s">
        <v>276</v>
      </c>
      <c r="B78" s="207" t="s">
        <v>277</v>
      </c>
      <c r="C78" s="196">
        <v>1334.204</v>
      </c>
      <c r="D78" s="196">
        <v>297.204</v>
      </c>
      <c r="E78" s="206">
        <f t="shared" si="4"/>
        <v>22.275753932681962</v>
      </c>
      <c r="F78" s="206">
        <f t="shared" si="5"/>
        <v>-1037</v>
      </c>
    </row>
    <row r="79" spans="1:6" s="140" customFormat="1" ht="0.75" customHeight="1" hidden="1">
      <c r="A79" s="219">
        <v>1000</v>
      </c>
      <c r="B79" s="202" t="s">
        <v>280</v>
      </c>
      <c r="C79" s="191"/>
      <c r="D79" s="191"/>
      <c r="E79" s="203" t="e">
        <f t="shared" si="4"/>
        <v>#DIV/0!</v>
      </c>
      <c r="F79" s="203">
        <f t="shared" si="5"/>
        <v>0</v>
      </c>
    </row>
    <row r="80" spans="1:6" ht="16.5" customHeight="1" hidden="1">
      <c r="A80" s="220">
        <v>1001</v>
      </c>
      <c r="B80" s="221" t="s">
        <v>281</v>
      </c>
      <c r="C80" s="196"/>
      <c r="D80" s="196"/>
      <c r="E80" s="206" t="e">
        <f t="shared" si="4"/>
        <v>#DIV/0!</v>
      </c>
      <c r="F80" s="206">
        <f t="shared" si="5"/>
        <v>0</v>
      </c>
    </row>
    <row r="81" spans="1:6" ht="15.75" customHeight="1" hidden="1">
      <c r="A81" s="220">
        <v>1003</v>
      </c>
      <c r="B81" s="221" t="s">
        <v>282</v>
      </c>
      <c r="C81" s="196"/>
      <c r="D81" s="196"/>
      <c r="E81" s="206" t="e">
        <f t="shared" si="4"/>
        <v>#DIV/0!</v>
      </c>
      <c r="F81" s="206">
        <f t="shared" si="5"/>
        <v>0</v>
      </c>
    </row>
    <row r="82" spans="1:6" ht="16.5" customHeight="1" hidden="1">
      <c r="A82" s="220">
        <v>1004</v>
      </c>
      <c r="B82" s="221" t="s">
        <v>283</v>
      </c>
      <c r="C82" s="196"/>
      <c r="D82" s="222"/>
      <c r="E82" s="206" t="e">
        <f t="shared" si="4"/>
        <v>#DIV/0!</v>
      </c>
      <c r="F82" s="206">
        <f t="shared" si="5"/>
        <v>0</v>
      </c>
    </row>
    <row r="83" spans="1:6" ht="0.75" customHeight="1" hidden="1">
      <c r="A83" s="204" t="s">
        <v>284</v>
      </c>
      <c r="B83" s="207" t="s">
        <v>285</v>
      </c>
      <c r="C83" s="196"/>
      <c r="D83" s="196"/>
      <c r="E83" s="206"/>
      <c r="F83" s="206">
        <f t="shared" si="5"/>
        <v>0</v>
      </c>
    </row>
    <row r="84" spans="1:6" ht="17.25" customHeight="1">
      <c r="A84" s="201" t="s">
        <v>51</v>
      </c>
      <c r="B84" s="202" t="s">
        <v>286</v>
      </c>
      <c r="C84" s="191">
        <f>C85</f>
        <v>30</v>
      </c>
      <c r="D84" s="191">
        <f>D85</f>
        <v>0</v>
      </c>
      <c r="E84" s="206">
        <f>SUM(D84/C84*100)</f>
        <v>0</v>
      </c>
      <c r="F84" s="191">
        <f>F85+F86+F87+F88+F89</f>
        <v>-30</v>
      </c>
    </row>
    <row r="85" spans="1:6" ht="18" customHeight="1">
      <c r="A85" s="204" t="s">
        <v>287</v>
      </c>
      <c r="B85" s="207" t="s">
        <v>288</v>
      </c>
      <c r="C85" s="196">
        <v>30</v>
      </c>
      <c r="D85" s="196">
        <v>0</v>
      </c>
      <c r="E85" s="206">
        <v>0</v>
      </c>
      <c r="F85" s="206">
        <f>SUM(D85-C85)</f>
        <v>-30</v>
      </c>
    </row>
    <row r="86" spans="1:6" ht="14.25" customHeight="1" hidden="1">
      <c r="A86" s="204" t="s">
        <v>289</v>
      </c>
      <c r="B86" s="207" t="s">
        <v>290</v>
      </c>
      <c r="C86" s="196"/>
      <c r="D86" s="196"/>
      <c r="E86" s="206" t="e">
        <f aca="true" t="shared" si="6" ref="E86:E94">SUM(D86/C86*100)</f>
        <v>#DIV/0!</v>
      </c>
      <c r="F86" s="206">
        <f>SUM(D86-C86)</f>
        <v>0</v>
      </c>
    </row>
    <row r="87" spans="1:6" ht="15.75" customHeight="1" hidden="1">
      <c r="A87" s="204" t="s">
        <v>291</v>
      </c>
      <c r="B87" s="207" t="s">
        <v>292</v>
      </c>
      <c r="C87" s="196"/>
      <c r="D87" s="196"/>
      <c r="E87" s="206" t="e">
        <f t="shared" si="6"/>
        <v>#DIV/0!</v>
      </c>
      <c r="F87" s="206"/>
    </row>
    <row r="88" spans="1:6" ht="9.75" customHeight="1" hidden="1">
      <c r="A88" s="204" t="s">
        <v>293</v>
      </c>
      <c r="B88" s="207" t="s">
        <v>294</v>
      </c>
      <c r="C88" s="196"/>
      <c r="D88" s="196"/>
      <c r="E88" s="206" t="e">
        <f t="shared" si="6"/>
        <v>#DIV/0!</v>
      </c>
      <c r="F88" s="206"/>
    </row>
    <row r="89" spans="1:6" ht="11.25" customHeight="1" hidden="1">
      <c r="A89" s="204" t="s">
        <v>295</v>
      </c>
      <c r="B89" s="207" t="s">
        <v>296</v>
      </c>
      <c r="C89" s="196"/>
      <c r="D89" s="196"/>
      <c r="E89" s="206" t="e">
        <f t="shared" si="6"/>
        <v>#DIV/0!</v>
      </c>
      <c r="F89" s="206"/>
    </row>
    <row r="90" spans="1:6" s="140" customFormat="1" ht="17.25" customHeight="1" hidden="1">
      <c r="A90" s="219">
        <v>1400</v>
      </c>
      <c r="B90" s="223" t="s">
        <v>303</v>
      </c>
      <c r="C90" s="216">
        <v>0</v>
      </c>
      <c r="D90" s="216">
        <f>SUM(D91:D93)</f>
        <v>0</v>
      </c>
      <c r="E90" s="203" t="e">
        <f t="shared" si="6"/>
        <v>#DIV/0!</v>
      </c>
      <c r="F90" s="203">
        <f>SUM(D90-C90)</f>
        <v>0</v>
      </c>
    </row>
    <row r="91" spans="1:6" ht="18.75" customHeight="1" hidden="1">
      <c r="A91" s="220">
        <v>1401</v>
      </c>
      <c r="B91" s="221" t="s">
        <v>304</v>
      </c>
      <c r="C91" s="217"/>
      <c r="D91" s="196"/>
      <c r="E91" s="206" t="e">
        <f t="shared" si="6"/>
        <v>#DIV/0!</v>
      </c>
      <c r="F91" s="206">
        <f>SUM(D91-C91)</f>
        <v>0</v>
      </c>
    </row>
    <row r="92" spans="1:6" ht="15.75" customHeight="1" hidden="1">
      <c r="A92" s="220">
        <v>1402</v>
      </c>
      <c r="B92" s="221" t="s">
        <v>305</v>
      </c>
      <c r="C92" s="217"/>
      <c r="D92" s="196"/>
      <c r="E92" s="206" t="e">
        <f t="shared" si="6"/>
        <v>#DIV/0!</v>
      </c>
      <c r="F92" s="206">
        <f>SUM(D92-C92)</f>
        <v>0</v>
      </c>
    </row>
    <row r="93" spans="1:6" ht="12.75" customHeight="1" hidden="1">
      <c r="A93" s="220">
        <v>1403</v>
      </c>
      <c r="B93" s="221" t="s">
        <v>306</v>
      </c>
      <c r="C93" s="217"/>
      <c r="D93" s="196"/>
      <c r="E93" s="206" t="e">
        <f t="shared" si="6"/>
        <v>#DIV/0!</v>
      </c>
      <c r="F93" s="206">
        <f>SUM(D93-C93)</f>
        <v>0</v>
      </c>
    </row>
    <row r="94" spans="1:7" s="140" customFormat="1" ht="15.75">
      <c r="A94" s="219"/>
      <c r="B94" s="224" t="s">
        <v>307</v>
      </c>
      <c r="C94" s="225">
        <f>C52+C60+C62+C68+C73+C77+C84</f>
        <v>4301.7522</v>
      </c>
      <c r="D94" s="225">
        <f>D52+D60+D62+D68+D73+D77+D79+D84+D90</f>
        <v>2813.8346</v>
      </c>
      <c r="E94" s="226">
        <f t="shared" si="6"/>
        <v>65.41135958505467</v>
      </c>
      <c r="F94" s="203">
        <f>SUM(D94-C94)</f>
        <v>-1487.9175999999998</v>
      </c>
      <c r="G94" s="187"/>
    </row>
    <row r="95" spans="3:4" ht="15.75">
      <c r="C95" s="227"/>
      <c r="D95" s="228"/>
    </row>
    <row r="96" spans="1:4" s="144" customFormat="1" ht="16.5" customHeight="1">
      <c r="A96" s="229" t="s">
        <v>308</v>
      </c>
      <c r="B96" s="229"/>
      <c r="C96" s="230"/>
      <c r="D96" s="230"/>
    </row>
    <row r="97" spans="1:3" s="144" customFormat="1" ht="20.25" customHeight="1">
      <c r="A97" s="231" t="s">
        <v>309</v>
      </c>
      <c r="B97" s="231"/>
      <c r="C97" s="144" t="s">
        <v>310</v>
      </c>
    </row>
    <row r="98" ht="13.5" customHeight="1"/>
    <row r="100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480314960629921" right="0.7480314960629921" top="0.1968503937007874" bottom="0.15748031496062992" header="0.5118110236220472" footer="0.5118110236220472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view="pageBreakPreview" zoomScale="70" zoomScaleSheetLayoutView="70" zoomScalePageLayoutView="0" workbookViewId="0" topLeftCell="A33">
      <selection activeCell="D101" sqref="D101"/>
    </sheetView>
  </sheetViews>
  <sheetFormatPr defaultColWidth="9.140625" defaultRowHeight="12.75"/>
  <cols>
    <col min="1" max="1" width="14.7109375" style="136" customWidth="1"/>
    <col min="2" max="2" width="56.421875" style="137" customWidth="1"/>
    <col min="3" max="3" width="16.7109375" style="232" customWidth="1"/>
    <col min="4" max="4" width="16.8515625" style="138" customWidth="1"/>
    <col min="5" max="5" width="15.28125" style="138" customWidth="1"/>
    <col min="6" max="6" width="13.421875" style="138" customWidth="1"/>
    <col min="7" max="7" width="15.421875" style="139" customWidth="1"/>
    <col min="8" max="8" width="17.7109375" style="139" customWidth="1"/>
    <col min="9" max="16384" width="9.140625" style="139" customWidth="1"/>
  </cols>
  <sheetData>
    <row r="1" spans="1:6" ht="12.75" customHeight="1">
      <c r="A1" s="468" t="s">
        <v>425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233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3306.32</v>
      </c>
      <c r="D4" s="151">
        <f>D5+D12+D14+D17+D7</f>
        <v>3230.25716</v>
      </c>
      <c r="E4" s="151">
        <f aca="true" t="shared" si="0" ref="E4:E49">SUM(D4/C4*100)</f>
        <v>97.69947131554115</v>
      </c>
      <c r="F4" s="151">
        <f aca="true" t="shared" si="1" ref="F4:F35">SUM(D4-C4)</f>
        <v>-76.06284000000005</v>
      </c>
    </row>
    <row r="5" spans="1:6" s="140" customFormat="1" ht="15.75">
      <c r="A5" s="152">
        <v>1010000000</v>
      </c>
      <c r="B5" s="153" t="s">
        <v>146</v>
      </c>
      <c r="C5" s="151">
        <f>C6</f>
        <v>350.22</v>
      </c>
      <c r="D5" s="151">
        <f>D6</f>
        <v>351.62362</v>
      </c>
      <c r="E5" s="151">
        <f t="shared" si="0"/>
        <v>100.40078236537033</v>
      </c>
      <c r="F5" s="151">
        <f t="shared" si="1"/>
        <v>1.4036199999999894</v>
      </c>
    </row>
    <row r="6" spans="1:6" ht="15.75">
      <c r="A6" s="154">
        <v>1010200001</v>
      </c>
      <c r="B6" s="155" t="s">
        <v>147</v>
      </c>
      <c r="C6" s="156">
        <v>350.22</v>
      </c>
      <c r="D6" s="157">
        <v>351.62362</v>
      </c>
      <c r="E6" s="156">
        <f t="shared" si="0"/>
        <v>100.40078236537033</v>
      </c>
      <c r="F6" s="156">
        <f t="shared" si="1"/>
        <v>1.4036199999999894</v>
      </c>
    </row>
    <row r="7" spans="1:6" ht="31.5">
      <c r="A7" s="149">
        <v>1030000000</v>
      </c>
      <c r="B7" s="158" t="s">
        <v>148</v>
      </c>
      <c r="C7" s="151">
        <f>C8+C10+C9</f>
        <v>763.1</v>
      </c>
      <c r="D7" s="151">
        <f>D8+D10+D9+D11</f>
        <v>734.06649</v>
      </c>
      <c r="E7" s="151">
        <f t="shared" si="0"/>
        <v>96.19532040361682</v>
      </c>
      <c r="F7" s="151">
        <f t="shared" si="1"/>
        <v>-29.03350999999998</v>
      </c>
    </row>
    <row r="8" spans="1:6" ht="15.75">
      <c r="A8" s="154">
        <v>1030223001</v>
      </c>
      <c r="B8" s="155" t="s">
        <v>149</v>
      </c>
      <c r="C8" s="156">
        <v>267.48</v>
      </c>
      <c r="D8" s="157">
        <v>336.46492</v>
      </c>
      <c r="E8" s="156">
        <f t="shared" si="0"/>
        <v>125.79068341558246</v>
      </c>
      <c r="F8" s="156">
        <f t="shared" si="1"/>
        <v>68.98491999999999</v>
      </c>
    </row>
    <row r="9" spans="1:6" ht="15.75">
      <c r="A9" s="154">
        <v>1030224001</v>
      </c>
      <c r="B9" s="155" t="s">
        <v>150</v>
      </c>
      <c r="C9" s="156">
        <v>2.87</v>
      </c>
      <c r="D9" s="157">
        <v>2.38662</v>
      </c>
      <c r="E9" s="156">
        <f t="shared" si="0"/>
        <v>83.15749128919862</v>
      </c>
      <c r="F9" s="156">
        <f t="shared" si="1"/>
        <v>-0.4833799999999999</v>
      </c>
    </row>
    <row r="10" spans="1:6" ht="15.75">
      <c r="A10" s="154">
        <v>1030225001</v>
      </c>
      <c r="B10" s="155" t="s">
        <v>151</v>
      </c>
      <c r="C10" s="156">
        <v>492.75</v>
      </c>
      <c r="D10" s="157">
        <v>452.22381</v>
      </c>
      <c r="E10" s="156">
        <f t="shared" si="0"/>
        <v>91.77550684931506</v>
      </c>
      <c r="F10" s="156">
        <f t="shared" si="1"/>
        <v>-40.526189999999986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-57.00886</v>
      </c>
      <c r="E11" s="156" t="e">
        <f t="shared" si="0"/>
        <v>#DIV/0!</v>
      </c>
      <c r="F11" s="156">
        <f t="shared" si="1"/>
        <v>-57.00886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40</v>
      </c>
      <c r="D12" s="151">
        <f>SUM(D13:D13)</f>
        <v>43.1714</v>
      </c>
      <c r="E12" s="151">
        <f t="shared" si="0"/>
        <v>107.9285</v>
      </c>
      <c r="F12" s="151">
        <f t="shared" si="1"/>
        <v>3.1713999999999984</v>
      </c>
    </row>
    <row r="13" spans="1:6" ht="15.75" customHeight="1">
      <c r="A13" s="154">
        <v>1050300000</v>
      </c>
      <c r="B13" s="159" t="s">
        <v>156</v>
      </c>
      <c r="C13" s="160">
        <v>40</v>
      </c>
      <c r="D13" s="157">
        <v>43.1714</v>
      </c>
      <c r="E13" s="156">
        <f t="shared" si="0"/>
        <v>107.9285</v>
      </c>
      <c r="F13" s="156">
        <f t="shared" si="1"/>
        <v>3.1713999999999984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2143</v>
      </c>
      <c r="D14" s="151">
        <f>D15+D16</f>
        <v>2097.83565</v>
      </c>
      <c r="E14" s="151">
        <f t="shared" si="0"/>
        <v>97.89247083527765</v>
      </c>
      <c r="F14" s="151">
        <f t="shared" si="1"/>
        <v>-45.16435000000001</v>
      </c>
    </row>
    <row r="15" spans="1:6" s="140" customFormat="1" ht="15.75" customHeight="1">
      <c r="A15" s="154">
        <v>1060100000</v>
      </c>
      <c r="B15" s="159" t="s">
        <v>159</v>
      </c>
      <c r="C15" s="156">
        <v>943</v>
      </c>
      <c r="D15" s="157">
        <v>771.43383</v>
      </c>
      <c r="E15" s="151">
        <f t="shared" si="0"/>
        <v>81.8063446447508</v>
      </c>
      <c r="F15" s="156">
        <f t="shared" si="1"/>
        <v>-171.56617000000006</v>
      </c>
    </row>
    <row r="16" spans="1:6" ht="15" customHeight="1">
      <c r="A16" s="154">
        <v>1060600000</v>
      </c>
      <c r="B16" s="159" t="s">
        <v>162</v>
      </c>
      <c r="C16" s="156">
        <v>1200</v>
      </c>
      <c r="D16" s="157">
        <v>1326.40182</v>
      </c>
      <c r="E16" s="151">
        <f t="shared" si="0"/>
        <v>110.533485</v>
      </c>
      <c r="F16" s="156">
        <f t="shared" si="1"/>
        <v>126.40182000000004</v>
      </c>
    </row>
    <row r="17" spans="1:6" s="140" customFormat="1" ht="18" customHeight="1">
      <c r="A17" s="149">
        <v>1080000000</v>
      </c>
      <c r="B17" s="150" t="s">
        <v>165</v>
      </c>
      <c r="C17" s="151">
        <f>C18</f>
        <v>10</v>
      </c>
      <c r="D17" s="151">
        <f>D18</f>
        <v>3.56</v>
      </c>
      <c r="E17" s="151">
        <f t="shared" si="0"/>
        <v>35.6</v>
      </c>
      <c r="F17" s="151">
        <f t="shared" si="1"/>
        <v>-6.4399999999999995</v>
      </c>
    </row>
    <row r="18" spans="1:6" ht="18" customHeight="1">
      <c r="A18" s="154">
        <v>1080400001</v>
      </c>
      <c r="B18" s="155" t="s">
        <v>167</v>
      </c>
      <c r="C18" s="156">
        <v>10</v>
      </c>
      <c r="D18" s="157">
        <v>3.56</v>
      </c>
      <c r="E18" s="156">
        <f t="shared" si="0"/>
        <v>35.6</v>
      </c>
      <c r="F18" s="156">
        <f t="shared" si="1"/>
        <v>-6.4399999999999995</v>
      </c>
    </row>
    <row r="19" spans="1:6" ht="0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31.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31.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7.25" customHeight="1">
      <c r="A25" s="149"/>
      <c r="B25" s="150" t="s">
        <v>17</v>
      </c>
      <c r="C25" s="151">
        <f>C26+C30+C32+C37+C35</f>
        <v>415</v>
      </c>
      <c r="D25" s="151">
        <f>D26+D30+D32+D35+D37</f>
        <v>98.95844</v>
      </c>
      <c r="E25" s="151">
        <f t="shared" si="0"/>
        <v>23.84540722891566</v>
      </c>
      <c r="F25" s="151">
        <f t="shared" si="1"/>
        <v>-316.04156</v>
      </c>
    </row>
    <row r="26" spans="1:6" s="140" customFormat="1" ht="30.75" customHeight="1">
      <c r="A26" s="152">
        <v>1110000000</v>
      </c>
      <c r="B26" s="161" t="s">
        <v>174</v>
      </c>
      <c r="C26" s="151">
        <f>C28+C29</f>
        <v>215</v>
      </c>
      <c r="D26" s="151">
        <f>D28+D29</f>
        <v>52.637</v>
      </c>
      <c r="E26" s="151">
        <f t="shared" si="0"/>
        <v>24.482325581395347</v>
      </c>
      <c r="F26" s="151">
        <f t="shared" si="1"/>
        <v>-162.363</v>
      </c>
    </row>
    <row r="27" spans="1:6" ht="15.75">
      <c r="A27" s="163">
        <v>1110502501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15.75" customHeight="1">
      <c r="A28" s="163">
        <v>1110502510</v>
      </c>
      <c r="B28" s="164" t="s">
        <v>323</v>
      </c>
      <c r="C28" s="160">
        <v>165</v>
      </c>
      <c r="D28" s="157">
        <v>6.8</v>
      </c>
      <c r="E28" s="156">
        <f t="shared" si="0"/>
        <v>4.121212121212121</v>
      </c>
      <c r="F28" s="156">
        <f t="shared" si="1"/>
        <v>-158.2</v>
      </c>
    </row>
    <row r="29" spans="1:6" ht="15.75">
      <c r="A29" s="154">
        <v>1110503000</v>
      </c>
      <c r="B29" s="159" t="s">
        <v>178</v>
      </c>
      <c r="C29" s="160">
        <v>50</v>
      </c>
      <c r="D29" s="157">
        <v>45.837</v>
      </c>
      <c r="E29" s="156">
        <f t="shared" si="0"/>
        <v>91.674</v>
      </c>
      <c r="F29" s="156">
        <f t="shared" si="1"/>
        <v>-4.162999999999997</v>
      </c>
    </row>
    <row r="30" spans="1:6" s="141" customFormat="1" ht="35.25" customHeight="1">
      <c r="A30" s="152">
        <v>1130000000</v>
      </c>
      <c r="B30" s="161" t="s">
        <v>185</v>
      </c>
      <c r="C30" s="151">
        <f>C31</f>
        <v>200</v>
      </c>
      <c r="D30" s="151">
        <f>D31</f>
        <v>48.89459</v>
      </c>
      <c r="E30" s="151">
        <f t="shared" si="0"/>
        <v>24.447295</v>
      </c>
      <c r="F30" s="151">
        <f t="shared" si="1"/>
        <v>-151.10541</v>
      </c>
    </row>
    <row r="31" spans="1:6" ht="18" customHeight="1">
      <c r="A31" s="154">
        <v>1130206005</v>
      </c>
      <c r="B31" s="155" t="s">
        <v>187</v>
      </c>
      <c r="C31" s="156">
        <v>200</v>
      </c>
      <c r="D31" s="157">
        <v>48.89459</v>
      </c>
      <c r="E31" s="156">
        <f t="shared" si="0"/>
        <v>24.447295</v>
      </c>
      <c r="F31" s="156">
        <f t="shared" si="1"/>
        <v>-151.10541</v>
      </c>
    </row>
    <row r="32" spans="1:6" ht="18.75" customHeight="1">
      <c r="A32" s="165">
        <v>1140000000</v>
      </c>
      <c r="B32" s="166" t="s">
        <v>188</v>
      </c>
      <c r="C32" s="151">
        <f>C33+C34</f>
        <v>0</v>
      </c>
      <c r="D32" s="151">
        <f>D33+D34</f>
        <v>0</v>
      </c>
      <c r="E32" s="151" t="e">
        <f t="shared" si="0"/>
        <v>#DIV/0!</v>
      </c>
      <c r="F32" s="151">
        <f t="shared" si="1"/>
        <v>0</v>
      </c>
    </row>
    <row r="33" spans="1:6" ht="18.75" customHeight="1">
      <c r="A33" s="163">
        <v>1140200000</v>
      </c>
      <c r="B33" s="167" t="s">
        <v>324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 hidden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16.5" customHeight="1" hidden="1">
      <c r="A35" s="234">
        <v>1160000000</v>
      </c>
      <c r="B35" s="158" t="s">
        <v>325</v>
      </c>
      <c r="C35" s="151">
        <f>C36</f>
        <v>0</v>
      </c>
      <c r="D35" s="162">
        <f>D36</f>
        <v>0</v>
      </c>
      <c r="E35" s="156" t="e">
        <f t="shared" si="0"/>
        <v>#DIV/0!</v>
      </c>
      <c r="F35" s="156">
        <f t="shared" si="1"/>
        <v>0</v>
      </c>
    </row>
    <row r="36" spans="1:6" ht="46.5" customHeight="1" hidden="1">
      <c r="A36" s="154">
        <v>1160701010</v>
      </c>
      <c r="B36" s="155" t="s">
        <v>326</v>
      </c>
      <c r="C36" s="156">
        <v>0</v>
      </c>
      <c r="D36" s="157">
        <v>0</v>
      </c>
      <c r="E36" s="156" t="e">
        <f t="shared" si="0"/>
        <v>#DIV/0!</v>
      </c>
      <c r="F36" s="156">
        <f aca="true" t="shared" si="2" ref="F36:F52">SUM(D36-C36)</f>
        <v>0</v>
      </c>
    </row>
    <row r="37" spans="1:6" ht="29.2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-2.57315</v>
      </c>
      <c r="E37" s="151" t="e">
        <f t="shared" si="0"/>
        <v>#DIV/0!</v>
      </c>
      <c r="F37" s="151">
        <f t="shared" si="2"/>
        <v>-2.57315</v>
      </c>
    </row>
    <row r="38" spans="1:6" ht="13.5" customHeight="1">
      <c r="A38" s="154">
        <v>1170105005</v>
      </c>
      <c r="B38" s="155" t="s">
        <v>199</v>
      </c>
      <c r="C38" s="156">
        <v>0</v>
      </c>
      <c r="D38" s="156">
        <v>-2.57315</v>
      </c>
      <c r="E38" s="156" t="e">
        <f t="shared" si="0"/>
        <v>#DIV/0!</v>
      </c>
      <c r="F38" s="156">
        <f t="shared" si="2"/>
        <v>-2.57315</v>
      </c>
    </row>
    <row r="39" spans="1:6" ht="24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0"/>
        <v>#DIV/0!</v>
      </c>
      <c r="F39" s="156">
        <f t="shared" si="2"/>
        <v>0</v>
      </c>
    </row>
    <row r="40" spans="1:6" s="140" customFormat="1" ht="29.25" customHeight="1">
      <c r="A40" s="149">
        <v>1000000000</v>
      </c>
      <c r="B40" s="150" t="s">
        <v>26</v>
      </c>
      <c r="C40" s="169">
        <f>SUM(C4,C25)</f>
        <v>3721.32</v>
      </c>
      <c r="D40" s="169">
        <f>D4+D25</f>
        <v>3329.2156</v>
      </c>
      <c r="E40" s="151">
        <f t="shared" si="0"/>
        <v>89.46329796953769</v>
      </c>
      <c r="F40" s="151">
        <f t="shared" si="2"/>
        <v>-392.10440000000017</v>
      </c>
    </row>
    <row r="41" spans="1:7" s="140" customFormat="1" ht="20.25" customHeight="1">
      <c r="A41" s="149">
        <v>2000000000</v>
      </c>
      <c r="B41" s="150" t="s">
        <v>201</v>
      </c>
      <c r="C41" s="235">
        <f>C42+C43+C44+C46+C47+C45+C48</f>
        <v>16492.99281</v>
      </c>
      <c r="D41" s="235">
        <f>D42+D43+D44+D46+D47+D45+D48</f>
        <v>13407.22911</v>
      </c>
      <c r="E41" s="151">
        <f t="shared" si="0"/>
        <v>81.29045628317351</v>
      </c>
      <c r="F41" s="151">
        <f t="shared" si="2"/>
        <v>-3085.7636999999995</v>
      </c>
      <c r="G41" s="171"/>
    </row>
    <row r="42" spans="1:6" ht="19.5" customHeight="1">
      <c r="A42" s="163">
        <v>2021000000</v>
      </c>
      <c r="B42" s="164" t="s">
        <v>202</v>
      </c>
      <c r="C42" s="236">
        <v>6036.4</v>
      </c>
      <c r="D42" s="173">
        <v>5533.407</v>
      </c>
      <c r="E42" s="156">
        <f t="shared" si="0"/>
        <v>91.66733483533233</v>
      </c>
      <c r="F42" s="156">
        <f t="shared" si="2"/>
        <v>-502.9929999999995</v>
      </c>
    </row>
    <row r="43" spans="1:6" ht="27.75" customHeight="1" hidden="1">
      <c r="A43" s="163">
        <v>2021500200</v>
      </c>
      <c r="B43" s="164" t="s">
        <v>205</v>
      </c>
      <c r="C43" s="160">
        <v>0</v>
      </c>
      <c r="D43" s="173">
        <v>0</v>
      </c>
      <c r="E43" s="156" t="e">
        <f t="shared" si="0"/>
        <v>#DIV/0!</v>
      </c>
      <c r="F43" s="156">
        <f t="shared" si="2"/>
        <v>0</v>
      </c>
    </row>
    <row r="44" spans="1:6" ht="21" customHeight="1">
      <c r="A44" s="163">
        <v>2022000000</v>
      </c>
      <c r="B44" s="164" t="s">
        <v>206</v>
      </c>
      <c r="C44" s="160">
        <v>8509.34377</v>
      </c>
      <c r="D44" s="157">
        <v>6170.03067</v>
      </c>
      <c r="E44" s="156">
        <f t="shared" si="0"/>
        <v>72.50888948396546</v>
      </c>
      <c r="F44" s="156">
        <f t="shared" si="2"/>
        <v>-2339.3130999999994</v>
      </c>
    </row>
    <row r="45" spans="1:6" ht="23.25" customHeight="1" hidden="1">
      <c r="A45" s="163">
        <v>2022999910</v>
      </c>
      <c r="B45" s="167" t="s">
        <v>327</v>
      </c>
      <c r="C45" s="160">
        <v>0</v>
      </c>
      <c r="D45" s="157">
        <v>0</v>
      </c>
      <c r="E45" s="156" t="e">
        <f t="shared" si="0"/>
        <v>#DIV/0!</v>
      </c>
      <c r="F45" s="156">
        <f t="shared" si="2"/>
        <v>0</v>
      </c>
    </row>
    <row r="46" spans="1:6" ht="21" customHeight="1">
      <c r="A46" s="163">
        <v>2023000000</v>
      </c>
      <c r="B46" s="164" t="s">
        <v>207</v>
      </c>
      <c r="C46" s="160">
        <v>249.4229</v>
      </c>
      <c r="D46" s="175">
        <v>188.7463</v>
      </c>
      <c r="E46" s="156">
        <f t="shared" si="0"/>
        <v>75.6732040241694</v>
      </c>
      <c r="F46" s="156">
        <f t="shared" si="2"/>
        <v>-60.67660000000001</v>
      </c>
    </row>
    <row r="47" spans="1:6" ht="15.75" customHeight="1">
      <c r="A47" s="163">
        <v>2020400000</v>
      </c>
      <c r="B47" s="164" t="s">
        <v>102</v>
      </c>
      <c r="C47" s="160">
        <v>1489.407</v>
      </c>
      <c r="D47" s="176">
        <v>1306.626</v>
      </c>
      <c r="E47" s="156">
        <f t="shared" si="0"/>
        <v>87.72793467467254</v>
      </c>
      <c r="F47" s="156">
        <f t="shared" si="2"/>
        <v>-182.78099999999995</v>
      </c>
    </row>
    <row r="48" spans="1:6" ht="16.5" customHeight="1">
      <c r="A48" s="154">
        <v>2070500010</v>
      </c>
      <c r="B48" s="164" t="s">
        <v>328</v>
      </c>
      <c r="C48" s="160">
        <v>208.41914</v>
      </c>
      <c r="D48" s="176">
        <v>208.41914</v>
      </c>
      <c r="E48" s="156">
        <f t="shared" si="0"/>
        <v>100</v>
      </c>
      <c r="F48" s="156">
        <f t="shared" si="2"/>
        <v>0</v>
      </c>
    </row>
    <row r="49" spans="1:6" ht="47.25" hidden="1">
      <c r="A49" s="163">
        <v>2020900000</v>
      </c>
      <c r="B49" s="167" t="s">
        <v>329</v>
      </c>
      <c r="C49" s="237"/>
      <c r="D49" s="238"/>
      <c r="E49" s="156" t="e">
        <f t="shared" si="0"/>
        <v>#DIV/0!</v>
      </c>
      <c r="F49" s="156">
        <f t="shared" si="2"/>
        <v>0</v>
      </c>
    </row>
    <row r="50" spans="1:6" ht="15.75" hidden="1">
      <c r="A50" s="154">
        <v>2190500005</v>
      </c>
      <c r="B50" s="159" t="s">
        <v>209</v>
      </c>
      <c r="C50" s="239">
        <v>0</v>
      </c>
      <c r="D50" s="239"/>
      <c r="E50" s="151"/>
      <c r="F50" s="151">
        <f t="shared" si="2"/>
        <v>0</v>
      </c>
    </row>
    <row r="51" spans="1:6" s="140" customFormat="1" ht="31.5" hidden="1">
      <c r="A51" s="149">
        <v>3000000000</v>
      </c>
      <c r="B51" s="158" t="s">
        <v>210</v>
      </c>
      <c r="C51" s="240">
        <v>0</v>
      </c>
      <c r="D51" s="239">
        <v>0</v>
      </c>
      <c r="E51" s="151" t="e">
        <f>SUM(D51/C51*100)</f>
        <v>#DIV/0!</v>
      </c>
      <c r="F51" s="151">
        <f t="shared" si="2"/>
        <v>0</v>
      </c>
    </row>
    <row r="52" spans="1:8" s="140" customFormat="1" ht="23.25" customHeight="1">
      <c r="A52" s="149"/>
      <c r="B52" s="150" t="s">
        <v>211</v>
      </c>
      <c r="C52" s="241">
        <f>SUM(C40,C41,C51)</f>
        <v>20214.31281</v>
      </c>
      <c r="D52" s="242">
        <f>D40+D41</f>
        <v>16736.44471</v>
      </c>
      <c r="E52" s="151">
        <f>SUM(D52/C52*100)</f>
        <v>82.79502186055268</v>
      </c>
      <c r="F52" s="151">
        <f t="shared" si="2"/>
        <v>-3477.8680999999997</v>
      </c>
      <c r="G52" s="142"/>
      <c r="H52" s="142"/>
    </row>
    <row r="53" spans="1:6" s="140" customFormat="1" ht="15.75">
      <c r="A53" s="149"/>
      <c r="B53" s="189" t="s">
        <v>212</v>
      </c>
      <c r="C53" s="151">
        <f>C52-C101</f>
        <v>-883.3964300000007</v>
      </c>
      <c r="D53" s="151">
        <f>D52-D101</f>
        <v>1495.6351400000003</v>
      </c>
      <c r="E53" s="191"/>
      <c r="F53" s="191"/>
    </row>
    <row r="54" spans="1:6" ht="15.75" customHeight="1">
      <c r="A54" s="192"/>
      <c r="B54" s="193"/>
      <c r="C54" s="243"/>
      <c r="D54" s="243"/>
      <c r="E54" s="195"/>
      <c r="F54" s="244"/>
    </row>
    <row r="55" spans="1:6" ht="63">
      <c r="A55" s="197" t="s">
        <v>141</v>
      </c>
      <c r="B55" s="197" t="s">
        <v>213</v>
      </c>
      <c r="C55" s="245" t="s">
        <v>143</v>
      </c>
      <c r="D55" s="147" t="s">
        <v>424</v>
      </c>
      <c r="E55" s="146" t="s">
        <v>144</v>
      </c>
      <c r="F55" s="148" t="s">
        <v>145</v>
      </c>
    </row>
    <row r="56" spans="1:6" ht="15.75">
      <c r="A56" s="246">
        <v>1</v>
      </c>
      <c r="B56" s="197">
        <v>2</v>
      </c>
      <c r="C56" s="200">
        <v>3</v>
      </c>
      <c r="D56" s="200">
        <v>4</v>
      </c>
      <c r="E56" s="200">
        <v>5</v>
      </c>
      <c r="F56" s="200">
        <v>6</v>
      </c>
    </row>
    <row r="57" spans="1:6" s="140" customFormat="1" ht="17.25" customHeight="1">
      <c r="A57" s="201" t="s">
        <v>33</v>
      </c>
      <c r="B57" s="202" t="s">
        <v>214</v>
      </c>
      <c r="C57" s="247">
        <f>C58+C59+C60+C61+C62+C64+C63</f>
        <v>2176.898</v>
      </c>
      <c r="D57" s="247">
        <f>D58+D59+D60+D61+D62+D64+D63</f>
        <v>1716.66124</v>
      </c>
      <c r="E57" s="203">
        <f>SUM(D57/C57*100)</f>
        <v>78.85813850717855</v>
      </c>
      <c r="F57" s="203">
        <f>SUM(D57-C57)</f>
        <v>-460.23676000000023</v>
      </c>
    </row>
    <row r="58" spans="1:6" s="140" customFormat="1" ht="0.75" customHeight="1">
      <c r="A58" s="204" t="s">
        <v>215</v>
      </c>
      <c r="B58" s="205" t="s">
        <v>216</v>
      </c>
      <c r="C58" s="196"/>
      <c r="D58" s="196"/>
      <c r="E58" s="206"/>
      <c r="F58" s="206"/>
    </row>
    <row r="59" spans="1:6" ht="16.5" customHeight="1">
      <c r="A59" s="204" t="s">
        <v>217</v>
      </c>
      <c r="B59" s="207" t="s">
        <v>218</v>
      </c>
      <c r="C59" s="248">
        <v>2050.9</v>
      </c>
      <c r="D59" s="196">
        <v>1685.66324</v>
      </c>
      <c r="E59" s="206">
        <f aca="true" t="shared" si="3" ref="E59:E71">SUM(D59/C59*100)</f>
        <v>82.19139109659174</v>
      </c>
      <c r="F59" s="206">
        <f aca="true" t="shared" si="4" ref="F59:F71">SUM(D59-C59)</f>
        <v>-365.23676</v>
      </c>
    </row>
    <row r="60" spans="1:6" ht="12.75" customHeight="1" hidden="1">
      <c r="A60" s="204" t="s">
        <v>219</v>
      </c>
      <c r="B60" s="207" t="s">
        <v>220</v>
      </c>
      <c r="C60" s="196"/>
      <c r="D60" s="196"/>
      <c r="E60" s="206" t="e">
        <f t="shared" si="3"/>
        <v>#DIV/0!</v>
      </c>
      <c r="F60" s="206">
        <f t="shared" si="4"/>
        <v>0</v>
      </c>
    </row>
    <row r="61" spans="1:6" ht="12.75" customHeight="1" hidden="1">
      <c r="A61" s="204" t="s">
        <v>221</v>
      </c>
      <c r="B61" s="207" t="s">
        <v>222</v>
      </c>
      <c r="C61" s="196"/>
      <c r="D61" s="196"/>
      <c r="E61" s="206" t="e">
        <f t="shared" si="3"/>
        <v>#DIV/0!</v>
      </c>
      <c r="F61" s="206">
        <f t="shared" si="4"/>
        <v>0</v>
      </c>
    </row>
    <row r="62" spans="1:6" ht="18" customHeight="1">
      <c r="A62" s="204" t="s">
        <v>223</v>
      </c>
      <c r="B62" s="207" t="s">
        <v>224</v>
      </c>
      <c r="C62" s="196">
        <v>10.86</v>
      </c>
      <c r="D62" s="196">
        <v>10.86</v>
      </c>
      <c r="E62" s="206">
        <f t="shared" si="3"/>
        <v>100</v>
      </c>
      <c r="F62" s="206">
        <f t="shared" si="4"/>
        <v>0</v>
      </c>
    </row>
    <row r="63" spans="1:6" ht="18" customHeight="1">
      <c r="A63" s="204" t="s">
        <v>225</v>
      </c>
      <c r="B63" s="207" t="s">
        <v>226</v>
      </c>
      <c r="C63" s="208">
        <v>95</v>
      </c>
      <c r="D63" s="208">
        <v>0</v>
      </c>
      <c r="E63" s="206">
        <f t="shared" si="3"/>
        <v>0</v>
      </c>
      <c r="F63" s="206">
        <f t="shared" si="4"/>
        <v>-95</v>
      </c>
    </row>
    <row r="64" spans="1:6" ht="18" customHeight="1">
      <c r="A64" s="204" t="s">
        <v>227</v>
      </c>
      <c r="B64" s="207" t="s">
        <v>228</v>
      </c>
      <c r="C64" s="196">
        <v>20.138</v>
      </c>
      <c r="D64" s="196">
        <v>20.138</v>
      </c>
      <c r="E64" s="206">
        <f t="shared" si="3"/>
        <v>100</v>
      </c>
      <c r="F64" s="206">
        <f t="shared" si="4"/>
        <v>0</v>
      </c>
    </row>
    <row r="65" spans="1:6" s="140" customFormat="1" ht="15.75" customHeight="1">
      <c r="A65" s="209" t="s">
        <v>35</v>
      </c>
      <c r="B65" s="210" t="s">
        <v>229</v>
      </c>
      <c r="C65" s="191">
        <f>C66</f>
        <v>206.767</v>
      </c>
      <c r="D65" s="191">
        <f>D66</f>
        <v>144.22257</v>
      </c>
      <c r="E65" s="203">
        <f t="shared" si="3"/>
        <v>69.75125140859035</v>
      </c>
      <c r="F65" s="203">
        <f t="shared" si="4"/>
        <v>-62.544430000000006</v>
      </c>
    </row>
    <row r="66" spans="1:6" ht="15.75">
      <c r="A66" s="211" t="s">
        <v>230</v>
      </c>
      <c r="B66" s="212" t="s">
        <v>231</v>
      </c>
      <c r="C66" s="196">
        <v>206.767</v>
      </c>
      <c r="D66" s="196">
        <v>144.22257</v>
      </c>
      <c r="E66" s="206">
        <f t="shared" si="3"/>
        <v>69.75125140859035</v>
      </c>
      <c r="F66" s="206">
        <f t="shared" si="4"/>
        <v>-62.544430000000006</v>
      </c>
    </row>
    <row r="67" spans="1:6" s="140" customFormat="1" ht="20.25" customHeight="1">
      <c r="A67" s="201" t="s">
        <v>37</v>
      </c>
      <c r="B67" s="202" t="s">
        <v>232</v>
      </c>
      <c r="C67" s="191">
        <f>C70+C72+C71</f>
        <v>330.18</v>
      </c>
      <c r="D67" s="191">
        <f>D70+D72+D71</f>
        <v>17.31148</v>
      </c>
      <c r="E67" s="203">
        <f t="shared" si="3"/>
        <v>5.243043188563814</v>
      </c>
      <c r="F67" s="203">
        <f t="shared" si="4"/>
        <v>-312.86852</v>
      </c>
    </row>
    <row r="68" spans="1:6" ht="0.75" customHeight="1" hidden="1">
      <c r="A68" s="204" t="s">
        <v>233</v>
      </c>
      <c r="B68" s="207" t="s">
        <v>234</v>
      </c>
      <c r="C68" s="196"/>
      <c r="D68" s="196"/>
      <c r="E68" s="203" t="e">
        <f t="shared" si="3"/>
        <v>#DIV/0!</v>
      </c>
      <c r="F68" s="203">
        <f t="shared" si="4"/>
        <v>0</v>
      </c>
    </row>
    <row r="69" spans="1:6" ht="16.5" customHeight="1" hidden="1">
      <c r="A69" s="213" t="s">
        <v>235</v>
      </c>
      <c r="B69" s="207" t="s">
        <v>317</v>
      </c>
      <c r="C69" s="196">
        <v>0</v>
      </c>
      <c r="D69" s="196"/>
      <c r="E69" s="203" t="e">
        <f t="shared" si="3"/>
        <v>#DIV/0!</v>
      </c>
      <c r="F69" s="203">
        <f t="shared" si="4"/>
        <v>0</v>
      </c>
    </row>
    <row r="70" spans="1:6" ht="15.75" customHeight="1">
      <c r="A70" s="214" t="s">
        <v>237</v>
      </c>
      <c r="B70" s="215" t="s">
        <v>238</v>
      </c>
      <c r="C70" s="196">
        <v>14.68</v>
      </c>
      <c r="D70" s="196">
        <v>7.61148</v>
      </c>
      <c r="E70" s="203">
        <f t="shared" si="3"/>
        <v>51.849318801089915</v>
      </c>
      <c r="F70" s="203">
        <f t="shared" si="4"/>
        <v>-7.0685199999999995</v>
      </c>
    </row>
    <row r="71" spans="1:6" ht="15.75" customHeight="1">
      <c r="A71" s="214" t="s">
        <v>239</v>
      </c>
      <c r="B71" s="215" t="s">
        <v>240</v>
      </c>
      <c r="C71" s="196">
        <v>313.5</v>
      </c>
      <c r="D71" s="196">
        <v>7.7</v>
      </c>
      <c r="E71" s="206">
        <f t="shared" si="3"/>
        <v>2.456140350877193</v>
      </c>
      <c r="F71" s="206">
        <f t="shared" si="4"/>
        <v>-305.8</v>
      </c>
    </row>
    <row r="72" spans="1:6" ht="15.75" customHeight="1">
      <c r="A72" s="214" t="s">
        <v>241</v>
      </c>
      <c r="B72" s="215" t="s">
        <v>242</v>
      </c>
      <c r="C72" s="196">
        <v>2</v>
      </c>
      <c r="D72" s="196">
        <v>2</v>
      </c>
      <c r="E72" s="203">
        <v>0</v>
      </c>
      <c r="F72" s="203">
        <v>0</v>
      </c>
    </row>
    <row r="73" spans="1:6" s="140" customFormat="1" ht="17.25" customHeight="1">
      <c r="A73" s="249" t="s">
        <v>39</v>
      </c>
      <c r="B73" s="202" t="s">
        <v>243</v>
      </c>
      <c r="C73" s="216">
        <f>C75+C76+C77+C74</f>
        <v>3515.39633</v>
      </c>
      <c r="D73" s="216">
        <f>SUM(D74:D77)</f>
        <v>3119.71072</v>
      </c>
      <c r="E73" s="203">
        <f aca="true" t="shared" si="5" ref="E73:E101">SUM(D73/C73*100)</f>
        <v>88.74421052831902</v>
      </c>
      <c r="F73" s="203">
        <f aca="true" t="shared" si="6" ref="F73:F90">SUM(D73-C73)</f>
        <v>-395.68561</v>
      </c>
    </row>
    <row r="74" spans="1:6" ht="15.75" customHeight="1">
      <c r="A74" s="204" t="s">
        <v>246</v>
      </c>
      <c r="B74" s="207" t="s">
        <v>319</v>
      </c>
      <c r="C74" s="217">
        <v>42.6559</v>
      </c>
      <c r="D74" s="196">
        <v>0</v>
      </c>
      <c r="E74" s="206">
        <f t="shared" si="5"/>
        <v>0</v>
      </c>
      <c r="F74" s="206">
        <f t="shared" si="6"/>
        <v>-42.6559</v>
      </c>
    </row>
    <row r="75" spans="1:7" s="140" customFormat="1" ht="19.5" customHeight="1">
      <c r="A75" s="204" t="s">
        <v>248</v>
      </c>
      <c r="B75" s="207" t="s">
        <v>320</v>
      </c>
      <c r="C75" s="217">
        <v>0</v>
      </c>
      <c r="D75" s="196">
        <v>0</v>
      </c>
      <c r="E75" s="206" t="e">
        <f t="shared" si="5"/>
        <v>#DIV/0!</v>
      </c>
      <c r="F75" s="206">
        <f t="shared" si="6"/>
        <v>0</v>
      </c>
      <c r="G75" s="143"/>
    </row>
    <row r="76" spans="1:6" ht="15.75">
      <c r="A76" s="204" t="s">
        <v>250</v>
      </c>
      <c r="B76" s="207" t="s">
        <v>251</v>
      </c>
      <c r="C76" s="217">
        <v>3222.74043</v>
      </c>
      <c r="D76" s="196">
        <v>3033.21072</v>
      </c>
      <c r="E76" s="206">
        <f t="shared" si="5"/>
        <v>94.1189892851532</v>
      </c>
      <c r="F76" s="206">
        <f t="shared" si="6"/>
        <v>-189.5297099999998</v>
      </c>
    </row>
    <row r="77" spans="1:6" ht="15.75">
      <c r="A77" s="204" t="s">
        <v>252</v>
      </c>
      <c r="B77" s="207" t="s">
        <v>253</v>
      </c>
      <c r="C77" s="217">
        <v>250</v>
      </c>
      <c r="D77" s="196">
        <v>86.5</v>
      </c>
      <c r="E77" s="206">
        <f t="shared" si="5"/>
        <v>34.599999999999994</v>
      </c>
      <c r="F77" s="206">
        <f t="shared" si="6"/>
        <v>-163.5</v>
      </c>
    </row>
    <row r="78" spans="1:6" s="140" customFormat="1" ht="24" customHeight="1">
      <c r="A78" s="201" t="s">
        <v>41</v>
      </c>
      <c r="B78" s="202" t="s">
        <v>254</v>
      </c>
      <c r="C78" s="191">
        <f>SUM(C79:C82)</f>
        <v>11308.267909999999</v>
      </c>
      <c r="D78" s="191">
        <f>SUM(D79:D82)</f>
        <v>7532.82535</v>
      </c>
      <c r="E78" s="203">
        <f t="shared" si="5"/>
        <v>66.61343195927165</v>
      </c>
      <c r="F78" s="203">
        <f t="shared" si="6"/>
        <v>-3775.4425599999986</v>
      </c>
    </row>
    <row r="79" spans="1:6" ht="2.25" customHeight="1" hidden="1">
      <c r="A79" s="204" t="s">
        <v>255</v>
      </c>
      <c r="B79" s="218" t="s">
        <v>256</v>
      </c>
      <c r="C79" s="196">
        <v>0</v>
      </c>
      <c r="D79" s="196">
        <v>0</v>
      </c>
      <c r="E79" s="206" t="e">
        <f t="shared" si="5"/>
        <v>#DIV/0!</v>
      </c>
      <c r="F79" s="206">
        <f t="shared" si="6"/>
        <v>0</v>
      </c>
    </row>
    <row r="80" spans="1:6" ht="15" customHeight="1">
      <c r="A80" s="204" t="s">
        <v>257</v>
      </c>
      <c r="B80" s="218" t="s">
        <v>258</v>
      </c>
      <c r="C80" s="196">
        <v>4553.83414</v>
      </c>
      <c r="D80" s="196">
        <v>1214.44722</v>
      </c>
      <c r="E80" s="206">
        <f t="shared" si="5"/>
        <v>26.668674849892536</v>
      </c>
      <c r="F80" s="206">
        <f t="shared" si="6"/>
        <v>-3339.38692</v>
      </c>
    </row>
    <row r="81" spans="1:6" ht="15" customHeight="1">
      <c r="A81" s="204" t="s">
        <v>259</v>
      </c>
      <c r="B81" s="207" t="s">
        <v>260</v>
      </c>
      <c r="C81" s="196">
        <v>6754.43377</v>
      </c>
      <c r="D81" s="196">
        <v>6318.37813</v>
      </c>
      <c r="E81" s="206">
        <f t="shared" si="5"/>
        <v>93.54415699600531</v>
      </c>
      <c r="F81" s="206">
        <f t="shared" si="6"/>
        <v>-436.0556399999996</v>
      </c>
    </row>
    <row r="82" spans="1:6" ht="18" customHeight="1" hidden="1">
      <c r="A82" s="204" t="s">
        <v>330</v>
      </c>
      <c r="B82" s="207" t="s">
        <v>331</v>
      </c>
      <c r="C82" s="196">
        <v>0</v>
      </c>
      <c r="D82" s="196">
        <v>0</v>
      </c>
      <c r="E82" s="206" t="e">
        <f t="shared" si="5"/>
        <v>#DIV/0!</v>
      </c>
      <c r="F82" s="206">
        <f t="shared" si="6"/>
        <v>0</v>
      </c>
    </row>
    <row r="83" spans="1:6" s="140" customFormat="1" ht="16.5" customHeight="1">
      <c r="A83" s="201" t="s">
        <v>47</v>
      </c>
      <c r="B83" s="202" t="s">
        <v>275</v>
      </c>
      <c r="C83" s="191">
        <f>C84+C85</f>
        <v>3505.2</v>
      </c>
      <c r="D83" s="191">
        <f>D84+D85</f>
        <v>2703.02621</v>
      </c>
      <c r="E83" s="203">
        <f t="shared" si="5"/>
        <v>77.1147498002967</v>
      </c>
      <c r="F83" s="203">
        <f t="shared" si="6"/>
        <v>-802.1737899999998</v>
      </c>
    </row>
    <row r="84" spans="1:6" ht="14.25" customHeight="1">
      <c r="A84" s="204" t="s">
        <v>276</v>
      </c>
      <c r="B84" s="207" t="s">
        <v>277</v>
      </c>
      <c r="C84" s="196">
        <v>3505.2</v>
      </c>
      <c r="D84" s="196">
        <v>2703.02621</v>
      </c>
      <c r="E84" s="206">
        <f t="shared" si="5"/>
        <v>77.1147498002967</v>
      </c>
      <c r="F84" s="206">
        <f t="shared" si="6"/>
        <v>-802.1737899999998</v>
      </c>
    </row>
    <row r="85" spans="1:6" ht="14.25" customHeight="1" hidden="1">
      <c r="A85" s="204" t="s">
        <v>278</v>
      </c>
      <c r="B85" s="207" t="s">
        <v>279</v>
      </c>
      <c r="C85" s="196"/>
      <c r="D85" s="196">
        <v>0</v>
      </c>
      <c r="E85" s="206" t="e">
        <f t="shared" si="5"/>
        <v>#DIV/0!</v>
      </c>
      <c r="F85" s="206">
        <f t="shared" si="6"/>
        <v>0</v>
      </c>
    </row>
    <row r="86" spans="1:6" s="140" customFormat="1" ht="19.5" customHeight="1">
      <c r="A86" s="219">
        <v>1000</v>
      </c>
      <c r="B86" s="202" t="s">
        <v>280</v>
      </c>
      <c r="C86" s="191">
        <f>SUM(C87:C90)</f>
        <v>5</v>
      </c>
      <c r="D86" s="191">
        <f>SUM(D87:D90)</f>
        <v>5</v>
      </c>
      <c r="E86" s="203">
        <f t="shared" si="5"/>
        <v>100</v>
      </c>
      <c r="F86" s="203">
        <f t="shared" si="6"/>
        <v>0</v>
      </c>
    </row>
    <row r="87" spans="1:6" ht="19.5" customHeight="1" hidden="1">
      <c r="A87" s="220">
        <v>1001</v>
      </c>
      <c r="B87" s="221" t="s">
        <v>281</v>
      </c>
      <c r="C87" s="196"/>
      <c r="D87" s="196"/>
      <c r="E87" s="203" t="e">
        <f t="shared" si="5"/>
        <v>#DIV/0!</v>
      </c>
      <c r="F87" s="206">
        <f t="shared" si="6"/>
        <v>0</v>
      </c>
    </row>
    <row r="88" spans="1:6" ht="17.25" customHeight="1">
      <c r="A88" s="220">
        <v>1003</v>
      </c>
      <c r="B88" s="221" t="s">
        <v>282</v>
      </c>
      <c r="C88" s="196">
        <v>5</v>
      </c>
      <c r="D88" s="196">
        <v>5</v>
      </c>
      <c r="E88" s="203">
        <f t="shared" si="5"/>
        <v>100</v>
      </c>
      <c r="F88" s="206">
        <f t="shared" si="6"/>
        <v>0</v>
      </c>
    </row>
    <row r="89" spans="1:6" ht="0.75" customHeight="1">
      <c r="A89" s="220">
        <v>1004</v>
      </c>
      <c r="B89" s="221" t="s">
        <v>283</v>
      </c>
      <c r="C89" s="196"/>
      <c r="D89" s="222"/>
      <c r="E89" s="203" t="e">
        <f t="shared" si="5"/>
        <v>#DIV/0!</v>
      </c>
      <c r="F89" s="206">
        <f t="shared" si="6"/>
        <v>0</v>
      </c>
    </row>
    <row r="90" spans="1:6" ht="14.25" customHeight="1">
      <c r="A90" s="204" t="s">
        <v>284</v>
      </c>
      <c r="B90" s="207" t="s">
        <v>285</v>
      </c>
      <c r="C90" s="196">
        <v>0</v>
      </c>
      <c r="D90" s="196">
        <v>0</v>
      </c>
      <c r="E90" s="206" t="e">
        <f t="shared" si="5"/>
        <v>#DIV/0!</v>
      </c>
      <c r="F90" s="206">
        <f t="shared" si="6"/>
        <v>0</v>
      </c>
    </row>
    <row r="91" spans="1:6" ht="15" customHeight="1">
      <c r="A91" s="201" t="s">
        <v>51</v>
      </c>
      <c r="B91" s="202" t="s">
        <v>286</v>
      </c>
      <c r="C91" s="191">
        <f>C92+C93+C94+C95+C96</f>
        <v>50</v>
      </c>
      <c r="D91" s="191">
        <f>D92+D93+D94+D95+D96</f>
        <v>2.052</v>
      </c>
      <c r="E91" s="203">
        <f t="shared" si="5"/>
        <v>4.104</v>
      </c>
      <c r="F91" s="191">
        <f>F92+F93+F94+F95+F96</f>
        <v>-47.948</v>
      </c>
    </row>
    <row r="92" spans="1:6" ht="15.75" customHeight="1">
      <c r="A92" s="204" t="s">
        <v>287</v>
      </c>
      <c r="B92" s="207" t="s">
        <v>288</v>
      </c>
      <c r="C92" s="196">
        <v>50</v>
      </c>
      <c r="D92" s="196">
        <v>2.052</v>
      </c>
      <c r="E92" s="206">
        <f t="shared" si="5"/>
        <v>4.104</v>
      </c>
      <c r="F92" s="206">
        <f>SUM(D92-C92)</f>
        <v>-47.948</v>
      </c>
    </row>
    <row r="93" spans="1:6" ht="15" customHeight="1" hidden="1">
      <c r="A93" s="204" t="s">
        <v>289</v>
      </c>
      <c r="B93" s="207" t="s">
        <v>290</v>
      </c>
      <c r="C93" s="250"/>
      <c r="D93" s="196"/>
      <c r="E93" s="206" t="e">
        <f t="shared" si="5"/>
        <v>#DIV/0!</v>
      </c>
      <c r="F93" s="206">
        <f>SUM(D93-C93)</f>
        <v>0</v>
      </c>
    </row>
    <row r="94" spans="1:6" ht="15" customHeight="1" hidden="1">
      <c r="A94" s="204" t="s">
        <v>291</v>
      </c>
      <c r="B94" s="207" t="s">
        <v>292</v>
      </c>
      <c r="C94" s="250"/>
      <c r="D94" s="196"/>
      <c r="E94" s="206" t="e">
        <f t="shared" si="5"/>
        <v>#DIV/0!</v>
      </c>
      <c r="F94" s="206"/>
    </row>
    <row r="95" spans="1:6" ht="15" customHeight="1" hidden="1">
      <c r="A95" s="204" t="s">
        <v>293</v>
      </c>
      <c r="B95" s="207" t="s">
        <v>294</v>
      </c>
      <c r="C95" s="250"/>
      <c r="D95" s="196"/>
      <c r="E95" s="206" t="e">
        <f t="shared" si="5"/>
        <v>#DIV/0!</v>
      </c>
      <c r="F95" s="206"/>
    </row>
    <row r="96" spans="1:6" ht="57.75" customHeight="1" hidden="1">
      <c r="A96" s="204" t="s">
        <v>295</v>
      </c>
      <c r="B96" s="207" t="s">
        <v>296</v>
      </c>
      <c r="C96" s="251"/>
      <c r="D96" s="196"/>
      <c r="E96" s="206" t="e">
        <f t="shared" si="5"/>
        <v>#DIV/0!</v>
      </c>
      <c r="F96" s="206"/>
    </row>
    <row r="97" spans="1:6" s="140" customFormat="1" ht="18" customHeight="1" hidden="1">
      <c r="A97" s="219">
        <v>1400</v>
      </c>
      <c r="B97" s="223" t="s">
        <v>303</v>
      </c>
      <c r="C97" s="252"/>
      <c r="D97" s="216"/>
      <c r="E97" s="203" t="e">
        <f t="shared" si="5"/>
        <v>#DIV/0!</v>
      </c>
      <c r="F97" s="203">
        <f>SUM(D97-C97)</f>
        <v>0</v>
      </c>
    </row>
    <row r="98" spans="1:6" ht="16.5" customHeight="1" hidden="1">
      <c r="A98" s="220">
        <v>1401</v>
      </c>
      <c r="B98" s="221" t="s">
        <v>304</v>
      </c>
      <c r="C98" s="217">
        <v>0</v>
      </c>
      <c r="D98" s="196">
        <v>0</v>
      </c>
      <c r="E98" s="206" t="e">
        <f t="shared" si="5"/>
        <v>#DIV/0!</v>
      </c>
      <c r="F98" s="206">
        <f>SUM(D98-C98)</f>
        <v>0</v>
      </c>
    </row>
    <row r="99" spans="1:6" ht="20.25" customHeight="1" hidden="1">
      <c r="A99" s="220">
        <v>1402</v>
      </c>
      <c r="B99" s="221" t="s">
        <v>305</v>
      </c>
      <c r="C99" s="217">
        <v>0</v>
      </c>
      <c r="D99" s="196">
        <v>0</v>
      </c>
      <c r="E99" s="206" t="e">
        <f t="shared" si="5"/>
        <v>#DIV/0!</v>
      </c>
      <c r="F99" s="206">
        <f>SUM(D99-C99)</f>
        <v>0</v>
      </c>
    </row>
    <row r="100" spans="1:6" ht="13.5" customHeight="1" hidden="1">
      <c r="A100" s="220">
        <v>1403</v>
      </c>
      <c r="B100" s="221" t="s">
        <v>306</v>
      </c>
      <c r="C100" s="217">
        <v>0</v>
      </c>
      <c r="D100" s="196">
        <v>0</v>
      </c>
      <c r="E100" s="206" t="e">
        <f t="shared" si="5"/>
        <v>#DIV/0!</v>
      </c>
      <c r="F100" s="206">
        <f>SUM(D100-C100)</f>
        <v>0</v>
      </c>
    </row>
    <row r="101" spans="1:7" s="140" customFormat="1" ht="15" customHeight="1">
      <c r="A101" s="219"/>
      <c r="B101" s="224" t="s">
        <v>307</v>
      </c>
      <c r="C101" s="225">
        <f>C57+C65+C67+C73+C78+C83+C91+C86+C97</f>
        <v>21097.70924</v>
      </c>
      <c r="D101" s="225">
        <f>D57+D65+D67+D73+D78+D83+D91+D86+D97</f>
        <v>15240.80957</v>
      </c>
      <c r="E101" s="203">
        <f t="shared" si="5"/>
        <v>72.23916775336127</v>
      </c>
      <c r="F101" s="203">
        <f>SUM(D101-C101)</f>
        <v>-5856.899670000001</v>
      </c>
      <c r="G101" s="142"/>
    </row>
    <row r="102" ht="5.25" customHeight="1">
      <c r="D102" s="253"/>
    </row>
    <row r="103" spans="1:4" s="144" customFormat="1" ht="12.75">
      <c r="A103" s="229" t="s">
        <v>308</v>
      </c>
      <c r="B103" s="229"/>
      <c r="C103" s="254"/>
      <c r="D103" s="255"/>
    </row>
    <row r="104" spans="1:3" s="144" customFormat="1" ht="12.75">
      <c r="A104" s="231" t="s">
        <v>309</v>
      </c>
      <c r="B104" s="231"/>
      <c r="C104" s="254" t="s">
        <v>310</v>
      </c>
    </row>
    <row r="142" ht="15.75" hidden="1"/>
  </sheetData>
  <sheetProtection selectLockedCells="1" selectUnlockedCells="1"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BreakPreview" zoomScale="70" zoomScaleSheetLayoutView="70" zoomScalePageLayoutView="0" workbookViewId="0" topLeftCell="A40">
      <selection activeCell="D102" sqref="D102"/>
    </sheetView>
  </sheetViews>
  <sheetFormatPr defaultColWidth="9.140625" defaultRowHeight="12.75"/>
  <cols>
    <col min="1" max="1" width="15.57421875" style="136" customWidth="1"/>
    <col min="2" max="2" width="57.57421875" style="137" customWidth="1"/>
    <col min="3" max="3" width="16.140625" style="138" customWidth="1"/>
    <col min="4" max="4" width="15.57421875" style="138" customWidth="1"/>
    <col min="5" max="5" width="10.28125" style="138" customWidth="1"/>
    <col min="6" max="6" width="16.28125" style="138" customWidth="1"/>
    <col min="7" max="7" width="15.421875" style="139" customWidth="1"/>
    <col min="8" max="8" width="10.57421875" style="139" customWidth="1"/>
    <col min="9" max="16384" width="9.140625" style="139" customWidth="1"/>
  </cols>
  <sheetData>
    <row r="1" spans="1:6" ht="12.75" customHeight="1">
      <c r="A1" s="468" t="s">
        <v>426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1846.19</v>
      </c>
      <c r="D4" s="151">
        <f>D5+D12+D14+D17+D7</f>
        <v>1944.80202</v>
      </c>
      <c r="E4" s="151">
        <f aca="true" t="shared" si="0" ref="E4:E35">SUM(D4/C4*100)</f>
        <v>105.34137981464531</v>
      </c>
      <c r="F4" s="151">
        <f aca="true" t="shared" si="1" ref="F4:F35">SUM(D4-C4)</f>
        <v>98.61202000000003</v>
      </c>
    </row>
    <row r="5" spans="1:6" s="140" customFormat="1" ht="15.75">
      <c r="A5" s="152">
        <v>1010000000</v>
      </c>
      <c r="B5" s="153" t="s">
        <v>146</v>
      </c>
      <c r="C5" s="151">
        <f>C6</f>
        <v>70.65</v>
      </c>
      <c r="D5" s="151">
        <f>D6</f>
        <v>97.40517</v>
      </c>
      <c r="E5" s="151">
        <f t="shared" si="0"/>
        <v>137.8700212314225</v>
      </c>
      <c r="F5" s="151">
        <f t="shared" si="1"/>
        <v>26.755169999999993</v>
      </c>
    </row>
    <row r="6" spans="1:6" ht="15.75">
      <c r="A6" s="154">
        <v>1010200001</v>
      </c>
      <c r="B6" s="155" t="s">
        <v>147</v>
      </c>
      <c r="C6" s="156">
        <v>70.65</v>
      </c>
      <c r="D6" s="157">
        <v>97.40517</v>
      </c>
      <c r="E6" s="156">
        <f t="shared" si="0"/>
        <v>137.8700212314225</v>
      </c>
      <c r="F6" s="156">
        <f t="shared" si="1"/>
        <v>26.755169999999993</v>
      </c>
    </row>
    <row r="7" spans="1:6" ht="31.5">
      <c r="A7" s="149">
        <v>1030000000</v>
      </c>
      <c r="B7" s="158" t="s">
        <v>148</v>
      </c>
      <c r="C7" s="151">
        <f>C8+C10+C9</f>
        <v>677.5400000000001</v>
      </c>
      <c r="D7" s="151">
        <f>D8+D10+D9+D11</f>
        <v>693.56631</v>
      </c>
      <c r="E7" s="156">
        <f t="shared" si="0"/>
        <v>102.36536735838473</v>
      </c>
      <c r="F7" s="156">
        <f t="shared" si="1"/>
        <v>16.026309999999967</v>
      </c>
    </row>
    <row r="8" spans="1:6" ht="15.75">
      <c r="A8" s="154">
        <v>1030223001</v>
      </c>
      <c r="B8" s="155" t="s">
        <v>149</v>
      </c>
      <c r="C8" s="156">
        <v>252.72</v>
      </c>
      <c r="D8" s="157">
        <v>317.90134</v>
      </c>
      <c r="E8" s="156">
        <f t="shared" si="0"/>
        <v>125.79191991136436</v>
      </c>
      <c r="F8" s="156">
        <f t="shared" si="1"/>
        <v>65.18134</v>
      </c>
    </row>
    <row r="9" spans="1:6" ht="15.75">
      <c r="A9" s="154">
        <v>1030224001</v>
      </c>
      <c r="B9" s="155" t="s">
        <v>150</v>
      </c>
      <c r="C9" s="156">
        <v>2.71</v>
      </c>
      <c r="D9" s="157">
        <v>2.25495</v>
      </c>
      <c r="E9" s="156">
        <f t="shared" si="0"/>
        <v>83.20848708487085</v>
      </c>
      <c r="F9" s="156">
        <f t="shared" si="1"/>
        <v>-0.45504999999999995</v>
      </c>
    </row>
    <row r="10" spans="1:6" ht="15.75">
      <c r="A10" s="154">
        <v>1030225001</v>
      </c>
      <c r="B10" s="155" t="s">
        <v>151</v>
      </c>
      <c r="C10" s="156">
        <v>422.11</v>
      </c>
      <c r="D10" s="157">
        <v>427.2735</v>
      </c>
      <c r="E10" s="156">
        <f t="shared" si="0"/>
        <v>101.22325933998246</v>
      </c>
      <c r="F10" s="156">
        <f t="shared" si="1"/>
        <v>5.163499999999999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-53.86348</v>
      </c>
      <c r="E11" s="156" t="e">
        <f t="shared" si="0"/>
        <v>#DIV/0!</v>
      </c>
      <c r="F11" s="156">
        <f t="shared" si="1"/>
        <v>-53.86348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1.43658</v>
      </c>
      <c r="E12" s="151">
        <f t="shared" si="0"/>
        <v>14.3658</v>
      </c>
      <c r="F12" s="151">
        <f t="shared" si="1"/>
        <v>-8.56342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1.43658</v>
      </c>
      <c r="E13" s="156">
        <f t="shared" si="0"/>
        <v>14.3658</v>
      </c>
      <c r="F13" s="156">
        <f t="shared" si="1"/>
        <v>-8.56342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1084</v>
      </c>
      <c r="D14" s="151">
        <f>D15+D16</f>
        <v>1149.79396</v>
      </c>
      <c r="E14" s="151">
        <f t="shared" si="0"/>
        <v>106.06955350553507</v>
      </c>
      <c r="F14" s="151">
        <f t="shared" si="1"/>
        <v>65.79395999999997</v>
      </c>
    </row>
    <row r="15" spans="1:6" s="140" customFormat="1" ht="15.75" customHeight="1">
      <c r="A15" s="154">
        <v>1060100000</v>
      </c>
      <c r="B15" s="159" t="s">
        <v>159</v>
      </c>
      <c r="C15" s="156">
        <v>334</v>
      </c>
      <c r="D15" s="157">
        <v>249.69498</v>
      </c>
      <c r="E15" s="156">
        <f t="shared" si="0"/>
        <v>74.75897604790418</v>
      </c>
      <c r="F15" s="156">
        <f t="shared" si="1"/>
        <v>-84.30502000000001</v>
      </c>
    </row>
    <row r="16" spans="1:6" ht="15.75" customHeight="1">
      <c r="A16" s="154">
        <v>1060600000</v>
      </c>
      <c r="B16" s="159" t="s">
        <v>162</v>
      </c>
      <c r="C16" s="156">
        <v>750</v>
      </c>
      <c r="D16" s="157">
        <v>900.09898</v>
      </c>
      <c r="E16" s="156">
        <f t="shared" si="0"/>
        <v>120.01319733333334</v>
      </c>
      <c r="F16" s="156">
        <f t="shared" si="1"/>
        <v>150.09897999999998</v>
      </c>
    </row>
    <row r="17" spans="1:6" s="140" customFormat="1" ht="15.75">
      <c r="A17" s="149">
        <v>1080000000</v>
      </c>
      <c r="B17" s="150" t="s">
        <v>165</v>
      </c>
      <c r="C17" s="151">
        <f>C18</f>
        <v>4</v>
      </c>
      <c r="D17" s="151">
        <f>D18</f>
        <v>2.6</v>
      </c>
      <c r="E17" s="151">
        <f t="shared" si="0"/>
        <v>65</v>
      </c>
      <c r="F17" s="151">
        <f t="shared" si="1"/>
        <v>-1.4</v>
      </c>
    </row>
    <row r="18" spans="1:6" ht="21.75" customHeight="1">
      <c r="A18" s="154">
        <v>1080400001</v>
      </c>
      <c r="B18" s="155" t="s">
        <v>167</v>
      </c>
      <c r="C18" s="156">
        <v>4</v>
      </c>
      <c r="D18" s="157">
        <v>2.6</v>
      </c>
      <c r="E18" s="156">
        <f t="shared" si="0"/>
        <v>65</v>
      </c>
      <c r="F18" s="156">
        <f t="shared" si="1"/>
        <v>-1.4</v>
      </c>
    </row>
    <row r="19" spans="1:6" ht="0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C26+C30+C32+C38+C35</f>
        <v>654.2556400000001</v>
      </c>
      <c r="D25" s="151">
        <f>D26+D30+D32+D38+D35</f>
        <v>795.7010700000001</v>
      </c>
      <c r="E25" s="151">
        <f t="shared" si="0"/>
        <v>121.61929089369407</v>
      </c>
      <c r="F25" s="151">
        <f t="shared" si="1"/>
        <v>141.44543</v>
      </c>
    </row>
    <row r="26" spans="1:6" s="140" customFormat="1" ht="30" customHeight="1">
      <c r="A26" s="152">
        <v>1110000000</v>
      </c>
      <c r="B26" s="161" t="s">
        <v>174</v>
      </c>
      <c r="C26" s="151">
        <f>C27+C28+C29</f>
        <v>384.6</v>
      </c>
      <c r="D26" s="151">
        <f>D27+D28+D29</f>
        <v>296.3945</v>
      </c>
      <c r="E26" s="151">
        <f t="shared" si="0"/>
        <v>77.06565262610503</v>
      </c>
      <c r="F26" s="151">
        <f t="shared" si="1"/>
        <v>-88.20550000000003</v>
      </c>
    </row>
    <row r="27" spans="1:6" ht="15.75">
      <c r="A27" s="163">
        <v>1110501101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79.5" customHeight="1">
      <c r="A28" s="163">
        <v>1110502510</v>
      </c>
      <c r="B28" s="167" t="s">
        <v>332</v>
      </c>
      <c r="C28" s="160">
        <v>354</v>
      </c>
      <c r="D28" s="157">
        <v>270.893</v>
      </c>
      <c r="E28" s="156">
        <f t="shared" si="0"/>
        <v>76.52344632768362</v>
      </c>
      <c r="F28" s="156">
        <f t="shared" si="1"/>
        <v>-83.10700000000003</v>
      </c>
    </row>
    <row r="29" spans="1:6" ht="36" customHeight="1">
      <c r="A29" s="154">
        <v>1110503505</v>
      </c>
      <c r="B29" s="159" t="s">
        <v>178</v>
      </c>
      <c r="C29" s="160">
        <v>30.6</v>
      </c>
      <c r="D29" s="157">
        <v>25.5015</v>
      </c>
      <c r="E29" s="156">
        <f t="shared" si="0"/>
        <v>83.33823529411765</v>
      </c>
      <c r="F29" s="156">
        <f t="shared" si="1"/>
        <v>-5.098500000000001</v>
      </c>
    </row>
    <row r="30" spans="1:6" s="141" customFormat="1" ht="31.5" customHeight="1">
      <c r="A30" s="152">
        <v>1130000000</v>
      </c>
      <c r="B30" s="161" t="s">
        <v>185</v>
      </c>
      <c r="C30" s="151">
        <f>C31</f>
        <v>100</v>
      </c>
      <c r="D30" s="151">
        <f>D31</f>
        <v>45.30112</v>
      </c>
      <c r="E30" s="151">
        <f t="shared" si="0"/>
        <v>45.30112</v>
      </c>
      <c r="F30" s="151">
        <f t="shared" si="1"/>
        <v>-54.69888</v>
      </c>
    </row>
    <row r="31" spans="1:6" ht="22.5" customHeight="1">
      <c r="A31" s="154">
        <v>1130206510</v>
      </c>
      <c r="B31" s="155" t="s">
        <v>333</v>
      </c>
      <c r="C31" s="156">
        <v>100</v>
      </c>
      <c r="D31" s="157">
        <v>45.30112</v>
      </c>
      <c r="E31" s="156">
        <f t="shared" si="0"/>
        <v>45.30112</v>
      </c>
      <c r="F31" s="156">
        <f t="shared" si="1"/>
        <v>-54.69888</v>
      </c>
    </row>
    <row r="32" spans="1:6" ht="21.75" customHeight="1">
      <c r="A32" s="165">
        <v>1140000000</v>
      </c>
      <c r="B32" s="166" t="s">
        <v>188</v>
      </c>
      <c r="C32" s="151">
        <v>169.65564</v>
      </c>
      <c r="D32" s="151">
        <f>D33+D34</f>
        <v>169.65564</v>
      </c>
      <c r="E32" s="151">
        <f t="shared" si="0"/>
        <v>100</v>
      </c>
      <c r="F32" s="151">
        <f t="shared" si="1"/>
        <v>0</v>
      </c>
    </row>
    <row r="33" spans="1:6" ht="22.5" customHeight="1">
      <c r="A33" s="163">
        <v>1140200000</v>
      </c>
      <c r="B33" s="167" t="s">
        <v>324</v>
      </c>
      <c r="C33" s="156">
        <v>169.65564</v>
      </c>
      <c r="D33" s="157">
        <v>169.65564</v>
      </c>
      <c r="E33" s="156">
        <f t="shared" si="0"/>
        <v>100</v>
      </c>
      <c r="F33" s="156">
        <f t="shared" si="1"/>
        <v>0</v>
      </c>
    </row>
    <row r="34" spans="1:6" ht="20.25" customHeight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22.5" customHeight="1">
      <c r="A35" s="149">
        <v>1160000000</v>
      </c>
      <c r="B35" s="158" t="s">
        <v>325</v>
      </c>
      <c r="C35" s="151">
        <f>C37+C36</f>
        <v>0</v>
      </c>
      <c r="D35" s="151">
        <f>D37+D36</f>
        <v>38.788340000000005</v>
      </c>
      <c r="E35" s="151" t="e">
        <f t="shared" si="0"/>
        <v>#DIV/0!</v>
      </c>
      <c r="F35" s="151">
        <f t="shared" si="1"/>
        <v>38.788340000000005</v>
      </c>
    </row>
    <row r="36" spans="1:6" ht="21.75" customHeight="1">
      <c r="A36" s="154">
        <v>1160709000</v>
      </c>
      <c r="B36" s="155" t="s">
        <v>334</v>
      </c>
      <c r="C36" s="156">
        <v>0</v>
      </c>
      <c r="D36" s="156">
        <v>0.1484</v>
      </c>
      <c r="E36" s="156" t="e">
        <f aca="true" t="shared" si="2" ref="E36:E53">SUM(D36/C36*100)</f>
        <v>#DIV/0!</v>
      </c>
      <c r="F36" s="156">
        <f aca="true" t="shared" si="3" ref="F36:F53">SUM(D36-C36)</f>
        <v>0.1484</v>
      </c>
    </row>
    <row r="37" spans="1:6" ht="48.75" customHeight="1">
      <c r="A37" s="154">
        <v>1160701010</v>
      </c>
      <c r="B37" s="155" t="s">
        <v>335</v>
      </c>
      <c r="C37" s="156">
        <v>0</v>
      </c>
      <c r="D37" s="157">
        <v>38.63994</v>
      </c>
      <c r="E37" s="156" t="e">
        <f t="shared" si="2"/>
        <v>#DIV/0!</v>
      </c>
      <c r="F37" s="156">
        <f t="shared" si="3"/>
        <v>38.63994</v>
      </c>
    </row>
    <row r="38" spans="1:6" ht="18" customHeight="1">
      <c r="A38" s="149">
        <v>1170000000</v>
      </c>
      <c r="B38" s="158" t="s">
        <v>198</v>
      </c>
      <c r="C38" s="151">
        <f>C39+C40</f>
        <v>0</v>
      </c>
      <c r="D38" s="151">
        <f>D39+D40</f>
        <v>245.56147</v>
      </c>
      <c r="E38" s="156" t="e">
        <f t="shared" si="2"/>
        <v>#DIV/0!</v>
      </c>
      <c r="F38" s="151">
        <f t="shared" si="3"/>
        <v>245.56147</v>
      </c>
    </row>
    <row r="39" spans="1:6" ht="17.25" customHeight="1">
      <c r="A39" s="154">
        <v>1170105005</v>
      </c>
      <c r="B39" s="155" t="s">
        <v>199</v>
      </c>
      <c r="C39" s="156">
        <v>0</v>
      </c>
      <c r="D39" s="156">
        <v>245.56147</v>
      </c>
      <c r="E39" s="156" t="e">
        <f t="shared" si="2"/>
        <v>#DIV/0!</v>
      </c>
      <c r="F39" s="156">
        <f t="shared" si="3"/>
        <v>245.56147</v>
      </c>
    </row>
    <row r="40" spans="1:6" s="259" customFormat="1" ht="17.25" customHeight="1">
      <c r="A40" s="256">
        <v>1170505005</v>
      </c>
      <c r="B40" s="257" t="s">
        <v>200</v>
      </c>
      <c r="C40" s="248">
        <v>0</v>
      </c>
      <c r="D40" s="248">
        <v>0</v>
      </c>
      <c r="E40" s="258" t="e">
        <f t="shared" si="2"/>
        <v>#DIV/0!</v>
      </c>
      <c r="F40" s="258">
        <f t="shared" si="3"/>
        <v>0</v>
      </c>
    </row>
    <row r="41" spans="1:6" s="140" customFormat="1" ht="15" customHeight="1">
      <c r="A41" s="149">
        <v>1000000000</v>
      </c>
      <c r="B41" s="150" t="s">
        <v>26</v>
      </c>
      <c r="C41" s="169">
        <f>SUM(C4,C25)</f>
        <v>2500.44564</v>
      </c>
      <c r="D41" s="169">
        <f>D4+D25</f>
        <v>2740.50309</v>
      </c>
      <c r="E41" s="151">
        <f t="shared" si="2"/>
        <v>109.6005866378283</v>
      </c>
      <c r="F41" s="151">
        <f t="shared" si="3"/>
        <v>240.05745000000024</v>
      </c>
    </row>
    <row r="42" spans="1:7" s="140" customFormat="1" ht="15.75">
      <c r="A42" s="149">
        <v>2000000000</v>
      </c>
      <c r="B42" s="150" t="s">
        <v>201</v>
      </c>
      <c r="C42" s="151">
        <f>C43+C45+C47+C48+C49+C50+C44+C46+C52</f>
        <v>12570.59516</v>
      </c>
      <c r="D42" s="151">
        <f>D43+D45+D47+D48+D49+D50+D44+D46+D52</f>
        <v>9470.34347</v>
      </c>
      <c r="E42" s="151">
        <f t="shared" si="2"/>
        <v>75.33727201823274</v>
      </c>
      <c r="F42" s="151">
        <f t="shared" si="3"/>
        <v>-3100.251690000001</v>
      </c>
      <c r="G42" s="171"/>
    </row>
    <row r="43" spans="1:6" ht="14.25" customHeight="1">
      <c r="A43" s="163">
        <v>2021000000</v>
      </c>
      <c r="B43" s="164" t="s">
        <v>202</v>
      </c>
      <c r="C43" s="260">
        <v>3002.3</v>
      </c>
      <c r="D43" s="173">
        <v>2752.134</v>
      </c>
      <c r="E43" s="156">
        <f t="shared" si="2"/>
        <v>91.66752156679878</v>
      </c>
      <c r="F43" s="156">
        <f t="shared" si="3"/>
        <v>-250.16600000000017</v>
      </c>
    </row>
    <row r="44" spans="1:6" ht="15.75" hidden="1">
      <c r="A44" s="163">
        <v>2021500200</v>
      </c>
      <c r="B44" s="164" t="s">
        <v>205</v>
      </c>
      <c r="C44" s="160"/>
      <c r="D44" s="173">
        <v>0</v>
      </c>
      <c r="E44" s="156" t="e">
        <f t="shared" si="2"/>
        <v>#DIV/0!</v>
      </c>
      <c r="F44" s="156">
        <f t="shared" si="3"/>
        <v>0</v>
      </c>
    </row>
    <row r="45" spans="1:6" ht="16.5" customHeight="1">
      <c r="A45" s="163">
        <v>2022000000</v>
      </c>
      <c r="B45" s="164" t="s">
        <v>206</v>
      </c>
      <c r="C45" s="160">
        <v>4820.10416</v>
      </c>
      <c r="D45" s="157">
        <v>2435.24793</v>
      </c>
      <c r="E45" s="156">
        <f t="shared" si="2"/>
        <v>50.52272418113056</v>
      </c>
      <c r="F45" s="156">
        <f t="shared" si="3"/>
        <v>-2384.85623</v>
      </c>
    </row>
    <row r="46" spans="1:6" ht="15.75" hidden="1">
      <c r="A46" s="163">
        <v>2022999910</v>
      </c>
      <c r="B46" s="167" t="s">
        <v>327</v>
      </c>
      <c r="C46" s="160"/>
      <c r="D46" s="157">
        <v>0</v>
      </c>
      <c r="E46" s="156" t="e">
        <f t="shared" si="2"/>
        <v>#DIV/0!</v>
      </c>
      <c r="F46" s="156">
        <f t="shared" si="3"/>
        <v>0</v>
      </c>
    </row>
    <row r="47" spans="1:6" ht="18" customHeight="1">
      <c r="A47" s="163">
        <v>2023000000</v>
      </c>
      <c r="B47" s="164" t="s">
        <v>207</v>
      </c>
      <c r="C47" s="160">
        <v>206.767</v>
      </c>
      <c r="D47" s="175">
        <v>188.74628</v>
      </c>
      <c r="E47" s="156">
        <f t="shared" si="2"/>
        <v>91.28452799527972</v>
      </c>
      <c r="F47" s="156">
        <f t="shared" si="3"/>
        <v>-18.020719999999983</v>
      </c>
    </row>
    <row r="48" spans="1:6" ht="20.25" customHeight="1">
      <c r="A48" s="163">
        <v>2024000000</v>
      </c>
      <c r="B48" s="164" t="s">
        <v>102</v>
      </c>
      <c r="C48" s="160">
        <v>4541.424</v>
      </c>
      <c r="D48" s="176">
        <v>4094.21526</v>
      </c>
      <c r="E48" s="156">
        <f t="shared" si="2"/>
        <v>90.15267590077474</v>
      </c>
      <c r="F48" s="156">
        <f t="shared" si="3"/>
        <v>-447.20874000000003</v>
      </c>
    </row>
    <row r="49" spans="1:6" ht="18" customHeight="1">
      <c r="A49" s="163">
        <v>2020700000</v>
      </c>
      <c r="B49" s="167" t="s">
        <v>329</v>
      </c>
      <c r="C49" s="160"/>
      <c r="D49" s="176"/>
      <c r="E49" s="156" t="e">
        <f t="shared" si="2"/>
        <v>#DIV/0!</v>
      </c>
      <c r="F49" s="156">
        <f t="shared" si="3"/>
        <v>0</v>
      </c>
    </row>
    <row r="50" spans="1:6" ht="15" customHeight="1">
      <c r="A50" s="154">
        <v>2190500005</v>
      </c>
      <c r="B50" s="159" t="s">
        <v>209</v>
      </c>
      <c r="C50" s="157">
        <v>0</v>
      </c>
      <c r="D50" s="157">
        <v>0</v>
      </c>
      <c r="E50" s="156" t="e">
        <f t="shared" si="2"/>
        <v>#DIV/0!</v>
      </c>
      <c r="F50" s="156">
        <f t="shared" si="3"/>
        <v>0</v>
      </c>
    </row>
    <row r="51" spans="1:6" s="140" customFormat="1" ht="15.75" customHeight="1">
      <c r="A51" s="149">
        <v>3000000000</v>
      </c>
      <c r="B51" s="158" t="s">
        <v>210</v>
      </c>
      <c r="C51" s="261">
        <v>0</v>
      </c>
      <c r="D51" s="162">
        <v>0</v>
      </c>
      <c r="E51" s="151" t="e">
        <f t="shared" si="2"/>
        <v>#DIV/0!</v>
      </c>
      <c r="F51" s="151">
        <f t="shared" si="3"/>
        <v>0</v>
      </c>
    </row>
    <row r="52" spans="1:6" s="140" customFormat="1" ht="15.75">
      <c r="A52" s="154">
        <v>2070500010</v>
      </c>
      <c r="B52" s="164" t="s">
        <v>315</v>
      </c>
      <c r="C52" s="160">
        <v>0</v>
      </c>
      <c r="D52" s="157">
        <v>0</v>
      </c>
      <c r="E52" s="156" t="e">
        <f t="shared" si="2"/>
        <v>#DIV/0!</v>
      </c>
      <c r="F52" s="156">
        <f t="shared" si="3"/>
        <v>0</v>
      </c>
    </row>
    <row r="53" spans="1:8" s="140" customFormat="1" ht="23.25" customHeight="1">
      <c r="A53" s="149"/>
      <c r="B53" s="150" t="s">
        <v>211</v>
      </c>
      <c r="C53" s="241">
        <f>C41+C42</f>
        <v>15071.0408</v>
      </c>
      <c r="D53" s="242">
        <f>D41+D42</f>
        <v>12210.84656</v>
      </c>
      <c r="E53" s="151">
        <f t="shared" si="2"/>
        <v>81.02191960093425</v>
      </c>
      <c r="F53" s="151">
        <f t="shared" si="3"/>
        <v>-2860.1942400000007</v>
      </c>
      <c r="G53" s="142"/>
      <c r="H53" s="142"/>
    </row>
    <row r="54" spans="1:6" s="140" customFormat="1" ht="15.75">
      <c r="A54" s="149"/>
      <c r="B54" s="189" t="s">
        <v>212</v>
      </c>
      <c r="C54" s="151">
        <f>C53-C102</f>
        <v>-613.4661300000007</v>
      </c>
      <c r="D54" s="151">
        <f>D53-D102</f>
        <v>849.038770000001</v>
      </c>
      <c r="E54" s="191"/>
      <c r="F54" s="191"/>
    </row>
    <row r="55" spans="1:6" ht="32.25" customHeight="1">
      <c r="A55" s="192"/>
      <c r="B55" s="193"/>
      <c r="C55" s="262"/>
      <c r="D55" s="263"/>
      <c r="E55" s="195"/>
      <c r="F55" s="244"/>
    </row>
    <row r="56" spans="1:6" ht="63">
      <c r="A56" s="197" t="s">
        <v>141</v>
      </c>
      <c r="B56" s="197" t="s">
        <v>213</v>
      </c>
      <c r="C56" s="146" t="s">
        <v>143</v>
      </c>
      <c r="D56" s="147" t="s">
        <v>424</v>
      </c>
      <c r="E56" s="146" t="s">
        <v>144</v>
      </c>
      <c r="F56" s="148" t="s">
        <v>145</v>
      </c>
    </row>
    <row r="57" spans="1:6" ht="15.75">
      <c r="A57" s="264">
        <v>1</v>
      </c>
      <c r="B57" s="197">
        <v>2</v>
      </c>
      <c r="C57" s="200">
        <v>3</v>
      </c>
      <c r="D57" s="200">
        <v>4</v>
      </c>
      <c r="E57" s="200">
        <v>5</v>
      </c>
      <c r="F57" s="200">
        <v>6</v>
      </c>
    </row>
    <row r="58" spans="1:6" s="140" customFormat="1" ht="18" customHeight="1">
      <c r="A58" s="201" t="s">
        <v>33</v>
      </c>
      <c r="B58" s="202" t="s">
        <v>214</v>
      </c>
      <c r="C58" s="191">
        <f>C59+C60+C61+C62+C63+C65+C64</f>
        <v>1676.798</v>
      </c>
      <c r="D58" s="247">
        <f>D59+D60+D61+D62+D63+D65+D64</f>
        <v>1403.97471</v>
      </c>
      <c r="E58" s="203">
        <f>SUM(D58/C58*100)</f>
        <v>83.729507668783</v>
      </c>
      <c r="F58" s="203">
        <f aca="true" t="shared" si="4" ref="F58:F78">SUM(D58-C58)</f>
        <v>-272.82329000000004</v>
      </c>
    </row>
    <row r="59" spans="1:6" s="140" customFormat="1" ht="1.5" customHeight="1" hidden="1">
      <c r="A59" s="204" t="s">
        <v>215</v>
      </c>
      <c r="B59" s="205" t="s">
        <v>216</v>
      </c>
      <c r="C59" s="196">
        <v>0</v>
      </c>
      <c r="D59" s="196">
        <v>0</v>
      </c>
      <c r="E59" s="206" t="e">
        <f>SUM(D59/C59*100)</f>
        <v>#DIV/0!</v>
      </c>
      <c r="F59" s="206">
        <f t="shared" si="4"/>
        <v>0</v>
      </c>
    </row>
    <row r="60" spans="1:6" ht="15.75">
      <c r="A60" s="204" t="s">
        <v>217</v>
      </c>
      <c r="B60" s="207" t="s">
        <v>218</v>
      </c>
      <c r="C60" s="196">
        <v>1614.428</v>
      </c>
      <c r="D60" s="196">
        <v>1375.49871</v>
      </c>
      <c r="E60" s="206">
        <f>SUM(D60/C60*100)</f>
        <v>85.20037499349614</v>
      </c>
      <c r="F60" s="206">
        <f t="shared" si="4"/>
        <v>-238.92929000000004</v>
      </c>
    </row>
    <row r="61" spans="1:6" ht="16.5" customHeight="1" hidden="1">
      <c r="A61" s="204" t="s">
        <v>219</v>
      </c>
      <c r="B61" s="207" t="s">
        <v>220</v>
      </c>
      <c r="C61" s="196"/>
      <c r="D61" s="196"/>
      <c r="E61" s="206"/>
      <c r="F61" s="206">
        <f t="shared" si="4"/>
        <v>0</v>
      </c>
    </row>
    <row r="62" spans="1:6" ht="31.5" customHeight="1" hidden="1">
      <c r="A62" s="204" t="s">
        <v>221</v>
      </c>
      <c r="B62" s="207" t="s">
        <v>222</v>
      </c>
      <c r="C62" s="196"/>
      <c r="D62" s="196"/>
      <c r="E62" s="206" t="e">
        <f aca="true" t="shared" si="5" ref="E62:E78">SUM(D62/C62*100)</f>
        <v>#DIV/0!</v>
      </c>
      <c r="F62" s="206">
        <f t="shared" si="4"/>
        <v>0</v>
      </c>
    </row>
    <row r="63" spans="1:6" ht="19.5" customHeight="1" hidden="1">
      <c r="A63" s="204" t="s">
        <v>223</v>
      </c>
      <c r="B63" s="207" t="s">
        <v>224</v>
      </c>
      <c r="C63" s="196">
        <v>0</v>
      </c>
      <c r="D63" s="196">
        <v>0</v>
      </c>
      <c r="E63" s="206" t="e">
        <f t="shared" si="5"/>
        <v>#DIV/0!</v>
      </c>
      <c r="F63" s="206">
        <f t="shared" si="4"/>
        <v>0</v>
      </c>
    </row>
    <row r="64" spans="1:6" ht="15.75" customHeight="1">
      <c r="A64" s="204" t="s">
        <v>225</v>
      </c>
      <c r="B64" s="207" t="s">
        <v>226</v>
      </c>
      <c r="C64" s="208">
        <v>17</v>
      </c>
      <c r="D64" s="208">
        <v>0</v>
      </c>
      <c r="E64" s="206">
        <f t="shared" si="5"/>
        <v>0</v>
      </c>
      <c r="F64" s="206">
        <f t="shared" si="4"/>
        <v>-17</v>
      </c>
    </row>
    <row r="65" spans="1:6" ht="14.25" customHeight="1">
      <c r="A65" s="204" t="s">
        <v>227</v>
      </c>
      <c r="B65" s="207" t="s">
        <v>228</v>
      </c>
      <c r="C65" s="196">
        <v>45.37</v>
      </c>
      <c r="D65" s="196">
        <v>28.476</v>
      </c>
      <c r="E65" s="206">
        <f t="shared" si="5"/>
        <v>62.76394093013005</v>
      </c>
      <c r="F65" s="206">
        <f t="shared" si="4"/>
        <v>-16.894</v>
      </c>
    </row>
    <row r="66" spans="1:6" s="140" customFormat="1" ht="15.75">
      <c r="A66" s="209" t="s">
        <v>35</v>
      </c>
      <c r="B66" s="210" t="s">
        <v>229</v>
      </c>
      <c r="C66" s="191">
        <f>C67</f>
        <v>206.767</v>
      </c>
      <c r="D66" s="191">
        <f>D67</f>
        <v>174.66764</v>
      </c>
      <c r="E66" s="203">
        <f t="shared" si="5"/>
        <v>84.47558846431006</v>
      </c>
      <c r="F66" s="203">
        <f t="shared" si="4"/>
        <v>-32.09935999999999</v>
      </c>
    </row>
    <row r="67" spans="1:6" ht="15" customHeight="1">
      <c r="A67" s="211" t="s">
        <v>230</v>
      </c>
      <c r="B67" s="212" t="s">
        <v>231</v>
      </c>
      <c r="C67" s="196">
        <v>206.767</v>
      </c>
      <c r="D67" s="196">
        <v>174.66764</v>
      </c>
      <c r="E67" s="206">
        <f t="shared" si="5"/>
        <v>84.47558846431006</v>
      </c>
      <c r="F67" s="206">
        <f t="shared" si="4"/>
        <v>-32.09935999999999</v>
      </c>
    </row>
    <row r="68" spans="1:6" s="140" customFormat="1" ht="18" customHeight="1">
      <c r="A68" s="201" t="s">
        <v>37</v>
      </c>
      <c r="B68" s="202" t="s">
        <v>232</v>
      </c>
      <c r="C68" s="191">
        <f>C71+C72+C73</f>
        <v>18.731</v>
      </c>
      <c r="D68" s="191">
        <f>D71+D72+D73</f>
        <v>18.73039</v>
      </c>
      <c r="E68" s="203">
        <f t="shared" si="5"/>
        <v>99.99674336661148</v>
      </c>
      <c r="F68" s="203">
        <f t="shared" si="4"/>
        <v>-0.0006100000000017758</v>
      </c>
    </row>
    <row r="69" spans="1:6" ht="0.75" customHeight="1" hidden="1">
      <c r="A69" s="204" t="s">
        <v>233</v>
      </c>
      <c r="B69" s="207" t="s">
        <v>234</v>
      </c>
      <c r="C69" s="196"/>
      <c r="D69" s="196"/>
      <c r="E69" s="203" t="e">
        <f t="shared" si="5"/>
        <v>#DIV/0!</v>
      </c>
      <c r="F69" s="203">
        <f t="shared" si="4"/>
        <v>0</v>
      </c>
    </row>
    <row r="70" spans="1:6" ht="18" customHeight="1" hidden="1">
      <c r="A70" s="213" t="s">
        <v>235</v>
      </c>
      <c r="B70" s="207" t="s">
        <v>317</v>
      </c>
      <c r="C70" s="196"/>
      <c r="D70" s="196"/>
      <c r="E70" s="203" t="e">
        <f t="shared" si="5"/>
        <v>#DIV/0!</v>
      </c>
      <c r="F70" s="203">
        <f t="shared" si="4"/>
        <v>0</v>
      </c>
    </row>
    <row r="71" spans="1:6" ht="17.25" customHeight="1">
      <c r="A71" s="214" t="s">
        <v>237</v>
      </c>
      <c r="B71" s="215" t="s">
        <v>238</v>
      </c>
      <c r="C71" s="196">
        <v>3.106</v>
      </c>
      <c r="D71" s="196">
        <v>3.10539</v>
      </c>
      <c r="E71" s="203">
        <f t="shared" si="5"/>
        <v>99.98036059240181</v>
      </c>
      <c r="F71" s="203">
        <f t="shared" si="4"/>
        <v>-0.0006099999999999994</v>
      </c>
    </row>
    <row r="72" spans="1:6" ht="17.25" customHeight="1">
      <c r="A72" s="214" t="s">
        <v>239</v>
      </c>
      <c r="B72" s="215" t="s">
        <v>240</v>
      </c>
      <c r="C72" s="196">
        <v>13.625</v>
      </c>
      <c r="D72" s="196">
        <v>13.625</v>
      </c>
      <c r="E72" s="206">
        <f t="shared" si="5"/>
        <v>100</v>
      </c>
      <c r="F72" s="206">
        <f t="shared" si="4"/>
        <v>0</v>
      </c>
    </row>
    <row r="73" spans="1:6" ht="17.25" customHeight="1">
      <c r="A73" s="214" t="s">
        <v>241</v>
      </c>
      <c r="B73" s="215" t="s">
        <v>336</v>
      </c>
      <c r="C73" s="196">
        <v>2</v>
      </c>
      <c r="D73" s="196">
        <v>2</v>
      </c>
      <c r="E73" s="206">
        <f t="shared" si="5"/>
        <v>100</v>
      </c>
      <c r="F73" s="206">
        <f t="shared" si="4"/>
        <v>0</v>
      </c>
    </row>
    <row r="74" spans="1:6" s="140" customFormat="1" ht="19.5" customHeight="1">
      <c r="A74" s="201" t="s">
        <v>39</v>
      </c>
      <c r="B74" s="202" t="s">
        <v>243</v>
      </c>
      <c r="C74" s="216">
        <f>C76+C77+C78+C75</f>
        <v>4415.76069</v>
      </c>
      <c r="D74" s="216">
        <f>SUM(D75:D78)</f>
        <v>3255.61792</v>
      </c>
      <c r="E74" s="203">
        <f t="shared" si="5"/>
        <v>73.72722727870473</v>
      </c>
      <c r="F74" s="203">
        <f t="shared" si="4"/>
        <v>-1160.14277</v>
      </c>
    </row>
    <row r="75" spans="1:6" ht="17.25" customHeight="1">
      <c r="A75" s="204" t="s">
        <v>246</v>
      </c>
      <c r="B75" s="207" t="s">
        <v>319</v>
      </c>
      <c r="C75" s="217"/>
      <c r="D75" s="196">
        <v>0</v>
      </c>
      <c r="E75" s="206" t="e">
        <f t="shared" si="5"/>
        <v>#DIV/0!</v>
      </c>
      <c r="F75" s="206">
        <f t="shared" si="4"/>
        <v>0</v>
      </c>
    </row>
    <row r="76" spans="1:7" s="140" customFormat="1" ht="17.25" customHeight="1">
      <c r="A76" s="204" t="s">
        <v>248</v>
      </c>
      <c r="B76" s="207" t="s">
        <v>320</v>
      </c>
      <c r="C76" s="217">
        <v>0</v>
      </c>
      <c r="D76" s="196">
        <v>0</v>
      </c>
      <c r="E76" s="206" t="e">
        <f t="shared" si="5"/>
        <v>#DIV/0!</v>
      </c>
      <c r="F76" s="206">
        <f t="shared" si="4"/>
        <v>0</v>
      </c>
      <c r="G76" s="143"/>
    </row>
    <row r="77" spans="1:6" ht="16.5" customHeight="1">
      <c r="A77" s="204" t="s">
        <v>250</v>
      </c>
      <c r="B77" s="207" t="s">
        <v>251</v>
      </c>
      <c r="C77" s="217">
        <v>3676.69905</v>
      </c>
      <c r="D77" s="196">
        <v>3144.31113</v>
      </c>
      <c r="E77" s="206">
        <f t="shared" si="5"/>
        <v>85.51994838957515</v>
      </c>
      <c r="F77" s="206">
        <f t="shared" si="4"/>
        <v>-532.3879200000001</v>
      </c>
    </row>
    <row r="78" spans="1:6" ht="16.5" customHeight="1">
      <c r="A78" s="204" t="s">
        <v>252</v>
      </c>
      <c r="B78" s="207" t="s">
        <v>253</v>
      </c>
      <c r="C78" s="217">
        <v>739.06164</v>
      </c>
      <c r="D78" s="196">
        <v>111.30679</v>
      </c>
      <c r="E78" s="206">
        <f t="shared" si="5"/>
        <v>15.06055570682846</v>
      </c>
      <c r="F78" s="206">
        <f t="shared" si="4"/>
        <v>-627.75485</v>
      </c>
    </row>
    <row r="79" spans="1:6" ht="15.75" customHeight="1" hidden="1">
      <c r="A79" s="201" t="s">
        <v>37</v>
      </c>
      <c r="B79" s="202" t="s">
        <v>232</v>
      </c>
      <c r="C79" s="216">
        <v>0</v>
      </c>
      <c r="D79" s="196"/>
      <c r="E79" s="206"/>
      <c r="F79" s="206"/>
    </row>
    <row r="80" spans="1:6" ht="15.75" customHeight="1" hidden="1">
      <c r="A80" s="214" t="s">
        <v>239</v>
      </c>
      <c r="B80" s="215" t="s">
        <v>240</v>
      </c>
      <c r="C80" s="217">
        <v>0</v>
      </c>
      <c r="D80" s="196"/>
      <c r="E80" s="206"/>
      <c r="F80" s="206"/>
    </row>
    <row r="81" spans="1:6" s="140" customFormat="1" ht="19.5" customHeight="1">
      <c r="A81" s="201" t="s">
        <v>41</v>
      </c>
      <c r="B81" s="202" t="s">
        <v>254</v>
      </c>
      <c r="C81" s="191">
        <f>SUM(C82:C84)</f>
        <v>5974.350240000001</v>
      </c>
      <c r="D81" s="191">
        <f>SUM(D82:D84)</f>
        <v>3566.31227</v>
      </c>
      <c r="E81" s="203">
        <f aca="true" t="shared" si="6" ref="E81:E90">SUM(D81/C81*100)</f>
        <v>59.693726124767664</v>
      </c>
      <c r="F81" s="203">
        <f aca="true" t="shared" si="7" ref="F81:F91">SUM(D81-C81)</f>
        <v>-2408.0379700000008</v>
      </c>
    </row>
    <row r="82" spans="1:6" ht="15.75" hidden="1">
      <c r="A82" s="204" t="s">
        <v>255</v>
      </c>
      <c r="B82" s="218" t="s">
        <v>256</v>
      </c>
      <c r="C82" s="196"/>
      <c r="D82" s="196"/>
      <c r="E82" s="206" t="e">
        <f t="shared" si="6"/>
        <v>#DIV/0!</v>
      </c>
      <c r="F82" s="206">
        <f t="shared" si="7"/>
        <v>0</v>
      </c>
    </row>
    <row r="83" spans="1:6" ht="15.75">
      <c r="A83" s="204" t="s">
        <v>257</v>
      </c>
      <c r="B83" s="218" t="s">
        <v>258</v>
      </c>
      <c r="C83" s="196">
        <v>5385.2596</v>
      </c>
      <c r="D83" s="196">
        <v>3312.66188</v>
      </c>
      <c r="E83" s="206">
        <f t="shared" si="6"/>
        <v>61.51350401009452</v>
      </c>
      <c r="F83" s="206">
        <f t="shared" si="7"/>
        <v>-2072.59772</v>
      </c>
    </row>
    <row r="84" spans="1:6" ht="18" customHeight="1">
      <c r="A84" s="204" t="s">
        <v>259</v>
      </c>
      <c r="B84" s="207" t="s">
        <v>260</v>
      </c>
      <c r="C84" s="196">
        <v>589.09064</v>
      </c>
      <c r="D84" s="196">
        <v>253.65039</v>
      </c>
      <c r="E84" s="206">
        <f t="shared" si="6"/>
        <v>43.05795624252322</v>
      </c>
      <c r="F84" s="206">
        <f t="shared" si="7"/>
        <v>-335.44025</v>
      </c>
    </row>
    <row r="85" spans="1:6" s="140" customFormat="1" ht="16.5" customHeight="1">
      <c r="A85" s="201" t="s">
        <v>47</v>
      </c>
      <c r="B85" s="202" t="s">
        <v>275</v>
      </c>
      <c r="C85" s="191">
        <f>C86</f>
        <v>3382.1</v>
      </c>
      <c r="D85" s="191">
        <f>SUM(D86)</f>
        <v>2939.00486</v>
      </c>
      <c r="E85" s="203">
        <f t="shared" si="6"/>
        <v>86.89881612016204</v>
      </c>
      <c r="F85" s="203">
        <f t="shared" si="7"/>
        <v>-443.0951399999999</v>
      </c>
    </row>
    <row r="86" spans="1:6" ht="14.25" customHeight="1">
      <c r="A86" s="204" t="s">
        <v>276</v>
      </c>
      <c r="B86" s="207" t="s">
        <v>277</v>
      </c>
      <c r="C86" s="196">
        <v>3382.1</v>
      </c>
      <c r="D86" s="196">
        <v>2939.00486</v>
      </c>
      <c r="E86" s="206">
        <f t="shared" si="6"/>
        <v>86.89881612016204</v>
      </c>
      <c r="F86" s="206">
        <f t="shared" si="7"/>
        <v>-443.0951399999999</v>
      </c>
    </row>
    <row r="87" spans="1:6" s="140" customFormat="1" ht="12" customHeight="1" hidden="1">
      <c r="A87" s="219">
        <v>1000</v>
      </c>
      <c r="B87" s="202" t="s">
        <v>280</v>
      </c>
      <c r="C87" s="191">
        <f>SUM(C88:C91)</f>
        <v>0</v>
      </c>
      <c r="D87" s="191">
        <f>SUM(D88:D91)</f>
        <v>0</v>
      </c>
      <c r="E87" s="203" t="e">
        <f t="shared" si="6"/>
        <v>#DIV/0!</v>
      </c>
      <c r="F87" s="203">
        <f t="shared" si="7"/>
        <v>0</v>
      </c>
    </row>
    <row r="88" spans="1:6" ht="9" customHeight="1" hidden="1">
      <c r="A88" s="220">
        <v>1001</v>
      </c>
      <c r="B88" s="221" t="s">
        <v>281</v>
      </c>
      <c r="C88" s="196"/>
      <c r="D88" s="196"/>
      <c r="E88" s="206" t="e">
        <f t="shared" si="6"/>
        <v>#DIV/0!</v>
      </c>
      <c r="F88" s="206">
        <f t="shared" si="7"/>
        <v>0</v>
      </c>
    </row>
    <row r="89" spans="1:6" ht="12" customHeight="1" hidden="1">
      <c r="A89" s="220">
        <v>1003</v>
      </c>
      <c r="B89" s="221" t="s">
        <v>282</v>
      </c>
      <c r="C89" s="196">
        <v>0</v>
      </c>
      <c r="D89" s="196">
        <v>0</v>
      </c>
      <c r="E89" s="206" t="e">
        <f t="shared" si="6"/>
        <v>#DIV/0!</v>
      </c>
      <c r="F89" s="206">
        <f t="shared" si="7"/>
        <v>0</v>
      </c>
    </row>
    <row r="90" spans="1:6" ht="12.75" customHeight="1" hidden="1">
      <c r="A90" s="220">
        <v>1004</v>
      </c>
      <c r="B90" s="221" t="s">
        <v>283</v>
      </c>
      <c r="C90" s="196">
        <v>0</v>
      </c>
      <c r="D90" s="222">
        <v>0</v>
      </c>
      <c r="E90" s="206" t="e">
        <f t="shared" si="6"/>
        <v>#DIV/0!</v>
      </c>
      <c r="F90" s="206">
        <f t="shared" si="7"/>
        <v>0</v>
      </c>
    </row>
    <row r="91" spans="1:6" ht="19.5" customHeight="1" hidden="1">
      <c r="A91" s="204" t="s">
        <v>284</v>
      </c>
      <c r="B91" s="207" t="s">
        <v>285</v>
      </c>
      <c r="C91" s="196">
        <v>0</v>
      </c>
      <c r="D91" s="196">
        <v>0</v>
      </c>
      <c r="E91" s="206"/>
      <c r="F91" s="206">
        <f t="shared" si="7"/>
        <v>0</v>
      </c>
    </row>
    <row r="92" spans="1:6" ht="15" customHeight="1">
      <c r="A92" s="201" t="s">
        <v>51</v>
      </c>
      <c r="B92" s="202" t="s">
        <v>286</v>
      </c>
      <c r="C92" s="191">
        <f>C93+C94+C95+C96+C97</f>
        <v>10</v>
      </c>
      <c r="D92" s="191">
        <f>D93+D94+D95+D96+D97</f>
        <v>3.5</v>
      </c>
      <c r="E92" s="206">
        <f aca="true" t="shared" si="8" ref="E92:E102">SUM(D92/C92*100)</f>
        <v>35</v>
      </c>
      <c r="F92" s="191">
        <f>F93+F94+F95+F96+F97</f>
        <v>-6.5</v>
      </c>
    </row>
    <row r="93" spans="1:6" ht="19.5" customHeight="1">
      <c r="A93" s="204" t="s">
        <v>287</v>
      </c>
      <c r="B93" s="207" t="s">
        <v>288</v>
      </c>
      <c r="C93" s="196">
        <v>10</v>
      </c>
      <c r="D93" s="196">
        <v>3.5</v>
      </c>
      <c r="E93" s="206">
        <f t="shared" si="8"/>
        <v>35</v>
      </c>
      <c r="F93" s="206">
        <f>SUM(D93-C93)</f>
        <v>-6.5</v>
      </c>
    </row>
    <row r="94" spans="1:6" ht="15" customHeight="1" hidden="1">
      <c r="A94" s="204" t="s">
        <v>289</v>
      </c>
      <c r="B94" s="207" t="s">
        <v>290</v>
      </c>
      <c r="C94" s="196"/>
      <c r="D94" s="196"/>
      <c r="E94" s="206" t="e">
        <f t="shared" si="8"/>
        <v>#DIV/0!</v>
      </c>
      <c r="F94" s="206">
        <f>SUM(D94-C94)</f>
        <v>0</v>
      </c>
    </row>
    <row r="95" spans="1:6" ht="15" customHeight="1" hidden="1">
      <c r="A95" s="204" t="s">
        <v>291</v>
      </c>
      <c r="B95" s="207" t="s">
        <v>292</v>
      </c>
      <c r="C95" s="196"/>
      <c r="D95" s="196"/>
      <c r="E95" s="206" t="e">
        <f t="shared" si="8"/>
        <v>#DIV/0!</v>
      </c>
      <c r="F95" s="206"/>
    </row>
    <row r="96" spans="1:6" ht="15" customHeight="1" hidden="1">
      <c r="A96" s="204" t="s">
        <v>293</v>
      </c>
      <c r="B96" s="207" t="s">
        <v>294</v>
      </c>
      <c r="C96" s="196"/>
      <c r="D96" s="196"/>
      <c r="E96" s="206" t="e">
        <f t="shared" si="8"/>
        <v>#DIV/0!</v>
      </c>
      <c r="F96" s="206"/>
    </row>
    <row r="97" spans="1:6" ht="57.75" customHeight="1" hidden="1">
      <c r="A97" s="204" t="s">
        <v>295</v>
      </c>
      <c r="B97" s="207" t="s">
        <v>296</v>
      </c>
      <c r="C97" s="196"/>
      <c r="D97" s="196"/>
      <c r="E97" s="206" t="e">
        <f t="shared" si="8"/>
        <v>#DIV/0!</v>
      </c>
      <c r="F97" s="206"/>
    </row>
    <row r="98" spans="1:6" s="140" customFormat="1" ht="15" customHeight="1" hidden="1">
      <c r="A98" s="219">
        <v>1400</v>
      </c>
      <c r="B98" s="223" t="s">
        <v>303</v>
      </c>
      <c r="C98" s="216">
        <f>C99+C100+C101</f>
        <v>0</v>
      </c>
      <c r="D98" s="216">
        <f>SUM(D99:D101)</f>
        <v>0</v>
      </c>
      <c r="E98" s="203" t="e">
        <f t="shared" si="8"/>
        <v>#DIV/0!</v>
      </c>
      <c r="F98" s="203">
        <f>SUM(D98-C98)</f>
        <v>0</v>
      </c>
    </row>
    <row r="99" spans="1:6" ht="16.5" customHeight="1" hidden="1">
      <c r="A99" s="220">
        <v>1401</v>
      </c>
      <c r="B99" s="221" t="s">
        <v>304</v>
      </c>
      <c r="C99" s="196">
        <v>0</v>
      </c>
      <c r="D99" s="196">
        <v>0</v>
      </c>
      <c r="E99" s="206" t="e">
        <f t="shared" si="8"/>
        <v>#DIV/0!</v>
      </c>
      <c r="F99" s="206">
        <f>SUM(D99-C99)</f>
        <v>0</v>
      </c>
    </row>
    <row r="100" spans="1:6" ht="20.25" customHeight="1" hidden="1">
      <c r="A100" s="220">
        <v>1402</v>
      </c>
      <c r="B100" s="221" t="s">
        <v>305</v>
      </c>
      <c r="C100" s="217">
        <v>0</v>
      </c>
      <c r="D100" s="196">
        <v>0</v>
      </c>
      <c r="E100" s="206" t="e">
        <f t="shared" si="8"/>
        <v>#DIV/0!</v>
      </c>
      <c r="F100" s="206">
        <f>SUM(D100-C100)</f>
        <v>0</v>
      </c>
    </row>
    <row r="101" spans="1:6" ht="13.5" customHeight="1" hidden="1">
      <c r="A101" s="220">
        <v>1403</v>
      </c>
      <c r="B101" s="221" t="s">
        <v>306</v>
      </c>
      <c r="C101" s="217">
        <v>0</v>
      </c>
      <c r="D101" s="196">
        <v>0</v>
      </c>
      <c r="E101" s="206" t="e">
        <f t="shared" si="8"/>
        <v>#DIV/0!</v>
      </c>
      <c r="F101" s="206">
        <f>SUM(D101-C101)</f>
        <v>0</v>
      </c>
    </row>
    <row r="102" spans="1:6" s="140" customFormat="1" ht="15.75">
      <c r="A102" s="219"/>
      <c r="B102" s="224" t="s">
        <v>307</v>
      </c>
      <c r="C102" s="225">
        <f>C58+C66+C68+C74+C81+C85+C87+C92+C79</f>
        <v>15684.506930000001</v>
      </c>
      <c r="D102" s="225">
        <f>D58+D66+D68+D74+D81+D85+D92+D87</f>
        <v>11361.807789999999</v>
      </c>
      <c r="E102" s="203">
        <f t="shared" si="8"/>
        <v>72.43968739793848</v>
      </c>
      <c r="F102" s="203">
        <f>SUM(D102-C102)</f>
        <v>-4322.699140000002</v>
      </c>
    </row>
    <row r="103" spans="3:4" ht="5.25" customHeight="1">
      <c r="C103" s="265"/>
      <c r="D103" s="253"/>
    </row>
    <row r="104" spans="1:4" s="144" customFormat="1" ht="12.75">
      <c r="A104" s="229" t="s">
        <v>308</v>
      </c>
      <c r="B104" s="229"/>
      <c r="C104" s="266"/>
      <c r="D104" s="255"/>
    </row>
    <row r="105" spans="1:3" s="144" customFormat="1" ht="12.75">
      <c r="A105" s="231" t="s">
        <v>309</v>
      </c>
      <c r="B105" s="231"/>
      <c r="C105" s="144" t="s">
        <v>310</v>
      </c>
    </row>
    <row r="106" ht="15.75">
      <c r="C106" s="265"/>
    </row>
    <row r="144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70" zoomScaleSheetLayoutView="70" zoomScalePageLayoutView="0" workbookViewId="0" topLeftCell="A40">
      <selection activeCell="D76" sqref="D76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8515625" style="138" customWidth="1"/>
    <col min="4" max="4" width="16.140625" style="138" customWidth="1"/>
    <col min="5" max="5" width="11.00390625" style="138" customWidth="1"/>
    <col min="6" max="6" width="10.8515625" style="138" customWidth="1"/>
    <col min="7" max="7" width="15.421875" style="139" customWidth="1"/>
    <col min="8" max="8" width="10.7109375" style="139" customWidth="1"/>
    <col min="9" max="16384" width="9.140625" style="139" customWidth="1"/>
  </cols>
  <sheetData>
    <row r="1" spans="1:6" ht="12.75" customHeight="1">
      <c r="A1" s="468" t="s">
        <v>427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70">
        <f>C5+C12+C14+C17+C20+C7</f>
        <v>4757.13</v>
      </c>
      <c r="D4" s="170">
        <f>D5+D12+D14+D17+D20+D7</f>
        <v>4389.71147</v>
      </c>
      <c r="E4" s="151">
        <f aca="true" t="shared" si="0" ref="E4:E48">SUM(D4/C4*100)</f>
        <v>92.27646648294244</v>
      </c>
      <c r="F4" s="151">
        <f aca="true" t="shared" si="1" ref="F4:F51">SUM(D4-C4)</f>
        <v>-367.4185299999999</v>
      </c>
    </row>
    <row r="5" spans="1:6" s="140" customFormat="1" ht="15.75">
      <c r="A5" s="152">
        <v>1010000000</v>
      </c>
      <c r="B5" s="153" t="s">
        <v>146</v>
      </c>
      <c r="C5" s="170">
        <f>C6</f>
        <v>486</v>
      </c>
      <c r="D5" s="170">
        <f>D6</f>
        <v>509.07361</v>
      </c>
      <c r="E5" s="151">
        <f t="shared" si="0"/>
        <v>104.74765637860082</v>
      </c>
      <c r="F5" s="151">
        <f t="shared" si="1"/>
        <v>23.073609999999974</v>
      </c>
    </row>
    <row r="6" spans="1:6" ht="15.75">
      <c r="A6" s="154">
        <v>1010200001</v>
      </c>
      <c r="B6" s="155" t="s">
        <v>147</v>
      </c>
      <c r="C6" s="267">
        <v>486</v>
      </c>
      <c r="D6" s="268">
        <v>509.07361</v>
      </c>
      <c r="E6" s="156">
        <f t="shared" si="0"/>
        <v>104.74765637860082</v>
      </c>
      <c r="F6" s="156">
        <f t="shared" si="1"/>
        <v>23.073609999999974</v>
      </c>
    </row>
    <row r="7" spans="1:6" ht="31.5">
      <c r="A7" s="149">
        <v>1030000000</v>
      </c>
      <c r="B7" s="158" t="s">
        <v>148</v>
      </c>
      <c r="C7" s="269">
        <f>C8+C10+C9</f>
        <v>806.1300000000001</v>
      </c>
      <c r="D7" s="170">
        <f>D8+D10+D9+D11</f>
        <v>825.1919700000001</v>
      </c>
      <c r="E7" s="151">
        <f t="shared" si="0"/>
        <v>102.36462729336459</v>
      </c>
      <c r="F7" s="151">
        <f t="shared" si="1"/>
        <v>19.061969999999974</v>
      </c>
    </row>
    <row r="8" spans="1:6" ht="15.75">
      <c r="A8" s="154">
        <v>1030223001</v>
      </c>
      <c r="B8" s="155" t="s">
        <v>149</v>
      </c>
      <c r="C8" s="267">
        <v>300.69</v>
      </c>
      <c r="D8" s="268">
        <v>378.23302</v>
      </c>
      <c r="E8" s="156">
        <f t="shared" si="0"/>
        <v>125.78836010509163</v>
      </c>
      <c r="F8" s="156">
        <f t="shared" si="1"/>
        <v>77.54302000000001</v>
      </c>
    </row>
    <row r="9" spans="1:6" ht="15.75">
      <c r="A9" s="154">
        <v>1030224001</v>
      </c>
      <c r="B9" s="155" t="s">
        <v>150</v>
      </c>
      <c r="C9" s="267">
        <v>3.22</v>
      </c>
      <c r="D9" s="268">
        <v>2.68286</v>
      </c>
      <c r="E9" s="156">
        <f t="shared" si="0"/>
        <v>83.31863354037266</v>
      </c>
      <c r="F9" s="156">
        <f t="shared" si="1"/>
        <v>-0.5371400000000004</v>
      </c>
    </row>
    <row r="10" spans="1:6" ht="15.75">
      <c r="A10" s="154">
        <v>1030225001</v>
      </c>
      <c r="B10" s="155" t="s">
        <v>151</v>
      </c>
      <c r="C10" s="267">
        <v>502.22</v>
      </c>
      <c r="D10" s="268">
        <v>508.36189</v>
      </c>
      <c r="E10" s="156">
        <f t="shared" si="0"/>
        <v>101.22294811038988</v>
      </c>
      <c r="F10" s="156">
        <f t="shared" si="1"/>
        <v>6.141889999999989</v>
      </c>
    </row>
    <row r="11" spans="1:6" ht="15.75">
      <c r="A11" s="154">
        <v>1030226001</v>
      </c>
      <c r="B11" s="155" t="s">
        <v>337</v>
      </c>
      <c r="C11" s="267">
        <v>0</v>
      </c>
      <c r="D11" s="178">
        <v>-64.0858</v>
      </c>
      <c r="E11" s="156" t="e">
        <f t="shared" si="0"/>
        <v>#DIV/0!</v>
      </c>
      <c r="F11" s="156">
        <f t="shared" si="1"/>
        <v>-64.0858</v>
      </c>
    </row>
    <row r="12" spans="1:6" s="140" customFormat="1" ht="15.75">
      <c r="A12" s="152">
        <v>1050000000</v>
      </c>
      <c r="B12" s="153" t="s">
        <v>153</v>
      </c>
      <c r="C12" s="170">
        <f>SUM(C13:C13)</f>
        <v>95</v>
      </c>
      <c r="D12" s="170">
        <f>D13</f>
        <v>55.54848</v>
      </c>
      <c r="E12" s="151">
        <f t="shared" si="0"/>
        <v>58.47208421052631</v>
      </c>
      <c r="F12" s="151">
        <f t="shared" si="1"/>
        <v>-39.45152</v>
      </c>
    </row>
    <row r="13" spans="1:6" ht="15.75" customHeight="1">
      <c r="A13" s="154">
        <v>1050300000</v>
      </c>
      <c r="B13" s="159" t="s">
        <v>156</v>
      </c>
      <c r="C13" s="174">
        <v>95</v>
      </c>
      <c r="D13" s="268">
        <v>55.54848</v>
      </c>
      <c r="E13" s="156">
        <f t="shared" si="0"/>
        <v>58.47208421052631</v>
      </c>
      <c r="F13" s="156">
        <f t="shared" si="1"/>
        <v>-39.45152</v>
      </c>
    </row>
    <row r="14" spans="1:6" s="140" customFormat="1" ht="15.75" customHeight="1">
      <c r="A14" s="152">
        <v>1060000000</v>
      </c>
      <c r="B14" s="153" t="s">
        <v>158</v>
      </c>
      <c r="C14" s="170">
        <f>C15+C16</f>
        <v>3350</v>
      </c>
      <c r="D14" s="170">
        <f>D15+D16</f>
        <v>2990.99741</v>
      </c>
      <c r="E14" s="151">
        <f t="shared" si="0"/>
        <v>89.2835047761194</v>
      </c>
      <c r="F14" s="151">
        <f t="shared" si="1"/>
        <v>-359.00259000000005</v>
      </c>
    </row>
    <row r="15" spans="1:6" s="140" customFormat="1" ht="15.75" customHeight="1">
      <c r="A15" s="154">
        <v>1060100000</v>
      </c>
      <c r="B15" s="159" t="s">
        <v>159</v>
      </c>
      <c r="C15" s="267">
        <v>400</v>
      </c>
      <c r="D15" s="268">
        <v>354.14832</v>
      </c>
      <c r="E15" s="156">
        <f t="shared" si="0"/>
        <v>88.53708</v>
      </c>
      <c r="F15" s="156">
        <f t="shared" si="1"/>
        <v>-45.85167999999999</v>
      </c>
    </row>
    <row r="16" spans="1:6" ht="15.75" customHeight="1">
      <c r="A16" s="154">
        <v>1060600000</v>
      </c>
      <c r="B16" s="159" t="s">
        <v>162</v>
      </c>
      <c r="C16" s="267">
        <v>2950</v>
      </c>
      <c r="D16" s="268">
        <v>2636.84909</v>
      </c>
      <c r="E16" s="156">
        <f t="shared" si="0"/>
        <v>89.38471491525424</v>
      </c>
      <c r="F16" s="156">
        <f t="shared" si="1"/>
        <v>-313.15090999999984</v>
      </c>
    </row>
    <row r="17" spans="1:6" s="140" customFormat="1" ht="15.75">
      <c r="A17" s="149">
        <v>1080000000</v>
      </c>
      <c r="B17" s="150" t="s">
        <v>165</v>
      </c>
      <c r="C17" s="170">
        <f>C18</f>
        <v>20</v>
      </c>
      <c r="D17" s="170">
        <f>D18</f>
        <v>8.9</v>
      </c>
      <c r="E17" s="151">
        <f t="shared" si="0"/>
        <v>44.5</v>
      </c>
      <c r="F17" s="151">
        <f t="shared" si="1"/>
        <v>-11.1</v>
      </c>
    </row>
    <row r="18" spans="1:6" ht="18" customHeight="1">
      <c r="A18" s="154">
        <v>1080400001</v>
      </c>
      <c r="B18" s="155" t="s">
        <v>167</v>
      </c>
      <c r="C18" s="267">
        <v>20</v>
      </c>
      <c r="D18" s="268">
        <v>8.9</v>
      </c>
      <c r="E18" s="156">
        <f t="shared" si="0"/>
        <v>44.5</v>
      </c>
      <c r="F18" s="156">
        <f t="shared" si="1"/>
        <v>-11.1</v>
      </c>
    </row>
    <row r="19" spans="1:6" ht="47.25" customHeight="1" hidden="1">
      <c r="A19" s="154">
        <v>1080714001</v>
      </c>
      <c r="B19" s="155" t="s">
        <v>321</v>
      </c>
      <c r="C19" s="267"/>
      <c r="D19" s="268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70">
        <f>C21+C22+C23+C24</f>
        <v>0</v>
      </c>
      <c r="D20" s="170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70"/>
      <c r="D21" s="270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70"/>
      <c r="D22" s="270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70"/>
      <c r="D23" s="270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70"/>
      <c r="D24" s="270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70">
        <f>C26+C29+C31+C37</f>
        <v>91.4</v>
      </c>
      <c r="D25" s="271">
        <f>D26+D29+D31+D37+D34</f>
        <v>628.5088000000001</v>
      </c>
      <c r="E25" s="151">
        <f t="shared" si="0"/>
        <v>687.6463894967178</v>
      </c>
      <c r="F25" s="151">
        <f t="shared" si="1"/>
        <v>537.1088000000001</v>
      </c>
    </row>
    <row r="26" spans="1:6" s="140" customFormat="1" ht="30" customHeight="1">
      <c r="A26" s="152">
        <v>1110000000</v>
      </c>
      <c r="B26" s="161" t="s">
        <v>174</v>
      </c>
      <c r="C26" s="170">
        <f>C27+C28</f>
        <v>91.4</v>
      </c>
      <c r="D26" s="271">
        <f>D27+D28</f>
        <v>545.48824</v>
      </c>
      <c r="E26" s="151">
        <f t="shared" si="0"/>
        <v>596.8142669584245</v>
      </c>
      <c r="F26" s="151">
        <f t="shared" si="1"/>
        <v>454.08824000000004</v>
      </c>
    </row>
    <row r="27" spans="1:6" ht="15" customHeight="1">
      <c r="A27" s="163">
        <v>1110502510</v>
      </c>
      <c r="B27" s="164" t="s">
        <v>177</v>
      </c>
      <c r="C27" s="174">
        <v>79.4</v>
      </c>
      <c r="D27" s="178">
        <v>532.28824</v>
      </c>
      <c r="E27" s="156">
        <f t="shared" si="0"/>
        <v>670.3882115869017</v>
      </c>
      <c r="F27" s="156">
        <f t="shared" si="1"/>
        <v>452.88824</v>
      </c>
    </row>
    <row r="28" spans="1:6" ht="15.75">
      <c r="A28" s="154">
        <v>1110503505</v>
      </c>
      <c r="B28" s="159" t="s">
        <v>178</v>
      </c>
      <c r="C28" s="160">
        <v>12</v>
      </c>
      <c r="D28" s="157">
        <v>13.2</v>
      </c>
      <c r="E28" s="156">
        <f t="shared" si="0"/>
        <v>109.99999999999999</v>
      </c>
      <c r="F28" s="156">
        <f t="shared" si="1"/>
        <v>1.1999999999999993</v>
      </c>
    </row>
    <row r="29" spans="1:6" s="141" customFormat="1" ht="18" customHeight="1">
      <c r="A29" s="152">
        <v>1130000000</v>
      </c>
      <c r="B29" s="161" t="s">
        <v>185</v>
      </c>
      <c r="C29" s="151">
        <f>C30</f>
        <v>0</v>
      </c>
      <c r="D29" s="151">
        <f>D30</f>
        <v>66.2058</v>
      </c>
      <c r="E29" s="151" t="e">
        <f t="shared" si="0"/>
        <v>#DIV/0!</v>
      </c>
      <c r="F29" s="151">
        <f t="shared" si="1"/>
        <v>66.2058</v>
      </c>
    </row>
    <row r="30" spans="1:6" ht="15.75" customHeight="1">
      <c r="A30" s="154">
        <v>1130206005</v>
      </c>
      <c r="B30" s="155" t="s">
        <v>187</v>
      </c>
      <c r="C30" s="156">
        <v>0</v>
      </c>
      <c r="D30" s="157">
        <v>66.2058</v>
      </c>
      <c r="E30" s="156" t="e">
        <f t="shared" si="0"/>
        <v>#DIV/0!</v>
      </c>
      <c r="F30" s="156">
        <f t="shared" si="1"/>
        <v>66.2058</v>
      </c>
    </row>
    <row r="31" spans="1:6" ht="15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15.75" customHeight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4.2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>
      <c r="A34" s="149">
        <v>1160000000</v>
      </c>
      <c r="B34" s="158" t="s">
        <v>325</v>
      </c>
      <c r="C34" s="151">
        <f>C36</f>
        <v>0</v>
      </c>
      <c r="D34" s="151">
        <f>D36+D35</f>
        <v>16.638759999999998</v>
      </c>
      <c r="E34" s="151" t="e">
        <f t="shared" si="0"/>
        <v>#DIV/0!</v>
      </c>
      <c r="F34" s="151">
        <f t="shared" si="1"/>
        <v>16.638759999999998</v>
      </c>
    </row>
    <row r="35" spans="1:6" ht="31.5">
      <c r="A35" s="154">
        <v>11610123010</v>
      </c>
      <c r="B35" s="155" t="s">
        <v>421</v>
      </c>
      <c r="C35" s="151">
        <v>0</v>
      </c>
      <c r="D35" s="156">
        <v>4</v>
      </c>
      <c r="E35" s="151"/>
      <c r="F35" s="151"/>
    </row>
    <row r="36" spans="1:6" ht="31.5" customHeight="1">
      <c r="A36" s="154">
        <v>1160701010</v>
      </c>
      <c r="B36" s="155" t="s">
        <v>338</v>
      </c>
      <c r="C36" s="156">
        <v>0</v>
      </c>
      <c r="D36" s="157">
        <v>12.63876</v>
      </c>
      <c r="E36" s="156" t="e">
        <f t="shared" si="0"/>
        <v>#DIV/0!</v>
      </c>
      <c r="F36" s="156">
        <f t="shared" si="1"/>
        <v>12.63876</v>
      </c>
    </row>
    <row r="37" spans="1:6" ht="16.5" customHeight="1">
      <c r="A37" s="149">
        <v>1170000000</v>
      </c>
      <c r="B37" s="158" t="s">
        <v>198</v>
      </c>
      <c r="C37" s="151">
        <f>C38+C39</f>
        <v>0</v>
      </c>
      <c r="D37" s="151">
        <f>D38</f>
        <v>0.176</v>
      </c>
      <c r="E37" s="151" t="e">
        <f t="shared" si="0"/>
        <v>#DIV/0!</v>
      </c>
      <c r="F37" s="151">
        <f t="shared" si="1"/>
        <v>0.176</v>
      </c>
    </row>
    <row r="38" spans="1:6" ht="19.5" customHeight="1">
      <c r="A38" s="154">
        <v>1170105005</v>
      </c>
      <c r="B38" s="155" t="s">
        <v>199</v>
      </c>
      <c r="C38" s="156">
        <f>C39</f>
        <v>0</v>
      </c>
      <c r="D38" s="156">
        <v>0.176</v>
      </c>
      <c r="E38" s="156" t="e">
        <f t="shared" si="0"/>
        <v>#DIV/0!</v>
      </c>
      <c r="F38" s="156">
        <f t="shared" si="1"/>
        <v>0.176</v>
      </c>
    </row>
    <row r="39" spans="1:6" ht="17.25" customHeight="1" hidden="1">
      <c r="A39" s="154">
        <v>1170505005</v>
      </c>
      <c r="B39" s="159" t="s">
        <v>200</v>
      </c>
      <c r="C39" s="267">
        <v>0</v>
      </c>
      <c r="D39" s="268">
        <v>0</v>
      </c>
      <c r="E39" s="156" t="e">
        <f t="shared" si="0"/>
        <v>#DIV/0!</v>
      </c>
      <c r="F39" s="156">
        <f t="shared" si="1"/>
        <v>0</v>
      </c>
    </row>
    <row r="40" spans="1:6" s="140" customFormat="1" ht="15" customHeight="1">
      <c r="A40" s="149">
        <v>1000000000</v>
      </c>
      <c r="B40" s="150" t="s">
        <v>26</v>
      </c>
      <c r="C40" s="272">
        <f>SUM(C4,C25)</f>
        <v>4848.53</v>
      </c>
      <c r="D40" s="272">
        <f>D4+D25</f>
        <v>5018.22027</v>
      </c>
      <c r="E40" s="151">
        <f t="shared" si="0"/>
        <v>103.49982922659034</v>
      </c>
      <c r="F40" s="151">
        <f t="shared" si="1"/>
        <v>169.69027000000006</v>
      </c>
    </row>
    <row r="41" spans="1:7" s="140" customFormat="1" ht="15.75">
      <c r="A41" s="149">
        <v>2000000000</v>
      </c>
      <c r="B41" s="150" t="s">
        <v>201</v>
      </c>
      <c r="C41" s="170">
        <f>C42+C44+C46+C47+C48+C49+C43+C45</f>
        <v>8415.8723</v>
      </c>
      <c r="D41" s="170">
        <f>D42+D44+D46+D47+D48+D49+D43+D45</f>
        <v>5437.4936800000005</v>
      </c>
      <c r="E41" s="151">
        <f t="shared" si="0"/>
        <v>64.6099832099401</v>
      </c>
      <c r="F41" s="151">
        <f t="shared" si="1"/>
        <v>-2978.3786200000004</v>
      </c>
      <c r="G41" s="171"/>
    </row>
    <row r="42" spans="1:6" ht="15.75">
      <c r="A42" s="163">
        <v>2021000000</v>
      </c>
      <c r="B42" s="164" t="s">
        <v>202</v>
      </c>
      <c r="C42" s="172">
        <v>2916.8</v>
      </c>
      <c r="D42" s="273">
        <v>2673.748</v>
      </c>
      <c r="E42" s="156">
        <f t="shared" si="0"/>
        <v>91.66716950082282</v>
      </c>
      <c r="F42" s="156">
        <f t="shared" si="1"/>
        <v>-243.05200000000013</v>
      </c>
    </row>
    <row r="43" spans="1:6" ht="17.25" customHeight="1" hidden="1">
      <c r="A43" s="163">
        <v>2021500200</v>
      </c>
      <c r="B43" s="164" t="s">
        <v>205</v>
      </c>
      <c r="C43" s="172">
        <v>0</v>
      </c>
      <c r="D43" s="273">
        <v>0</v>
      </c>
      <c r="E43" s="156" t="e">
        <f t="shared" si="0"/>
        <v>#DIV/0!</v>
      </c>
      <c r="F43" s="156">
        <f t="shared" si="1"/>
        <v>0</v>
      </c>
    </row>
    <row r="44" spans="1:6" ht="15.75" customHeight="1">
      <c r="A44" s="163">
        <v>2022000000</v>
      </c>
      <c r="B44" s="164" t="s">
        <v>206</v>
      </c>
      <c r="C44" s="172">
        <v>4834.2729</v>
      </c>
      <c r="D44" s="268">
        <v>2185.772</v>
      </c>
      <c r="E44" s="156">
        <f t="shared" si="0"/>
        <v>45.21407966025252</v>
      </c>
      <c r="F44" s="156">
        <f t="shared" si="1"/>
        <v>-2648.5009</v>
      </c>
    </row>
    <row r="45" spans="1:6" ht="15.75" customHeight="1" hidden="1">
      <c r="A45" s="163">
        <v>2022999910</v>
      </c>
      <c r="B45" s="167" t="s">
        <v>327</v>
      </c>
      <c r="C45" s="274">
        <v>0</v>
      </c>
      <c r="D45" s="275">
        <v>0</v>
      </c>
      <c r="E45" s="156" t="e">
        <f t="shared" si="0"/>
        <v>#DIV/0!</v>
      </c>
      <c r="F45" s="156">
        <f t="shared" si="1"/>
        <v>0</v>
      </c>
    </row>
    <row r="46" spans="1:6" ht="15.75" customHeight="1">
      <c r="A46" s="163">
        <v>2023000000</v>
      </c>
      <c r="B46" s="164" t="s">
        <v>207</v>
      </c>
      <c r="C46" s="174">
        <v>206.767</v>
      </c>
      <c r="D46" s="276">
        <v>188.74628</v>
      </c>
      <c r="E46" s="156">
        <f t="shared" si="0"/>
        <v>91.28452799527972</v>
      </c>
      <c r="F46" s="156">
        <f t="shared" si="1"/>
        <v>-18.020719999999983</v>
      </c>
    </row>
    <row r="47" spans="1:6" ht="20.25" customHeight="1">
      <c r="A47" s="163">
        <v>2024000000</v>
      </c>
      <c r="B47" s="164" t="s">
        <v>102</v>
      </c>
      <c r="C47" s="174">
        <v>280.105</v>
      </c>
      <c r="D47" s="277">
        <v>211.3</v>
      </c>
      <c r="E47" s="156">
        <f t="shared" si="0"/>
        <v>75.43599721532996</v>
      </c>
      <c r="F47" s="156">
        <f t="shared" si="1"/>
        <v>-68.805</v>
      </c>
    </row>
    <row r="48" spans="1:6" ht="20.25" customHeight="1">
      <c r="A48" s="154">
        <v>2070500010</v>
      </c>
      <c r="B48" s="164" t="s">
        <v>315</v>
      </c>
      <c r="C48" s="174">
        <v>177.9274</v>
      </c>
      <c r="D48" s="277">
        <v>177.9274</v>
      </c>
      <c r="E48" s="156">
        <f t="shared" si="0"/>
        <v>100</v>
      </c>
      <c r="F48" s="156">
        <f t="shared" si="1"/>
        <v>0</v>
      </c>
    </row>
    <row r="49" spans="1:6" ht="22.5" customHeight="1">
      <c r="A49" s="154">
        <v>2190500005</v>
      </c>
      <c r="B49" s="159" t="s">
        <v>209</v>
      </c>
      <c r="C49" s="270"/>
      <c r="D49" s="270"/>
      <c r="E49" s="151"/>
      <c r="F49" s="151">
        <f t="shared" si="1"/>
        <v>0</v>
      </c>
    </row>
    <row r="50" spans="1:6" s="140" customFormat="1" ht="20.25" customHeight="1">
      <c r="A50" s="149">
        <v>3000000000</v>
      </c>
      <c r="B50" s="158" t="s">
        <v>210</v>
      </c>
      <c r="C50" s="278">
        <v>0</v>
      </c>
      <c r="D50" s="270">
        <v>0</v>
      </c>
      <c r="E50" s="151" t="e">
        <f>SUM(D50/C50*100)</f>
        <v>#DIV/0!</v>
      </c>
      <c r="F50" s="151">
        <f t="shared" si="1"/>
        <v>0</v>
      </c>
    </row>
    <row r="51" spans="1:8" s="140" customFormat="1" ht="18" customHeight="1">
      <c r="A51" s="149"/>
      <c r="B51" s="150" t="s">
        <v>211</v>
      </c>
      <c r="C51" s="279">
        <f>C40+C41</f>
        <v>13264.402300000002</v>
      </c>
      <c r="D51" s="280">
        <f>D40+D41</f>
        <v>10455.713950000001</v>
      </c>
      <c r="E51" s="170">
        <f>SUM(D51/C51*100)</f>
        <v>78.82536818112038</v>
      </c>
      <c r="F51" s="271">
        <f t="shared" si="1"/>
        <v>-2808.6883500000004</v>
      </c>
      <c r="G51" s="281"/>
      <c r="H51" s="187"/>
    </row>
    <row r="52" spans="1:6" s="140" customFormat="1" ht="15.75">
      <c r="A52" s="149"/>
      <c r="B52" s="189" t="s">
        <v>212</v>
      </c>
      <c r="C52" s="271">
        <f>C51-C98</f>
        <v>-1299.6527499999975</v>
      </c>
      <c r="D52" s="271">
        <f>D51-D98</f>
        <v>1784.0210399999996</v>
      </c>
      <c r="E52" s="282"/>
      <c r="F52" s="282"/>
    </row>
    <row r="53" spans="1:6" ht="15.75">
      <c r="A53" s="192"/>
      <c r="B53" s="193"/>
      <c r="C53" s="283"/>
      <c r="D53" s="283"/>
      <c r="E53" s="195"/>
      <c r="F53" s="244"/>
    </row>
    <row r="54" spans="1:6" ht="45.75" customHeight="1">
      <c r="A54" s="197" t="s">
        <v>141</v>
      </c>
      <c r="B54" s="197" t="s">
        <v>213</v>
      </c>
      <c r="C54" s="146" t="s">
        <v>143</v>
      </c>
      <c r="D54" s="147" t="s">
        <v>424</v>
      </c>
      <c r="E54" s="146" t="s">
        <v>144</v>
      </c>
      <c r="F54" s="148" t="s">
        <v>145</v>
      </c>
    </row>
    <row r="55" spans="1:6" ht="15.75">
      <c r="A55" s="246">
        <v>1</v>
      </c>
      <c r="B55" s="197">
        <v>2</v>
      </c>
      <c r="C55" s="200">
        <v>3</v>
      </c>
      <c r="D55" s="200">
        <v>4</v>
      </c>
      <c r="E55" s="200">
        <v>5</v>
      </c>
      <c r="F55" s="200">
        <v>6</v>
      </c>
    </row>
    <row r="56" spans="1:6" s="140" customFormat="1" ht="29.25" customHeight="1">
      <c r="A56" s="201" t="s">
        <v>33</v>
      </c>
      <c r="B56" s="202" t="s">
        <v>214</v>
      </c>
      <c r="C56" s="282">
        <f>C57+C58+C59+C60+C61+C63+C62</f>
        <v>2102.1580000000004</v>
      </c>
      <c r="D56" s="282">
        <f>D57+D58+D59+D60+D61+D63+D62</f>
        <v>1777.0899100000001</v>
      </c>
      <c r="E56" s="203">
        <f>SUM(D56/C56*100)</f>
        <v>84.53645777339285</v>
      </c>
      <c r="F56" s="203">
        <f>SUM(D56-C56)</f>
        <v>-325.0680900000002</v>
      </c>
    </row>
    <row r="57" spans="1:6" s="140" customFormat="1" ht="31.5" hidden="1">
      <c r="A57" s="204" t="s">
        <v>215</v>
      </c>
      <c r="B57" s="205" t="s">
        <v>216</v>
      </c>
      <c r="C57" s="284"/>
      <c r="D57" s="284"/>
      <c r="E57" s="206"/>
      <c r="F57" s="206"/>
    </row>
    <row r="58" spans="1:6" ht="15.75" customHeight="1">
      <c r="A58" s="204" t="s">
        <v>217</v>
      </c>
      <c r="B58" s="207" t="s">
        <v>218</v>
      </c>
      <c r="C58" s="284">
        <v>1885</v>
      </c>
      <c r="D58" s="284">
        <v>1681.93191</v>
      </c>
      <c r="E58" s="206">
        <f>SUM(D58/C58*100)</f>
        <v>89.22715702917772</v>
      </c>
      <c r="F58" s="206">
        <f aca="true" t="shared" si="2" ref="F58:F87">SUM(D58-C58)</f>
        <v>-203.06808999999998</v>
      </c>
    </row>
    <row r="59" spans="1:6" ht="0.75" customHeight="1" hidden="1">
      <c r="A59" s="204" t="s">
        <v>219</v>
      </c>
      <c r="B59" s="207" t="s">
        <v>220</v>
      </c>
      <c r="C59" s="284"/>
      <c r="D59" s="284"/>
      <c r="E59" s="206"/>
      <c r="F59" s="206">
        <f t="shared" si="2"/>
        <v>0</v>
      </c>
    </row>
    <row r="60" spans="1:6" ht="31.5" customHeight="1" hidden="1">
      <c r="A60" s="204" t="s">
        <v>221</v>
      </c>
      <c r="B60" s="207" t="s">
        <v>222</v>
      </c>
      <c r="C60" s="284"/>
      <c r="D60" s="284"/>
      <c r="E60" s="206" t="e">
        <f aca="true" t="shared" si="3" ref="E60:E98">SUM(D60/C60*100)</f>
        <v>#DIV/0!</v>
      </c>
      <c r="F60" s="206">
        <f t="shared" si="2"/>
        <v>0</v>
      </c>
    </row>
    <row r="61" spans="1:6" ht="15.75" customHeight="1">
      <c r="A61" s="204" t="s">
        <v>223</v>
      </c>
      <c r="B61" s="207" t="s">
        <v>224</v>
      </c>
      <c r="C61" s="284">
        <v>13.68</v>
      </c>
      <c r="D61" s="284">
        <v>13.68</v>
      </c>
      <c r="E61" s="206">
        <f t="shared" si="3"/>
        <v>100</v>
      </c>
      <c r="F61" s="206">
        <f t="shared" si="2"/>
        <v>0</v>
      </c>
    </row>
    <row r="62" spans="1:6" ht="17.25" customHeight="1">
      <c r="A62" s="204" t="s">
        <v>225</v>
      </c>
      <c r="B62" s="207" t="s">
        <v>226</v>
      </c>
      <c r="C62" s="284">
        <v>100</v>
      </c>
      <c r="D62" s="282">
        <v>0</v>
      </c>
      <c r="E62" s="206">
        <f t="shared" si="3"/>
        <v>0</v>
      </c>
      <c r="F62" s="206">
        <f t="shared" si="2"/>
        <v>-100</v>
      </c>
    </row>
    <row r="63" spans="1:6" ht="15" customHeight="1">
      <c r="A63" s="204" t="s">
        <v>227</v>
      </c>
      <c r="B63" s="207" t="s">
        <v>228</v>
      </c>
      <c r="C63" s="284">
        <v>103.478</v>
      </c>
      <c r="D63" s="284">
        <v>81.478</v>
      </c>
      <c r="E63" s="206">
        <f t="shared" si="3"/>
        <v>78.73944220027445</v>
      </c>
      <c r="F63" s="206">
        <f t="shared" si="2"/>
        <v>-22</v>
      </c>
    </row>
    <row r="64" spans="1:6" s="140" customFormat="1" ht="15.75">
      <c r="A64" s="209" t="s">
        <v>35</v>
      </c>
      <c r="B64" s="210" t="s">
        <v>229</v>
      </c>
      <c r="C64" s="282">
        <f>C65</f>
        <v>206.767</v>
      </c>
      <c r="D64" s="282">
        <f>D65</f>
        <v>163.48793</v>
      </c>
      <c r="E64" s="203">
        <f t="shared" si="3"/>
        <v>79.06867633616584</v>
      </c>
      <c r="F64" s="203">
        <f t="shared" si="2"/>
        <v>-43.27906999999999</v>
      </c>
    </row>
    <row r="65" spans="1:6" ht="15.75">
      <c r="A65" s="211" t="s">
        <v>230</v>
      </c>
      <c r="B65" s="212" t="s">
        <v>231</v>
      </c>
      <c r="C65" s="284">
        <v>206.767</v>
      </c>
      <c r="D65" s="284">
        <v>163.48793</v>
      </c>
      <c r="E65" s="206">
        <f t="shared" si="3"/>
        <v>79.06867633616584</v>
      </c>
      <c r="F65" s="206">
        <f t="shared" si="2"/>
        <v>-43.27906999999999</v>
      </c>
    </row>
    <row r="66" spans="1:6" s="140" customFormat="1" ht="15.75" customHeight="1">
      <c r="A66" s="201" t="s">
        <v>37</v>
      </c>
      <c r="B66" s="202" t="s">
        <v>232</v>
      </c>
      <c r="C66" s="282">
        <f>C69+C70+C71</f>
        <v>18.5</v>
      </c>
      <c r="D66" s="282">
        <f>SUM(D69+D70+D71)</f>
        <v>10.11148</v>
      </c>
      <c r="E66" s="203">
        <f t="shared" si="3"/>
        <v>54.656648648648655</v>
      </c>
      <c r="F66" s="203">
        <f t="shared" si="2"/>
        <v>-8.38852</v>
      </c>
    </row>
    <row r="67" spans="1:6" ht="15.75" hidden="1">
      <c r="A67" s="204" t="s">
        <v>233</v>
      </c>
      <c r="B67" s="207" t="s">
        <v>234</v>
      </c>
      <c r="C67" s="284"/>
      <c r="D67" s="284"/>
      <c r="E67" s="203" t="e">
        <f t="shared" si="3"/>
        <v>#DIV/0!</v>
      </c>
      <c r="F67" s="203">
        <f t="shared" si="2"/>
        <v>0</v>
      </c>
    </row>
    <row r="68" spans="1:6" ht="15.75" hidden="1">
      <c r="A68" s="213" t="s">
        <v>235</v>
      </c>
      <c r="B68" s="207" t="s">
        <v>317</v>
      </c>
      <c r="C68" s="284"/>
      <c r="D68" s="284"/>
      <c r="E68" s="203" t="e">
        <f t="shared" si="3"/>
        <v>#DIV/0!</v>
      </c>
      <c r="F68" s="203">
        <f t="shared" si="2"/>
        <v>0</v>
      </c>
    </row>
    <row r="69" spans="1:6" ht="17.25" customHeight="1">
      <c r="A69" s="214" t="s">
        <v>237</v>
      </c>
      <c r="B69" s="215" t="s">
        <v>238</v>
      </c>
      <c r="C69" s="284">
        <v>3</v>
      </c>
      <c r="D69" s="284">
        <v>2.81148</v>
      </c>
      <c r="E69" s="203">
        <f t="shared" si="3"/>
        <v>93.716</v>
      </c>
      <c r="F69" s="203">
        <f t="shared" si="2"/>
        <v>-0.18852000000000002</v>
      </c>
    </row>
    <row r="70" spans="1:6" s="140" customFormat="1" ht="15.75" customHeight="1">
      <c r="A70" s="214" t="s">
        <v>239</v>
      </c>
      <c r="B70" s="215" t="s">
        <v>240</v>
      </c>
      <c r="C70" s="284">
        <v>13.5</v>
      </c>
      <c r="D70" s="284">
        <v>5.3</v>
      </c>
      <c r="E70" s="206">
        <f t="shared" si="3"/>
        <v>39.25925925925926</v>
      </c>
      <c r="F70" s="206">
        <f t="shared" si="2"/>
        <v>-8.2</v>
      </c>
    </row>
    <row r="71" spans="1:6" s="140" customFormat="1" ht="15.75" customHeight="1">
      <c r="A71" s="214" t="s">
        <v>241</v>
      </c>
      <c r="B71" s="215" t="s">
        <v>318</v>
      </c>
      <c r="C71" s="284">
        <v>2</v>
      </c>
      <c r="D71" s="284">
        <v>2</v>
      </c>
      <c r="E71" s="206">
        <f t="shared" si="3"/>
        <v>100</v>
      </c>
      <c r="F71" s="206">
        <f t="shared" si="2"/>
        <v>0</v>
      </c>
    </row>
    <row r="72" spans="1:6" ht="15.75">
      <c r="A72" s="201" t="s">
        <v>39</v>
      </c>
      <c r="B72" s="202" t="s">
        <v>243</v>
      </c>
      <c r="C72" s="252">
        <f>SUM(C73:C76)</f>
        <v>3634.16315</v>
      </c>
      <c r="D72" s="252">
        <f>SUM(D73:D76)</f>
        <v>2786.81869</v>
      </c>
      <c r="E72" s="203">
        <f t="shared" si="3"/>
        <v>76.68391800186517</v>
      </c>
      <c r="F72" s="203">
        <f t="shared" si="2"/>
        <v>-847.3444599999998</v>
      </c>
    </row>
    <row r="73" spans="1:7" s="140" customFormat="1" ht="17.25" customHeight="1">
      <c r="A73" s="204" t="s">
        <v>246</v>
      </c>
      <c r="B73" s="207" t="s">
        <v>319</v>
      </c>
      <c r="C73" s="285"/>
      <c r="D73" s="284">
        <v>0</v>
      </c>
      <c r="E73" s="206" t="e">
        <f t="shared" si="3"/>
        <v>#DIV/0!</v>
      </c>
      <c r="F73" s="206">
        <f t="shared" si="2"/>
        <v>0</v>
      </c>
      <c r="G73" s="143"/>
    </row>
    <row r="74" spans="1:6" ht="15.75">
      <c r="A74" s="204" t="s">
        <v>248</v>
      </c>
      <c r="B74" s="207" t="s">
        <v>320</v>
      </c>
      <c r="C74" s="285">
        <v>0</v>
      </c>
      <c r="D74" s="284">
        <v>0</v>
      </c>
      <c r="E74" s="206" t="e">
        <f t="shared" si="3"/>
        <v>#DIV/0!</v>
      </c>
      <c r="F74" s="206">
        <f t="shared" si="2"/>
        <v>0</v>
      </c>
    </row>
    <row r="75" spans="1:6" ht="15.75">
      <c r="A75" s="204" t="s">
        <v>250</v>
      </c>
      <c r="B75" s="207" t="s">
        <v>251</v>
      </c>
      <c r="C75" s="285">
        <v>3034.16315</v>
      </c>
      <c r="D75" s="284">
        <v>2731.31869</v>
      </c>
      <c r="E75" s="206">
        <f t="shared" si="3"/>
        <v>90.01884720668367</v>
      </c>
      <c r="F75" s="206">
        <f t="shared" si="2"/>
        <v>-302.8444599999998</v>
      </c>
    </row>
    <row r="76" spans="1:6" s="140" customFormat="1" ht="15.75">
      <c r="A76" s="204" t="s">
        <v>252</v>
      </c>
      <c r="B76" s="207" t="s">
        <v>253</v>
      </c>
      <c r="C76" s="285">
        <v>600</v>
      </c>
      <c r="D76" s="284">
        <v>55.5</v>
      </c>
      <c r="E76" s="206">
        <f t="shared" si="3"/>
        <v>9.25</v>
      </c>
      <c r="F76" s="206">
        <f t="shared" si="2"/>
        <v>-544.5</v>
      </c>
    </row>
    <row r="77" spans="1:6" ht="17.25" customHeight="1">
      <c r="A77" s="201" t="s">
        <v>41</v>
      </c>
      <c r="B77" s="202" t="s">
        <v>254</v>
      </c>
      <c r="C77" s="282">
        <f>SUM(C78:C80)</f>
        <v>6469.6368999999995</v>
      </c>
      <c r="D77" s="282">
        <f>SUM(D78:D80)</f>
        <v>2174.7569000000003</v>
      </c>
      <c r="E77" s="203">
        <f t="shared" si="3"/>
        <v>33.61482156749786</v>
      </c>
      <c r="F77" s="203">
        <f t="shared" si="2"/>
        <v>-4294.879999999999</v>
      </c>
    </row>
    <row r="78" spans="1:6" ht="0.75" customHeight="1" hidden="1">
      <c r="A78" s="204" t="s">
        <v>255</v>
      </c>
      <c r="B78" s="218" t="s">
        <v>256</v>
      </c>
      <c r="C78" s="284">
        <v>0</v>
      </c>
      <c r="D78" s="284">
        <v>0</v>
      </c>
      <c r="E78" s="206" t="e">
        <f t="shared" si="3"/>
        <v>#DIV/0!</v>
      </c>
      <c r="F78" s="206">
        <f t="shared" si="2"/>
        <v>0</v>
      </c>
    </row>
    <row r="79" spans="1:6" ht="15.75" customHeight="1">
      <c r="A79" s="204" t="s">
        <v>257</v>
      </c>
      <c r="B79" s="218" t="s">
        <v>258</v>
      </c>
      <c r="C79" s="284">
        <v>4068.8839</v>
      </c>
      <c r="D79" s="284">
        <v>551.51135</v>
      </c>
      <c r="E79" s="206">
        <f t="shared" si="3"/>
        <v>13.554364379873313</v>
      </c>
      <c r="F79" s="206">
        <f t="shared" si="2"/>
        <v>-3517.37255</v>
      </c>
    </row>
    <row r="80" spans="1:6" s="140" customFormat="1" ht="15.75">
      <c r="A80" s="204" t="s">
        <v>259</v>
      </c>
      <c r="B80" s="207" t="s">
        <v>260</v>
      </c>
      <c r="C80" s="284">
        <v>2400.753</v>
      </c>
      <c r="D80" s="284">
        <v>1623.24555</v>
      </c>
      <c r="E80" s="206">
        <f t="shared" si="3"/>
        <v>67.61401735205578</v>
      </c>
      <c r="F80" s="206">
        <f t="shared" si="2"/>
        <v>-777.5074500000001</v>
      </c>
    </row>
    <row r="81" spans="1:6" ht="15.75">
      <c r="A81" s="201" t="s">
        <v>47</v>
      </c>
      <c r="B81" s="202" t="s">
        <v>275</v>
      </c>
      <c r="C81" s="282">
        <f>C82</f>
        <v>2132.83</v>
      </c>
      <c r="D81" s="282">
        <f>D82</f>
        <v>1759.428</v>
      </c>
      <c r="E81" s="203">
        <f t="shared" si="3"/>
        <v>82.49265060975326</v>
      </c>
      <c r="F81" s="203">
        <f t="shared" si="2"/>
        <v>-373.4019999999998</v>
      </c>
    </row>
    <row r="82" spans="1:6" s="140" customFormat="1" ht="15" customHeight="1">
      <c r="A82" s="204" t="s">
        <v>276</v>
      </c>
      <c r="B82" s="207" t="s">
        <v>277</v>
      </c>
      <c r="C82" s="284">
        <v>2132.83</v>
      </c>
      <c r="D82" s="284">
        <v>1759.428</v>
      </c>
      <c r="E82" s="206">
        <f t="shared" si="3"/>
        <v>82.49265060975326</v>
      </c>
      <c r="F82" s="206">
        <f t="shared" si="2"/>
        <v>-373.4019999999998</v>
      </c>
    </row>
    <row r="83" spans="1:6" ht="20.25" customHeight="1" hidden="1">
      <c r="A83" s="219">
        <v>1000</v>
      </c>
      <c r="B83" s="202" t="s">
        <v>280</v>
      </c>
      <c r="C83" s="282">
        <f>SUM(C84:C87)</f>
        <v>0</v>
      </c>
      <c r="D83" s="282">
        <f>SUM(D84:D87)</f>
        <v>0</v>
      </c>
      <c r="E83" s="203" t="e">
        <f t="shared" si="3"/>
        <v>#DIV/0!</v>
      </c>
      <c r="F83" s="203">
        <f t="shared" si="2"/>
        <v>0</v>
      </c>
    </row>
    <row r="84" spans="1:6" ht="18" customHeight="1" hidden="1">
      <c r="A84" s="220">
        <v>1001</v>
      </c>
      <c r="B84" s="221" t="s">
        <v>281</v>
      </c>
      <c r="C84" s="284">
        <v>0</v>
      </c>
      <c r="D84" s="284">
        <v>0</v>
      </c>
      <c r="E84" s="206" t="e">
        <f t="shared" si="3"/>
        <v>#DIV/0!</v>
      </c>
      <c r="F84" s="206">
        <f t="shared" si="2"/>
        <v>0</v>
      </c>
    </row>
    <row r="85" spans="1:6" ht="17.25" customHeight="1" hidden="1">
      <c r="A85" s="220">
        <v>1003</v>
      </c>
      <c r="B85" s="221" t="s">
        <v>282</v>
      </c>
      <c r="C85" s="284">
        <v>0</v>
      </c>
      <c r="D85" s="284">
        <v>0</v>
      </c>
      <c r="E85" s="206" t="e">
        <f t="shared" si="3"/>
        <v>#DIV/0!</v>
      </c>
      <c r="F85" s="206">
        <f t="shared" si="2"/>
        <v>0</v>
      </c>
    </row>
    <row r="86" spans="1:6" ht="17.25" customHeight="1" hidden="1">
      <c r="A86" s="220">
        <v>1004</v>
      </c>
      <c r="B86" s="221" t="s">
        <v>283</v>
      </c>
      <c r="C86" s="284">
        <v>0</v>
      </c>
      <c r="D86" s="286">
        <v>0</v>
      </c>
      <c r="E86" s="206" t="e">
        <f t="shared" si="3"/>
        <v>#DIV/0!</v>
      </c>
      <c r="F86" s="206">
        <f t="shared" si="2"/>
        <v>0</v>
      </c>
    </row>
    <row r="87" spans="1:6" ht="21.75" customHeight="1" hidden="1">
      <c r="A87" s="204" t="s">
        <v>284</v>
      </c>
      <c r="B87" s="207" t="s">
        <v>285</v>
      </c>
      <c r="C87" s="284">
        <v>0</v>
      </c>
      <c r="D87" s="284"/>
      <c r="E87" s="206" t="e">
        <f t="shared" si="3"/>
        <v>#DIV/0!</v>
      </c>
      <c r="F87" s="206">
        <f t="shared" si="2"/>
        <v>0</v>
      </c>
    </row>
    <row r="88" spans="1:6" ht="15.75">
      <c r="A88" s="201" t="s">
        <v>51</v>
      </c>
      <c r="B88" s="202" t="s">
        <v>286</v>
      </c>
      <c r="C88" s="282">
        <f>C89+C90+C91+C92+C93</f>
        <v>0</v>
      </c>
      <c r="D88" s="282">
        <f>D89+D90+D91+D92+D93</f>
        <v>0</v>
      </c>
      <c r="E88" s="206" t="e">
        <f t="shared" si="3"/>
        <v>#DIV/0!</v>
      </c>
      <c r="F88" s="191">
        <f>F89+F90+F91+F92+F93</f>
        <v>0</v>
      </c>
    </row>
    <row r="89" spans="1:6" ht="15.75" customHeight="1">
      <c r="A89" s="204" t="s">
        <v>287</v>
      </c>
      <c r="B89" s="207" t="s">
        <v>288</v>
      </c>
      <c r="C89" s="284"/>
      <c r="D89" s="284">
        <v>0</v>
      </c>
      <c r="E89" s="206" t="e">
        <f t="shared" si="3"/>
        <v>#DIV/0!</v>
      </c>
      <c r="F89" s="206">
        <f>SUM(D89-C89)</f>
        <v>0</v>
      </c>
    </row>
    <row r="90" spans="1:6" ht="15" customHeight="1" hidden="1">
      <c r="A90" s="204" t="s">
        <v>289</v>
      </c>
      <c r="B90" s="207" t="s">
        <v>290</v>
      </c>
      <c r="C90" s="284"/>
      <c r="D90" s="284"/>
      <c r="E90" s="206" t="e">
        <f t="shared" si="3"/>
        <v>#DIV/0!</v>
      </c>
      <c r="F90" s="206">
        <f>SUM(D90-C90)</f>
        <v>0</v>
      </c>
    </row>
    <row r="91" spans="1:6" ht="15" customHeight="1" hidden="1">
      <c r="A91" s="204" t="s">
        <v>291</v>
      </c>
      <c r="B91" s="207" t="s">
        <v>292</v>
      </c>
      <c r="C91" s="284"/>
      <c r="D91" s="284"/>
      <c r="E91" s="206" t="e">
        <f t="shared" si="3"/>
        <v>#DIV/0!</v>
      </c>
      <c r="F91" s="206"/>
    </row>
    <row r="92" spans="1:6" ht="15" customHeight="1" hidden="1">
      <c r="A92" s="204" t="s">
        <v>293</v>
      </c>
      <c r="B92" s="207" t="s">
        <v>294</v>
      </c>
      <c r="C92" s="284"/>
      <c r="D92" s="284"/>
      <c r="E92" s="206" t="e">
        <f t="shared" si="3"/>
        <v>#DIV/0!</v>
      </c>
      <c r="F92" s="206"/>
    </row>
    <row r="93" spans="1:6" s="140" customFormat="1" ht="15" customHeight="1" hidden="1">
      <c r="A93" s="204" t="s">
        <v>295</v>
      </c>
      <c r="B93" s="207" t="s">
        <v>296</v>
      </c>
      <c r="C93" s="284"/>
      <c r="D93" s="284"/>
      <c r="E93" s="206" t="e">
        <f t="shared" si="3"/>
        <v>#DIV/0!</v>
      </c>
      <c r="F93" s="206"/>
    </row>
    <row r="94" spans="1:6" ht="18.75" customHeight="1" hidden="1">
      <c r="A94" s="219">
        <v>1400</v>
      </c>
      <c r="B94" s="223" t="s">
        <v>303</v>
      </c>
      <c r="C94" s="252">
        <f>C95+C96+C97</f>
        <v>0</v>
      </c>
      <c r="D94" s="252">
        <f>SUM(D95:D97)</f>
        <v>0</v>
      </c>
      <c r="E94" s="203" t="e">
        <f t="shared" si="3"/>
        <v>#DIV/0!</v>
      </c>
      <c r="F94" s="203">
        <f>SUM(D94-C94)</f>
        <v>0</v>
      </c>
    </row>
    <row r="95" spans="1:6" ht="18" customHeight="1" hidden="1">
      <c r="A95" s="220">
        <v>1401</v>
      </c>
      <c r="B95" s="221" t="s">
        <v>304</v>
      </c>
      <c r="C95" s="285"/>
      <c r="D95" s="284"/>
      <c r="E95" s="206" t="e">
        <f t="shared" si="3"/>
        <v>#DIV/0!</v>
      </c>
      <c r="F95" s="206">
        <f>SUM(D95-C95)</f>
        <v>0</v>
      </c>
    </row>
    <row r="96" spans="1:6" ht="18" customHeight="1" hidden="1">
      <c r="A96" s="220">
        <v>1402</v>
      </c>
      <c r="B96" s="221" t="s">
        <v>305</v>
      </c>
      <c r="C96" s="285"/>
      <c r="D96" s="284"/>
      <c r="E96" s="206" t="e">
        <f t="shared" si="3"/>
        <v>#DIV/0!</v>
      </c>
      <c r="F96" s="206">
        <f>SUM(D96-C96)</f>
        <v>0</v>
      </c>
    </row>
    <row r="97" spans="1:6" s="140" customFormat="1" ht="18" customHeight="1" hidden="1">
      <c r="A97" s="220">
        <v>1403</v>
      </c>
      <c r="B97" s="221" t="s">
        <v>306</v>
      </c>
      <c r="C97" s="285"/>
      <c r="D97" s="284"/>
      <c r="E97" s="206" t="e">
        <f t="shared" si="3"/>
        <v>#DIV/0!</v>
      </c>
      <c r="F97" s="206">
        <f>SUM(D97-C97)</f>
        <v>0</v>
      </c>
    </row>
    <row r="98" spans="1:6" ht="15" customHeight="1">
      <c r="A98" s="219"/>
      <c r="B98" s="224" t="s">
        <v>307</v>
      </c>
      <c r="C98" s="279">
        <f>C56+C64+C66+C72+C77+C81+C83+C88+C94</f>
        <v>14564.055049999999</v>
      </c>
      <c r="D98" s="279">
        <f>D56+D64+D66+D72+D77+D81+D83+D88+D94</f>
        <v>8671.692910000002</v>
      </c>
      <c r="E98" s="203">
        <f t="shared" si="3"/>
        <v>59.5417476810485</v>
      </c>
      <c r="F98" s="203">
        <f>SUM(D98-C98)</f>
        <v>-5892.362139999997</v>
      </c>
    </row>
    <row r="99" spans="1:4" s="144" customFormat="1" ht="22.5" customHeight="1">
      <c r="A99" s="229" t="s">
        <v>308</v>
      </c>
      <c r="B99" s="229"/>
      <c r="C99" s="230"/>
      <c r="D99" s="230"/>
    </row>
    <row r="100" spans="1:6" ht="16.5" customHeight="1">
      <c r="A100" s="231" t="s">
        <v>309</v>
      </c>
      <c r="B100" s="231"/>
      <c r="C100" s="230" t="s">
        <v>310</v>
      </c>
      <c r="D100" s="230"/>
      <c r="E100" s="144"/>
      <c r="F100" s="144"/>
    </row>
    <row r="101" ht="20.25" customHeight="1">
      <c r="C101" s="265"/>
    </row>
    <row r="102" ht="13.5" customHeight="1"/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70" zoomScaleSheetLayoutView="70" zoomScalePageLayoutView="0" workbookViewId="0" topLeftCell="A37">
      <selection activeCell="D83" sqref="D83"/>
    </sheetView>
  </sheetViews>
  <sheetFormatPr defaultColWidth="9.140625" defaultRowHeight="12.75"/>
  <cols>
    <col min="1" max="1" width="14.7109375" style="136" customWidth="1"/>
    <col min="2" max="2" width="58.140625" style="137" customWidth="1"/>
    <col min="3" max="3" width="18.8515625" style="138" customWidth="1"/>
    <col min="4" max="4" width="16.421875" style="138" customWidth="1"/>
    <col min="5" max="5" width="12.57421875" style="138" customWidth="1"/>
    <col min="6" max="6" width="13.7109375" style="138" customWidth="1"/>
    <col min="7" max="7" width="19.140625" style="139" customWidth="1"/>
    <col min="8" max="16384" width="9.140625" style="139" customWidth="1"/>
  </cols>
  <sheetData>
    <row r="1" spans="1:6" ht="12.75" customHeight="1">
      <c r="A1" s="468" t="s">
        <v>428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C5+C12+C14+C17+C20+C7</f>
        <v>5006.5199999999995</v>
      </c>
      <c r="D4" s="151">
        <f>D5+D12+D14+D7+D20+D17</f>
        <v>5136.3536300000005</v>
      </c>
      <c r="E4" s="151">
        <f aca="true" t="shared" si="0" ref="E4:E36">SUM(D4/C4*100)</f>
        <v>102.59329094860303</v>
      </c>
      <c r="F4" s="151">
        <f aca="true" t="shared" si="1" ref="F4:F52">SUM(D4-C4)</f>
        <v>129.833630000001</v>
      </c>
    </row>
    <row r="5" spans="1:6" s="140" customFormat="1" ht="15.75">
      <c r="A5" s="152">
        <v>1010000000</v>
      </c>
      <c r="B5" s="153" t="s">
        <v>146</v>
      </c>
      <c r="C5" s="151">
        <f>C6</f>
        <v>1988.4</v>
      </c>
      <c r="D5" s="151">
        <f>D6</f>
        <v>1822.51045</v>
      </c>
      <c r="E5" s="151">
        <f t="shared" si="0"/>
        <v>91.6571338764836</v>
      </c>
      <c r="F5" s="151">
        <f t="shared" si="1"/>
        <v>-165.8895500000001</v>
      </c>
    </row>
    <row r="6" spans="1:6" ht="15.75">
      <c r="A6" s="154">
        <v>1010200001</v>
      </c>
      <c r="B6" s="155" t="s">
        <v>147</v>
      </c>
      <c r="C6" s="287">
        <v>1988.4</v>
      </c>
      <c r="D6" s="157">
        <v>1822.51045</v>
      </c>
      <c r="E6" s="156">
        <f t="shared" si="0"/>
        <v>91.6571338764836</v>
      </c>
      <c r="F6" s="156">
        <f t="shared" si="1"/>
        <v>-165.8895500000001</v>
      </c>
    </row>
    <row r="7" spans="1:6" ht="15.75">
      <c r="A7" s="149">
        <v>1030200001</v>
      </c>
      <c r="B7" s="158" t="s">
        <v>339</v>
      </c>
      <c r="C7" s="151">
        <f>C8+C10+C9</f>
        <v>398.11999999999995</v>
      </c>
      <c r="D7" s="151">
        <f>D8+D9+D10+D11</f>
        <v>407.53343000000007</v>
      </c>
      <c r="E7" s="156">
        <f t="shared" si="0"/>
        <v>102.36447051140362</v>
      </c>
      <c r="F7" s="156">
        <f t="shared" si="1"/>
        <v>9.413430000000119</v>
      </c>
    </row>
    <row r="8" spans="1:6" ht="15.75">
      <c r="A8" s="154">
        <v>1030223001</v>
      </c>
      <c r="B8" s="155" t="s">
        <v>149</v>
      </c>
      <c r="C8" s="156">
        <v>148.5</v>
      </c>
      <c r="D8" s="157">
        <v>186.79606</v>
      </c>
      <c r="E8" s="156">
        <f t="shared" si="0"/>
        <v>125.78859259259261</v>
      </c>
      <c r="F8" s="156">
        <f t="shared" si="1"/>
        <v>38.29606000000001</v>
      </c>
    </row>
    <row r="9" spans="1:6" ht="15.75">
      <c r="A9" s="154">
        <v>1030224001</v>
      </c>
      <c r="B9" s="155" t="s">
        <v>150</v>
      </c>
      <c r="C9" s="156">
        <v>1.59</v>
      </c>
      <c r="D9" s="157">
        <v>1.32498</v>
      </c>
      <c r="E9" s="156">
        <f t="shared" si="0"/>
        <v>83.3320754716981</v>
      </c>
      <c r="F9" s="156">
        <f t="shared" si="1"/>
        <v>-0.26502000000000003</v>
      </c>
    </row>
    <row r="10" spans="1:6" ht="15.75">
      <c r="A10" s="154">
        <v>1030225001</v>
      </c>
      <c r="B10" s="155" t="s">
        <v>151</v>
      </c>
      <c r="C10" s="156">
        <v>248.03</v>
      </c>
      <c r="D10" s="157">
        <v>251.06216</v>
      </c>
      <c r="E10" s="156">
        <f t="shared" si="0"/>
        <v>101.22249727855501</v>
      </c>
      <c r="F10" s="156">
        <f t="shared" si="1"/>
        <v>3.0321600000000046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-31.64977</v>
      </c>
      <c r="E11" s="156" t="e">
        <f t="shared" si="0"/>
        <v>#DIV/0!</v>
      </c>
      <c r="F11" s="156">
        <f t="shared" si="1"/>
        <v>-31.64977</v>
      </c>
    </row>
    <row r="12" spans="1:6" s="140" customFormat="1" ht="15" customHeight="1">
      <c r="A12" s="152">
        <v>1050000000</v>
      </c>
      <c r="B12" s="153" t="s">
        <v>153</v>
      </c>
      <c r="C12" s="151">
        <f>SUM(C13:C13)</f>
        <v>70</v>
      </c>
      <c r="D12" s="151">
        <f>SUM(D13:D13)</f>
        <v>68.77133</v>
      </c>
      <c r="E12" s="151">
        <f t="shared" si="0"/>
        <v>98.24475714285715</v>
      </c>
      <c r="F12" s="151">
        <f t="shared" si="1"/>
        <v>-1.228669999999994</v>
      </c>
    </row>
    <row r="13" spans="1:6" ht="15.75" customHeight="1">
      <c r="A13" s="154">
        <v>1050300000</v>
      </c>
      <c r="B13" s="159" t="s">
        <v>156</v>
      </c>
      <c r="C13" s="160">
        <v>70</v>
      </c>
      <c r="D13" s="157">
        <v>68.77133</v>
      </c>
      <c r="E13" s="156">
        <f t="shared" si="0"/>
        <v>98.24475714285715</v>
      </c>
      <c r="F13" s="156">
        <f t="shared" si="1"/>
        <v>-1.228669999999994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2550</v>
      </c>
      <c r="D14" s="151">
        <f>D15+D16</f>
        <v>2837.53842</v>
      </c>
      <c r="E14" s="151">
        <f t="shared" si="0"/>
        <v>111.27601647058822</v>
      </c>
      <c r="F14" s="151">
        <f t="shared" si="1"/>
        <v>287.53841999999986</v>
      </c>
    </row>
    <row r="15" spans="1:6" s="140" customFormat="1" ht="15" customHeight="1">
      <c r="A15" s="154">
        <v>1060100000</v>
      </c>
      <c r="B15" s="159" t="s">
        <v>340</v>
      </c>
      <c r="C15" s="156">
        <v>1000</v>
      </c>
      <c r="D15" s="157">
        <v>1094.51838</v>
      </c>
      <c r="E15" s="156">
        <f t="shared" si="0"/>
        <v>109.451838</v>
      </c>
      <c r="F15" s="156">
        <f t="shared" si="1"/>
        <v>94.51837999999998</v>
      </c>
    </row>
    <row r="16" spans="1:6" ht="17.25" customHeight="1">
      <c r="A16" s="154">
        <v>1060600000</v>
      </c>
      <c r="B16" s="159" t="s">
        <v>162</v>
      </c>
      <c r="C16" s="156">
        <v>1550</v>
      </c>
      <c r="D16" s="157">
        <v>1743.02004</v>
      </c>
      <c r="E16" s="156">
        <f t="shared" si="0"/>
        <v>112.45290580645162</v>
      </c>
      <c r="F16" s="156">
        <f t="shared" si="1"/>
        <v>193.0200400000001</v>
      </c>
    </row>
    <row r="17" spans="1:6" s="140" customFormat="1" ht="0.75" customHeight="1" hidden="1">
      <c r="A17" s="149">
        <v>1080000000</v>
      </c>
      <c r="B17" s="150" t="s">
        <v>165</v>
      </c>
      <c r="C17" s="151">
        <f>C18</f>
        <v>0</v>
      </c>
      <c r="D17" s="151">
        <f>D18</f>
        <v>0</v>
      </c>
      <c r="E17" s="151" t="e">
        <f t="shared" si="0"/>
        <v>#DIV/0!</v>
      </c>
      <c r="F17" s="151">
        <f t="shared" si="1"/>
        <v>0</v>
      </c>
    </row>
    <row r="18" spans="1:6" ht="15.75" customHeight="1" hidden="1">
      <c r="A18" s="154">
        <v>1080400001</v>
      </c>
      <c r="B18" s="155" t="s">
        <v>167</v>
      </c>
      <c r="C18" s="156">
        <v>0</v>
      </c>
      <c r="D18" s="157">
        <v>0</v>
      </c>
      <c r="E18" s="156" t="e">
        <f t="shared" si="0"/>
        <v>#DIV/0!</v>
      </c>
      <c r="F18" s="156">
        <f t="shared" si="1"/>
        <v>0</v>
      </c>
    </row>
    <row r="19" spans="1:6" ht="47.25" customHeight="1" hidden="1">
      <c r="A19" s="154">
        <v>1080714001</v>
      </c>
      <c r="B19" s="155" t="s">
        <v>321</v>
      </c>
      <c r="C19" s="156">
        <v>0</v>
      </c>
      <c r="D19" s="157">
        <v>0</v>
      </c>
      <c r="E19" s="156" t="e">
        <f t="shared" si="0"/>
        <v>#DIV/0!</v>
      </c>
      <c r="F19" s="156">
        <f t="shared" si="1"/>
        <v>0</v>
      </c>
    </row>
    <row r="20" spans="1:6" s="141" customFormat="1" ht="29.2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0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8.75" customHeight="1" hidden="1">
      <c r="A22" s="154">
        <v>1090400000</v>
      </c>
      <c r="B22" s="155" t="s">
        <v>341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1.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6.5" customHeight="1" hidden="1">
      <c r="A24" s="154">
        <v>1090700000</v>
      </c>
      <c r="B24" s="155" t="s">
        <v>173</v>
      </c>
      <c r="C24" s="156">
        <v>0</v>
      </c>
      <c r="D24" s="157">
        <v>0</v>
      </c>
      <c r="E24" s="156" t="e">
        <f t="shared" si="0"/>
        <v>#DIV/0!</v>
      </c>
      <c r="F24" s="156">
        <f t="shared" si="1"/>
        <v>0</v>
      </c>
    </row>
    <row r="25" spans="1:6" s="140" customFormat="1" ht="20.25" customHeight="1">
      <c r="A25" s="149"/>
      <c r="B25" s="150" t="s">
        <v>17</v>
      </c>
      <c r="C25" s="151">
        <f>C26+C29+C31+C34+C37</f>
        <v>0</v>
      </c>
      <c r="D25" s="151">
        <f>D26+D29+D31+D34+D37</f>
        <v>92.99679</v>
      </c>
      <c r="E25" s="151" t="e">
        <f t="shared" si="0"/>
        <v>#DIV/0!</v>
      </c>
      <c r="F25" s="151">
        <f t="shared" si="1"/>
        <v>92.99679</v>
      </c>
    </row>
    <row r="26" spans="1:6" s="140" customFormat="1" ht="32.25" customHeight="1">
      <c r="A26" s="152">
        <v>1110000000</v>
      </c>
      <c r="B26" s="161" t="s">
        <v>174</v>
      </c>
      <c r="C26" s="151">
        <f>C27+C28</f>
        <v>0</v>
      </c>
      <c r="D26" s="151">
        <f>D27+D28</f>
        <v>0</v>
      </c>
      <c r="E26" s="151" t="e">
        <f t="shared" si="0"/>
        <v>#DIV/0!</v>
      </c>
      <c r="F26" s="151">
        <f t="shared" si="1"/>
        <v>0</v>
      </c>
    </row>
    <row r="27" spans="1:6" ht="17.25" customHeight="1" hidden="1">
      <c r="A27" s="163">
        <v>1110502501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15.75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29.25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15.75">
      <c r="A30" s="154">
        <v>1130206005</v>
      </c>
      <c r="B30" s="155" t="s">
        <v>187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24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5.8322</v>
      </c>
      <c r="E31" s="151" t="e">
        <f t="shared" si="0"/>
        <v>#DIV/0!</v>
      </c>
      <c r="F31" s="151">
        <f t="shared" si="1"/>
        <v>5.8322</v>
      </c>
    </row>
    <row r="32" spans="1:6" ht="25.5" customHeight="1">
      <c r="A32" s="163">
        <v>1140200000</v>
      </c>
      <c r="B32" s="167" t="s">
        <v>324</v>
      </c>
      <c r="C32" s="156">
        <v>0</v>
      </c>
      <c r="D32" s="157">
        <v>5.8322</v>
      </c>
      <c r="E32" s="156" t="e">
        <f t="shared" si="0"/>
        <v>#DIV/0!</v>
      </c>
      <c r="F32" s="156">
        <f t="shared" si="1"/>
        <v>5.8322</v>
      </c>
    </row>
    <row r="33" spans="1:6" ht="13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39.75" customHeight="1">
      <c r="A34" s="149">
        <v>1160000000</v>
      </c>
      <c r="B34" s="158" t="s">
        <v>325</v>
      </c>
      <c r="C34" s="151">
        <f>C36</f>
        <v>0</v>
      </c>
      <c r="D34" s="162">
        <f>D36+D35</f>
        <v>87.16459</v>
      </c>
      <c r="E34" s="151" t="e">
        <f t="shared" si="0"/>
        <v>#DIV/0!</v>
      </c>
      <c r="F34" s="151">
        <f t="shared" si="1"/>
        <v>87.16459</v>
      </c>
    </row>
    <row r="35" spans="1:6" ht="39.75" customHeight="1">
      <c r="A35" s="154">
        <v>11610120000</v>
      </c>
      <c r="B35" s="155" t="s">
        <v>429</v>
      </c>
      <c r="C35" s="156"/>
      <c r="D35" s="157">
        <v>-0.125</v>
      </c>
      <c r="E35" s="156"/>
      <c r="F35" s="156"/>
    </row>
    <row r="36" spans="1:6" ht="63">
      <c r="A36" s="154">
        <v>1160700000</v>
      </c>
      <c r="B36" s="155" t="s">
        <v>342</v>
      </c>
      <c r="C36" s="156">
        <v>0</v>
      </c>
      <c r="D36" s="157">
        <v>87.28959</v>
      </c>
      <c r="E36" s="156" t="e">
        <f t="shared" si="0"/>
        <v>#DIV/0!</v>
      </c>
      <c r="F36" s="156">
        <f t="shared" si="1"/>
        <v>87.28959</v>
      </c>
    </row>
    <row r="37" spans="1:6" ht="20.2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0</v>
      </c>
      <c r="E37" s="151">
        <v>0</v>
      </c>
      <c r="F37" s="151">
        <f t="shared" si="1"/>
        <v>0</v>
      </c>
    </row>
    <row r="38" spans="1:6" ht="15" customHeight="1" hidden="1">
      <c r="A38" s="154">
        <v>1170105005</v>
      </c>
      <c r="B38" s="155" t="s">
        <v>199</v>
      </c>
      <c r="C38" s="156">
        <v>0</v>
      </c>
      <c r="D38" s="156">
        <v>0</v>
      </c>
      <c r="E38" s="156">
        <v>0</v>
      </c>
      <c r="F38" s="156">
        <f t="shared" si="1"/>
        <v>0</v>
      </c>
    </row>
    <row r="39" spans="1:6" ht="15" customHeight="1">
      <c r="A39" s="154">
        <v>1170505005</v>
      </c>
      <c r="B39" s="159" t="s">
        <v>200</v>
      </c>
      <c r="C39" s="156">
        <v>0</v>
      </c>
      <c r="D39" s="157">
        <v>0</v>
      </c>
      <c r="E39" s="156">
        <v>0</v>
      </c>
      <c r="F39" s="156">
        <f t="shared" si="1"/>
        <v>0</v>
      </c>
    </row>
    <row r="40" spans="1:6" s="140" customFormat="1" ht="18" customHeight="1">
      <c r="A40" s="149">
        <v>1000000000</v>
      </c>
      <c r="B40" s="150" t="s">
        <v>26</v>
      </c>
      <c r="C40" s="169">
        <f>SUM(C4,C25)</f>
        <v>5006.5199999999995</v>
      </c>
      <c r="D40" s="169">
        <f>D4+D25</f>
        <v>5229.350420000001</v>
      </c>
      <c r="E40" s="151">
        <f aca="true" t="shared" si="2" ref="E40:E52">SUM(D40/C40*100)</f>
        <v>104.45080455086568</v>
      </c>
      <c r="F40" s="151">
        <f t="shared" si="1"/>
        <v>222.83042000000114</v>
      </c>
    </row>
    <row r="41" spans="1:7" s="140" customFormat="1" ht="15.75">
      <c r="A41" s="149">
        <v>2000000000</v>
      </c>
      <c r="B41" s="150" t="s">
        <v>201</v>
      </c>
      <c r="C41" s="241">
        <f>C42+C44+C46+C47+C48+C50+C43+C45+C49</f>
        <v>19070.141929999998</v>
      </c>
      <c r="D41" s="190">
        <f>D42+D44+D46+D47+D48+D50+D43+D49</f>
        <v>13333.898780000001</v>
      </c>
      <c r="E41" s="151">
        <f t="shared" si="2"/>
        <v>69.92029125396239</v>
      </c>
      <c r="F41" s="151">
        <f t="shared" si="1"/>
        <v>-5736.243149999997</v>
      </c>
      <c r="G41" s="171"/>
    </row>
    <row r="42" spans="1:6" ht="17.25" customHeight="1">
      <c r="A42" s="163">
        <v>2021000000</v>
      </c>
      <c r="B42" s="164" t="s">
        <v>202</v>
      </c>
      <c r="C42" s="160">
        <v>8831.9</v>
      </c>
      <c r="D42" s="173">
        <v>8095.967</v>
      </c>
      <c r="E42" s="156">
        <f t="shared" si="2"/>
        <v>91.66733092539545</v>
      </c>
      <c r="F42" s="156">
        <f t="shared" si="1"/>
        <v>-735.933</v>
      </c>
    </row>
    <row r="43" spans="1:6" ht="15" customHeight="1">
      <c r="A43" s="163">
        <v>2021500210</v>
      </c>
      <c r="B43" s="164" t="s">
        <v>205</v>
      </c>
      <c r="C43" s="160">
        <v>0</v>
      </c>
      <c r="D43" s="173">
        <v>0</v>
      </c>
      <c r="E43" s="156" t="e">
        <f t="shared" si="2"/>
        <v>#DIV/0!</v>
      </c>
      <c r="F43" s="156">
        <f t="shared" si="1"/>
        <v>0</v>
      </c>
    </row>
    <row r="44" spans="1:6" ht="17.25" customHeight="1">
      <c r="A44" s="163">
        <v>2022000000</v>
      </c>
      <c r="B44" s="164" t="s">
        <v>206</v>
      </c>
      <c r="C44" s="288">
        <v>9757.53173</v>
      </c>
      <c r="D44" s="157">
        <v>5403.127</v>
      </c>
      <c r="E44" s="156">
        <f t="shared" si="2"/>
        <v>55.37391165624219</v>
      </c>
      <c r="F44" s="156">
        <f t="shared" si="1"/>
        <v>-4354.40473</v>
      </c>
    </row>
    <row r="45" spans="1:6" ht="15" customHeight="1" hidden="1">
      <c r="A45" s="163">
        <v>2022999910</v>
      </c>
      <c r="B45" s="167" t="s">
        <v>327</v>
      </c>
      <c r="C45" s="288">
        <v>0</v>
      </c>
      <c r="D45" s="157">
        <v>0</v>
      </c>
      <c r="E45" s="156" t="e">
        <f t="shared" si="2"/>
        <v>#DIV/0!</v>
      </c>
      <c r="F45" s="156">
        <f t="shared" si="1"/>
        <v>0</v>
      </c>
    </row>
    <row r="46" spans="1:6" ht="16.5" customHeight="1">
      <c r="A46" s="163">
        <v>2023000000</v>
      </c>
      <c r="B46" s="164" t="s">
        <v>207</v>
      </c>
      <c r="C46" s="160">
        <v>67.0441</v>
      </c>
      <c r="D46" s="175">
        <v>0</v>
      </c>
      <c r="E46" s="156">
        <f t="shared" si="2"/>
        <v>0</v>
      </c>
      <c r="F46" s="156">
        <f t="shared" si="1"/>
        <v>-67.0441</v>
      </c>
    </row>
    <row r="47" spans="1:6" ht="15.75" customHeight="1">
      <c r="A47" s="163">
        <v>2024000000</v>
      </c>
      <c r="B47" s="164" t="s">
        <v>102</v>
      </c>
      <c r="C47" s="160">
        <v>360.035</v>
      </c>
      <c r="D47" s="176">
        <v>302.6</v>
      </c>
      <c r="E47" s="156">
        <f t="shared" si="2"/>
        <v>84.04738428208368</v>
      </c>
      <c r="F47" s="156">
        <f t="shared" si="1"/>
        <v>-57.435</v>
      </c>
    </row>
    <row r="48" spans="1:6" ht="17.25" customHeight="1">
      <c r="A48" s="163">
        <v>2020900000</v>
      </c>
      <c r="B48" s="167" t="s">
        <v>343</v>
      </c>
      <c r="C48" s="160"/>
      <c r="D48" s="176"/>
      <c r="E48" s="156" t="e">
        <f t="shared" si="2"/>
        <v>#DIV/0!</v>
      </c>
      <c r="F48" s="156">
        <f t="shared" si="1"/>
        <v>0</v>
      </c>
    </row>
    <row r="49" spans="1:6" ht="18" customHeight="1">
      <c r="A49" s="154">
        <v>2070500010</v>
      </c>
      <c r="B49" s="167" t="s">
        <v>344</v>
      </c>
      <c r="C49" s="160">
        <v>53.6311</v>
      </c>
      <c r="D49" s="176"/>
      <c r="E49" s="156">
        <f t="shared" si="2"/>
        <v>0</v>
      </c>
      <c r="F49" s="156">
        <f t="shared" si="1"/>
        <v>-53.6311</v>
      </c>
    </row>
    <row r="50" spans="1:6" ht="14.25" customHeight="1">
      <c r="A50" s="154">
        <v>2190500005</v>
      </c>
      <c r="B50" s="159" t="s">
        <v>209</v>
      </c>
      <c r="C50" s="162">
        <v>0</v>
      </c>
      <c r="D50" s="162">
        <v>-467.79522</v>
      </c>
      <c r="E50" s="156" t="e">
        <f t="shared" si="2"/>
        <v>#DIV/0!</v>
      </c>
      <c r="F50" s="156">
        <f t="shared" si="1"/>
        <v>-467.79522</v>
      </c>
    </row>
    <row r="51" spans="1:6" s="140" customFormat="1" ht="14.25" customHeight="1">
      <c r="A51" s="149">
        <v>3000000000</v>
      </c>
      <c r="B51" s="158" t="s">
        <v>210</v>
      </c>
      <c r="C51" s="261">
        <v>0</v>
      </c>
      <c r="D51" s="162">
        <v>0</v>
      </c>
      <c r="E51" s="156" t="e">
        <f t="shared" si="2"/>
        <v>#DIV/0!</v>
      </c>
      <c r="F51" s="156">
        <f t="shared" si="1"/>
        <v>0</v>
      </c>
    </row>
    <row r="52" spans="1:7" s="140" customFormat="1" ht="15" customHeight="1">
      <c r="A52" s="149"/>
      <c r="B52" s="150" t="s">
        <v>211</v>
      </c>
      <c r="C52" s="289">
        <f>SUM(C40+C41)</f>
        <v>24076.66193</v>
      </c>
      <c r="D52" s="280">
        <f>D40+D41</f>
        <v>18563.249200000002</v>
      </c>
      <c r="E52" s="271">
        <f t="shared" si="2"/>
        <v>77.10059332132676</v>
      </c>
      <c r="F52" s="271">
        <f t="shared" si="1"/>
        <v>-5513.412729999996</v>
      </c>
      <c r="G52" s="281">
        <f>18968.9976-D52</f>
        <v>405.74839999999676</v>
      </c>
    </row>
    <row r="53" spans="1:6" s="140" customFormat="1" ht="23.25" customHeight="1">
      <c r="A53" s="149"/>
      <c r="B53" s="189" t="s">
        <v>212</v>
      </c>
      <c r="C53" s="271">
        <f>C52-C99</f>
        <v>-298.49823000000106</v>
      </c>
      <c r="D53" s="271">
        <f>D52-D99</f>
        <v>1257.8920500000022</v>
      </c>
      <c r="E53" s="290"/>
      <c r="F53" s="290"/>
    </row>
    <row r="54" spans="1:6" ht="15.75">
      <c r="A54" s="192"/>
      <c r="B54" s="193"/>
      <c r="C54" s="263"/>
      <c r="D54" s="263"/>
      <c r="E54" s="195"/>
      <c r="F54" s="244"/>
    </row>
    <row r="55" spans="1:6" ht="32.25" customHeight="1">
      <c r="A55" s="197" t="s">
        <v>141</v>
      </c>
      <c r="B55" s="197" t="s">
        <v>213</v>
      </c>
      <c r="C55" s="146" t="s">
        <v>143</v>
      </c>
      <c r="D55" s="147" t="s">
        <v>424</v>
      </c>
      <c r="E55" s="146" t="s">
        <v>144</v>
      </c>
      <c r="F55" s="148" t="s">
        <v>145</v>
      </c>
    </row>
    <row r="56" spans="1:6" ht="15.75">
      <c r="A56" s="246">
        <v>1</v>
      </c>
      <c r="B56" s="197">
        <v>2</v>
      </c>
      <c r="C56" s="200">
        <v>3</v>
      </c>
      <c r="D56" s="200">
        <v>4</v>
      </c>
      <c r="E56" s="200">
        <v>5</v>
      </c>
      <c r="F56" s="200">
        <v>6</v>
      </c>
    </row>
    <row r="57" spans="1:6" s="140" customFormat="1" ht="15" customHeight="1">
      <c r="A57" s="201" t="s">
        <v>33</v>
      </c>
      <c r="B57" s="202" t="s">
        <v>214</v>
      </c>
      <c r="C57" s="282">
        <f>C58+C59+C60+C61+C62+C64+C63+C66</f>
        <v>2605.552</v>
      </c>
      <c r="D57" s="291">
        <f>D58+D59+D60+D61+D62+D64+D63</f>
        <v>2271.28332</v>
      </c>
      <c r="E57" s="203">
        <f>SUM(D57/C57*100)</f>
        <v>87.1709073547563</v>
      </c>
      <c r="F57" s="203">
        <f>SUM(D57-C57)</f>
        <v>-334.26868000000013</v>
      </c>
    </row>
    <row r="58" spans="1:6" s="140" customFormat="1" ht="0.75" customHeight="1" hidden="1">
      <c r="A58" s="204" t="s">
        <v>215</v>
      </c>
      <c r="B58" s="205" t="s">
        <v>216</v>
      </c>
      <c r="C58" s="284"/>
      <c r="D58" s="284"/>
      <c r="E58" s="206"/>
      <c r="F58" s="206"/>
    </row>
    <row r="59" spans="1:6" ht="16.5" customHeight="1">
      <c r="A59" s="204" t="s">
        <v>217</v>
      </c>
      <c r="B59" s="207" t="s">
        <v>218</v>
      </c>
      <c r="C59" s="292">
        <v>2240.8</v>
      </c>
      <c r="D59" s="284">
        <v>2034.89132</v>
      </c>
      <c r="E59" s="206">
        <f>SUM(D59/C59*100)</f>
        <v>90.81093002499107</v>
      </c>
      <c r="F59" s="206">
        <f aca="true" t="shared" si="3" ref="F59:F89">SUM(D59-C59)</f>
        <v>-205.90868000000023</v>
      </c>
    </row>
    <row r="60" spans="1:6" ht="1.5" customHeight="1" hidden="1">
      <c r="A60" s="204" t="s">
        <v>219</v>
      </c>
      <c r="B60" s="207" t="s">
        <v>220</v>
      </c>
      <c r="C60" s="292"/>
      <c r="D60" s="284"/>
      <c r="E60" s="206"/>
      <c r="F60" s="206">
        <f t="shared" si="3"/>
        <v>0</v>
      </c>
    </row>
    <row r="61" spans="1:6" ht="17.25" customHeight="1" hidden="1">
      <c r="A61" s="204" t="s">
        <v>221</v>
      </c>
      <c r="B61" s="207" t="s">
        <v>222</v>
      </c>
      <c r="C61" s="292"/>
      <c r="D61" s="284"/>
      <c r="E61" s="206" t="e">
        <f aca="true" t="shared" si="4" ref="E61:E88">SUM(D61/C61*100)</f>
        <v>#DIV/0!</v>
      </c>
      <c r="F61" s="206">
        <f t="shared" si="3"/>
        <v>0</v>
      </c>
    </row>
    <row r="62" spans="1:6" ht="17.25" customHeight="1">
      <c r="A62" s="204" t="s">
        <v>223</v>
      </c>
      <c r="B62" s="207" t="s">
        <v>224</v>
      </c>
      <c r="C62" s="292">
        <v>30.56</v>
      </c>
      <c r="D62" s="284">
        <v>30.56</v>
      </c>
      <c r="E62" s="206">
        <f t="shared" si="4"/>
        <v>100</v>
      </c>
      <c r="F62" s="206">
        <f t="shared" si="3"/>
        <v>0</v>
      </c>
    </row>
    <row r="63" spans="1:6" ht="18" customHeight="1">
      <c r="A63" s="204" t="s">
        <v>225</v>
      </c>
      <c r="B63" s="207" t="s">
        <v>226</v>
      </c>
      <c r="C63" s="293">
        <v>100</v>
      </c>
      <c r="D63" s="294">
        <v>0</v>
      </c>
      <c r="E63" s="206">
        <f t="shared" si="4"/>
        <v>0</v>
      </c>
      <c r="F63" s="206">
        <f t="shared" si="3"/>
        <v>-100</v>
      </c>
    </row>
    <row r="64" spans="1:6" ht="15.75" customHeight="1">
      <c r="A64" s="204" t="s">
        <v>227</v>
      </c>
      <c r="B64" s="207" t="s">
        <v>228</v>
      </c>
      <c r="C64" s="292">
        <v>234.192</v>
      </c>
      <c r="D64" s="284">
        <v>205.832</v>
      </c>
      <c r="E64" s="206">
        <f t="shared" si="4"/>
        <v>87.89027806244448</v>
      </c>
      <c r="F64" s="206">
        <f t="shared" si="3"/>
        <v>-28.360000000000014</v>
      </c>
    </row>
    <row r="65" spans="1:6" s="140" customFormat="1" ht="15.75" customHeight="1" hidden="1">
      <c r="A65" s="209" t="s">
        <v>35</v>
      </c>
      <c r="B65" s="210" t="s">
        <v>229</v>
      </c>
      <c r="C65" s="295">
        <f>C66</f>
        <v>0</v>
      </c>
      <c r="D65" s="282">
        <f>D66</f>
        <v>0</v>
      </c>
      <c r="E65" s="203" t="e">
        <f t="shared" si="4"/>
        <v>#DIV/0!</v>
      </c>
      <c r="F65" s="203">
        <f t="shared" si="3"/>
        <v>0</v>
      </c>
    </row>
    <row r="66" spans="1:6" ht="18" customHeight="1" hidden="1">
      <c r="A66" s="211" t="s">
        <v>230</v>
      </c>
      <c r="B66" s="212" t="s">
        <v>231</v>
      </c>
      <c r="C66" s="292">
        <v>0</v>
      </c>
      <c r="D66" s="284">
        <v>0</v>
      </c>
      <c r="E66" s="206" t="e">
        <f t="shared" si="4"/>
        <v>#DIV/0!</v>
      </c>
      <c r="F66" s="206">
        <f t="shared" si="3"/>
        <v>0</v>
      </c>
    </row>
    <row r="67" spans="1:6" s="140" customFormat="1" ht="18" customHeight="1">
      <c r="A67" s="201" t="s">
        <v>37</v>
      </c>
      <c r="B67" s="202" t="s">
        <v>232</v>
      </c>
      <c r="C67" s="295">
        <f>C70+C71+C72</f>
        <v>102</v>
      </c>
      <c r="D67" s="295">
        <f>SUM(D70+D71+D72)</f>
        <v>32.932</v>
      </c>
      <c r="E67" s="203">
        <f t="shared" si="4"/>
        <v>32.286274509803924</v>
      </c>
      <c r="F67" s="203">
        <f t="shared" si="3"/>
        <v>-69.068</v>
      </c>
    </row>
    <row r="68" spans="1:6" ht="3.75" customHeight="1" hidden="1">
      <c r="A68" s="204" t="s">
        <v>233</v>
      </c>
      <c r="B68" s="207" t="s">
        <v>234</v>
      </c>
      <c r="C68" s="292"/>
      <c r="D68" s="284"/>
      <c r="E68" s="203" t="e">
        <f t="shared" si="4"/>
        <v>#DIV/0!</v>
      </c>
      <c r="F68" s="203">
        <f t="shared" si="3"/>
        <v>0</v>
      </c>
    </row>
    <row r="69" spans="1:6" ht="15.75" customHeight="1" hidden="1">
      <c r="A69" s="213" t="s">
        <v>235</v>
      </c>
      <c r="B69" s="207" t="s">
        <v>317</v>
      </c>
      <c r="C69" s="292"/>
      <c r="D69" s="284"/>
      <c r="E69" s="203" t="e">
        <f t="shared" si="4"/>
        <v>#DIV/0!</v>
      </c>
      <c r="F69" s="203">
        <f t="shared" si="3"/>
        <v>0</v>
      </c>
    </row>
    <row r="70" spans="1:6" ht="19.5" customHeight="1">
      <c r="A70" s="214" t="s">
        <v>237</v>
      </c>
      <c r="B70" s="215" t="s">
        <v>238</v>
      </c>
      <c r="C70" s="292"/>
      <c r="D70" s="284">
        <v>0</v>
      </c>
      <c r="E70" s="203" t="e">
        <f t="shared" si="4"/>
        <v>#DIV/0!</v>
      </c>
      <c r="F70" s="203">
        <f t="shared" si="3"/>
        <v>0</v>
      </c>
    </row>
    <row r="71" spans="1:6" ht="17.25" customHeight="1">
      <c r="A71" s="214" t="s">
        <v>239</v>
      </c>
      <c r="B71" s="215" t="s">
        <v>240</v>
      </c>
      <c r="C71" s="292">
        <v>100</v>
      </c>
      <c r="D71" s="284">
        <v>30.94</v>
      </c>
      <c r="E71" s="203">
        <f t="shared" si="4"/>
        <v>30.94</v>
      </c>
      <c r="F71" s="203">
        <f t="shared" si="3"/>
        <v>-69.06</v>
      </c>
    </row>
    <row r="72" spans="1:6" ht="17.25" customHeight="1">
      <c r="A72" s="214" t="s">
        <v>241</v>
      </c>
      <c r="B72" s="215" t="s">
        <v>345</v>
      </c>
      <c r="C72" s="292">
        <v>2</v>
      </c>
      <c r="D72" s="284">
        <v>1.992</v>
      </c>
      <c r="E72" s="203">
        <f t="shared" si="4"/>
        <v>99.6</v>
      </c>
      <c r="F72" s="203">
        <f t="shared" si="3"/>
        <v>-0.008000000000000007</v>
      </c>
    </row>
    <row r="73" spans="1:6" s="140" customFormat="1" ht="16.5" customHeight="1">
      <c r="A73" s="201" t="s">
        <v>39</v>
      </c>
      <c r="B73" s="202" t="s">
        <v>243</v>
      </c>
      <c r="C73" s="252">
        <f>SUM(C74:C77)</f>
        <v>1247.33233</v>
      </c>
      <c r="D73" s="252">
        <f>SUM(D74:D77)</f>
        <v>933.2139999999999</v>
      </c>
      <c r="E73" s="203">
        <f t="shared" si="4"/>
        <v>74.81678920324305</v>
      </c>
      <c r="F73" s="203">
        <f t="shared" si="3"/>
        <v>-314.11833</v>
      </c>
    </row>
    <row r="74" spans="1:6" ht="15" customHeight="1">
      <c r="A74" s="204" t="s">
        <v>246</v>
      </c>
      <c r="B74" s="207" t="s">
        <v>319</v>
      </c>
      <c r="C74" s="285">
        <v>67.0441</v>
      </c>
      <c r="D74" s="284">
        <v>0</v>
      </c>
      <c r="E74" s="206">
        <f t="shared" si="4"/>
        <v>0</v>
      </c>
      <c r="F74" s="206">
        <f t="shared" si="3"/>
        <v>-67.0441</v>
      </c>
    </row>
    <row r="75" spans="1:7" s="140" customFormat="1" ht="15.75" customHeight="1">
      <c r="A75" s="204" t="s">
        <v>248</v>
      </c>
      <c r="B75" s="207" t="s">
        <v>320</v>
      </c>
      <c r="C75" s="285"/>
      <c r="D75" s="284"/>
      <c r="E75" s="206" t="e">
        <f t="shared" si="4"/>
        <v>#DIV/0!</v>
      </c>
      <c r="F75" s="206">
        <f t="shared" si="3"/>
        <v>0</v>
      </c>
      <c r="G75" s="143"/>
    </row>
    <row r="76" spans="1:6" ht="15" customHeight="1">
      <c r="A76" s="204" t="s">
        <v>250</v>
      </c>
      <c r="B76" s="207" t="s">
        <v>251</v>
      </c>
      <c r="C76" s="285">
        <v>980.28823</v>
      </c>
      <c r="D76" s="284">
        <v>794.324</v>
      </c>
      <c r="E76" s="206">
        <f t="shared" si="4"/>
        <v>81.02963757914343</v>
      </c>
      <c r="F76" s="206">
        <f t="shared" si="3"/>
        <v>-185.96423000000004</v>
      </c>
    </row>
    <row r="77" spans="1:6" ht="18" customHeight="1">
      <c r="A77" s="204" t="s">
        <v>252</v>
      </c>
      <c r="B77" s="207" t="s">
        <v>253</v>
      </c>
      <c r="C77" s="285">
        <v>200</v>
      </c>
      <c r="D77" s="284">
        <v>138.89</v>
      </c>
      <c r="E77" s="206">
        <f t="shared" si="4"/>
        <v>69.445</v>
      </c>
      <c r="F77" s="206">
        <f t="shared" si="3"/>
        <v>-61.110000000000014</v>
      </c>
    </row>
    <row r="78" spans="1:6" s="140" customFormat="1" ht="17.25" customHeight="1">
      <c r="A78" s="201" t="s">
        <v>41</v>
      </c>
      <c r="B78" s="202" t="s">
        <v>254</v>
      </c>
      <c r="C78" s="282">
        <f>C79+C80+C81+C84</f>
        <v>15509.47583</v>
      </c>
      <c r="D78" s="282">
        <f>D79+D80+D81+D84</f>
        <v>9996.42783</v>
      </c>
      <c r="E78" s="203">
        <f t="shared" si="4"/>
        <v>64.45367941232351</v>
      </c>
      <c r="F78" s="203">
        <f t="shared" si="3"/>
        <v>-5513.047999999999</v>
      </c>
    </row>
    <row r="79" spans="1:6" ht="18" customHeight="1" hidden="1">
      <c r="A79" s="204" t="s">
        <v>255</v>
      </c>
      <c r="B79" s="218" t="s">
        <v>256</v>
      </c>
      <c r="C79" s="284">
        <v>0</v>
      </c>
      <c r="D79" s="284">
        <v>0</v>
      </c>
      <c r="E79" s="206" t="e">
        <f t="shared" si="4"/>
        <v>#DIV/0!</v>
      </c>
      <c r="F79" s="206">
        <f t="shared" si="3"/>
        <v>0</v>
      </c>
    </row>
    <row r="80" spans="1:6" ht="17.25" customHeight="1">
      <c r="A80" s="204" t="s">
        <v>257</v>
      </c>
      <c r="B80" s="218" t="s">
        <v>258</v>
      </c>
      <c r="C80" s="284">
        <v>700</v>
      </c>
      <c r="D80" s="284">
        <v>700</v>
      </c>
      <c r="E80" s="206">
        <f t="shared" si="4"/>
        <v>100</v>
      </c>
      <c r="F80" s="206">
        <f t="shared" si="3"/>
        <v>0</v>
      </c>
    </row>
    <row r="81" spans="1:6" ht="17.25" customHeight="1">
      <c r="A81" s="204" t="s">
        <v>259</v>
      </c>
      <c r="B81" s="207" t="s">
        <v>260</v>
      </c>
      <c r="C81" s="284">
        <v>14809.47583</v>
      </c>
      <c r="D81" s="284">
        <v>9296.42783</v>
      </c>
      <c r="E81" s="206">
        <f t="shared" si="4"/>
        <v>62.77351026271941</v>
      </c>
      <c r="F81" s="206">
        <f t="shared" si="3"/>
        <v>-5513.047999999999</v>
      </c>
    </row>
    <row r="82" spans="1:6" s="140" customFormat="1" ht="18.75" customHeight="1">
      <c r="A82" s="201" t="s">
        <v>47</v>
      </c>
      <c r="B82" s="202" t="s">
        <v>275</v>
      </c>
      <c r="C82" s="282">
        <f>C83</f>
        <v>4885.8</v>
      </c>
      <c r="D82" s="282">
        <f>D83</f>
        <v>4071.5</v>
      </c>
      <c r="E82" s="206">
        <f t="shared" si="4"/>
        <v>83.33333333333333</v>
      </c>
      <c r="F82" s="206">
        <f t="shared" si="3"/>
        <v>-814.3000000000002</v>
      </c>
    </row>
    <row r="83" spans="1:6" ht="19.5" customHeight="1">
      <c r="A83" s="204" t="s">
        <v>276</v>
      </c>
      <c r="B83" s="207" t="s">
        <v>277</v>
      </c>
      <c r="C83" s="284">
        <v>4885.8</v>
      </c>
      <c r="D83" s="284">
        <v>4071.5</v>
      </c>
      <c r="E83" s="206">
        <f t="shared" si="4"/>
        <v>83.33333333333333</v>
      </c>
      <c r="F83" s="206">
        <f t="shared" si="3"/>
        <v>-814.3000000000002</v>
      </c>
    </row>
    <row r="84" spans="1:6" ht="15" customHeight="1" hidden="1">
      <c r="A84" s="204" t="s">
        <v>330</v>
      </c>
      <c r="B84" s="207" t="s">
        <v>331</v>
      </c>
      <c r="C84" s="284">
        <v>0</v>
      </c>
      <c r="D84" s="284"/>
      <c r="E84" s="206" t="e">
        <f t="shared" si="4"/>
        <v>#DIV/0!</v>
      </c>
      <c r="F84" s="206">
        <f t="shared" si="3"/>
        <v>0</v>
      </c>
    </row>
    <row r="85" spans="1:6" s="140" customFormat="1" ht="12.75" customHeight="1" hidden="1">
      <c r="A85" s="219">
        <v>1000</v>
      </c>
      <c r="B85" s="202" t="s">
        <v>280</v>
      </c>
      <c r="C85" s="282">
        <f>SUM(C86:C89)</f>
        <v>0</v>
      </c>
      <c r="D85" s="282">
        <f>SUM(D86:D89)</f>
        <v>0</v>
      </c>
      <c r="E85" s="203" t="e">
        <f t="shared" si="4"/>
        <v>#DIV/0!</v>
      </c>
      <c r="F85" s="203">
        <f t="shared" si="3"/>
        <v>0</v>
      </c>
    </row>
    <row r="86" spans="1:6" ht="12.75" customHeight="1" hidden="1">
      <c r="A86" s="220">
        <v>1001</v>
      </c>
      <c r="B86" s="221" t="s">
        <v>281</v>
      </c>
      <c r="C86" s="284"/>
      <c r="D86" s="284"/>
      <c r="E86" s="206" t="e">
        <f t="shared" si="4"/>
        <v>#DIV/0!</v>
      </c>
      <c r="F86" s="206">
        <f t="shared" si="3"/>
        <v>0</v>
      </c>
    </row>
    <row r="87" spans="1:6" ht="15.75" customHeight="1" hidden="1">
      <c r="A87" s="220">
        <v>1003</v>
      </c>
      <c r="B87" s="221" t="s">
        <v>282</v>
      </c>
      <c r="C87" s="284">
        <v>0</v>
      </c>
      <c r="D87" s="284">
        <v>0</v>
      </c>
      <c r="E87" s="206" t="e">
        <f t="shared" si="4"/>
        <v>#DIV/0!</v>
      </c>
      <c r="F87" s="206">
        <f t="shared" si="3"/>
        <v>0</v>
      </c>
    </row>
    <row r="88" spans="1:6" ht="18.75" customHeight="1" hidden="1">
      <c r="A88" s="220">
        <v>1004</v>
      </c>
      <c r="B88" s="221" t="s">
        <v>283</v>
      </c>
      <c r="C88" s="284">
        <v>0</v>
      </c>
      <c r="D88" s="286">
        <v>0</v>
      </c>
      <c r="E88" s="206" t="e">
        <f t="shared" si="4"/>
        <v>#DIV/0!</v>
      </c>
      <c r="F88" s="206">
        <f t="shared" si="3"/>
        <v>0</v>
      </c>
    </row>
    <row r="89" spans="1:6" ht="17.25" customHeight="1" hidden="1">
      <c r="A89" s="204" t="s">
        <v>284</v>
      </c>
      <c r="B89" s="207" t="s">
        <v>285</v>
      </c>
      <c r="C89" s="284">
        <v>0</v>
      </c>
      <c r="D89" s="284">
        <v>0</v>
      </c>
      <c r="E89" s="206"/>
      <c r="F89" s="206">
        <f t="shared" si="3"/>
        <v>0</v>
      </c>
    </row>
    <row r="90" spans="1:6" ht="19.5" customHeight="1">
      <c r="A90" s="201" t="s">
        <v>51</v>
      </c>
      <c r="B90" s="202" t="s">
        <v>286</v>
      </c>
      <c r="C90" s="282">
        <f>C91+C92+C93+C94+C95</f>
        <v>25</v>
      </c>
      <c r="D90" s="282">
        <f>D91+D92+D93+D94+D95</f>
        <v>0</v>
      </c>
      <c r="E90" s="206">
        <f aca="true" t="shared" si="5" ref="E90:E99">SUM(D90/C90*100)</f>
        <v>0</v>
      </c>
      <c r="F90" s="191">
        <f>F91+F92+F93+F94+F95</f>
        <v>-25</v>
      </c>
    </row>
    <row r="91" spans="1:6" ht="15.75" customHeight="1">
      <c r="A91" s="204" t="s">
        <v>287</v>
      </c>
      <c r="B91" s="207" t="s">
        <v>288</v>
      </c>
      <c r="C91" s="284">
        <v>25</v>
      </c>
      <c r="D91" s="284">
        <v>0</v>
      </c>
      <c r="E91" s="206">
        <f t="shared" si="5"/>
        <v>0</v>
      </c>
      <c r="F91" s="206">
        <f>SUM(D91-C91)</f>
        <v>-25</v>
      </c>
    </row>
    <row r="92" spans="1:6" ht="15" customHeight="1" hidden="1">
      <c r="A92" s="204" t="s">
        <v>289</v>
      </c>
      <c r="B92" s="207" t="s">
        <v>290</v>
      </c>
      <c r="C92" s="284"/>
      <c r="D92" s="284"/>
      <c r="E92" s="206" t="e">
        <f t="shared" si="5"/>
        <v>#DIV/0!</v>
      </c>
      <c r="F92" s="206">
        <f>SUM(D92-C92)</f>
        <v>0</v>
      </c>
    </row>
    <row r="93" spans="1:6" ht="15" customHeight="1" hidden="1">
      <c r="A93" s="204" t="s">
        <v>291</v>
      </c>
      <c r="B93" s="207" t="s">
        <v>292</v>
      </c>
      <c r="C93" s="284"/>
      <c r="D93" s="284"/>
      <c r="E93" s="206" t="e">
        <f t="shared" si="5"/>
        <v>#DIV/0!</v>
      </c>
      <c r="F93" s="206"/>
    </row>
    <row r="94" spans="1:6" ht="15" customHeight="1" hidden="1">
      <c r="A94" s="204" t="s">
        <v>293</v>
      </c>
      <c r="B94" s="207" t="s">
        <v>294</v>
      </c>
      <c r="C94" s="284"/>
      <c r="D94" s="284"/>
      <c r="E94" s="206" t="e">
        <f t="shared" si="5"/>
        <v>#DIV/0!</v>
      </c>
      <c r="F94" s="206"/>
    </row>
    <row r="95" spans="1:6" ht="15" customHeight="1" hidden="1">
      <c r="A95" s="204" t="s">
        <v>295</v>
      </c>
      <c r="B95" s="207" t="s">
        <v>296</v>
      </c>
      <c r="C95" s="284"/>
      <c r="D95" s="284"/>
      <c r="E95" s="206" t="e">
        <f t="shared" si="5"/>
        <v>#DIV/0!</v>
      </c>
      <c r="F95" s="206"/>
    </row>
    <row r="96" spans="1:6" s="140" customFormat="1" ht="18" customHeight="1" hidden="1">
      <c r="A96" s="219">
        <v>1400</v>
      </c>
      <c r="B96" s="223" t="s">
        <v>303</v>
      </c>
      <c r="C96" s="252">
        <f>SUM(C97+C98)</f>
        <v>0</v>
      </c>
      <c r="D96" s="252">
        <f>SUM(D97+D98)</f>
        <v>0</v>
      </c>
      <c r="E96" s="203" t="e">
        <f t="shared" si="5"/>
        <v>#DIV/0!</v>
      </c>
      <c r="F96" s="203">
        <f>SUM(D96-C96)</f>
        <v>0</v>
      </c>
    </row>
    <row r="97" spans="1:6" ht="20.25" customHeight="1" hidden="1">
      <c r="A97" s="220">
        <v>1402</v>
      </c>
      <c r="B97" s="221" t="s">
        <v>305</v>
      </c>
      <c r="C97" s="296"/>
      <c r="D97" s="251"/>
      <c r="E97" s="206" t="e">
        <f t="shared" si="5"/>
        <v>#DIV/0!</v>
      </c>
      <c r="F97" s="206">
        <f>SUM(D97-C97)</f>
        <v>0</v>
      </c>
    </row>
    <row r="98" spans="1:6" ht="15" customHeight="1" hidden="1">
      <c r="A98" s="220">
        <v>1403</v>
      </c>
      <c r="B98" s="221" t="s">
        <v>306</v>
      </c>
      <c r="C98" s="285"/>
      <c r="D98" s="284"/>
      <c r="E98" s="206" t="e">
        <f t="shared" si="5"/>
        <v>#DIV/0!</v>
      </c>
      <c r="F98" s="206">
        <f>SUM(D98-C98)</f>
        <v>0</v>
      </c>
    </row>
    <row r="99" spans="1:7" s="140" customFormat="1" ht="16.5" customHeight="1">
      <c r="A99" s="219"/>
      <c r="B99" s="224" t="s">
        <v>307</v>
      </c>
      <c r="C99" s="279">
        <f>C57+C73+C78+C85+C90+C96+C67+C82</f>
        <v>24375.16016</v>
      </c>
      <c r="D99" s="279">
        <f>SUM(D57+D67+D73+D78+D82+D90)</f>
        <v>17305.35715</v>
      </c>
      <c r="E99" s="203">
        <f t="shared" si="5"/>
        <v>70.99587053544103</v>
      </c>
      <c r="F99" s="203">
        <f>SUM(D99-C99)</f>
        <v>-7069.80301</v>
      </c>
      <c r="G99" s="187"/>
    </row>
    <row r="100" ht="20.25" customHeight="1">
      <c r="D100" s="297"/>
    </row>
    <row r="101" spans="1:4" s="144" customFormat="1" ht="13.5" customHeight="1">
      <c r="A101" s="229" t="s">
        <v>308</v>
      </c>
      <c r="B101" s="229"/>
      <c r="C101" s="298"/>
      <c r="D101" s="255"/>
    </row>
    <row r="102" spans="1:4" s="144" customFormat="1" ht="12.75">
      <c r="A102" s="231" t="s">
        <v>309</v>
      </c>
      <c r="B102" s="231"/>
      <c r="C102" s="299" t="s">
        <v>310</v>
      </c>
      <c r="D102" s="299"/>
    </row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view="pageBreakPreview" zoomScale="70" zoomScaleSheetLayoutView="70" zoomScalePageLayoutView="0" workbookViewId="0" topLeftCell="A45">
      <selection activeCell="D84" sqref="D84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9.57421875" style="138" customWidth="1"/>
    <col min="4" max="4" width="16.8515625" style="138" customWidth="1"/>
    <col min="5" max="5" width="14.7109375" style="138" customWidth="1"/>
    <col min="6" max="6" width="16.0039062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8" t="s">
        <v>430</v>
      </c>
      <c r="B1" s="468"/>
      <c r="C1" s="468"/>
      <c r="D1" s="468"/>
      <c r="E1" s="468"/>
      <c r="F1" s="468"/>
    </row>
    <row r="2" spans="1:6" ht="12.75" customHeight="1">
      <c r="A2" s="468"/>
      <c r="B2" s="468"/>
      <c r="C2" s="468"/>
      <c r="D2" s="468"/>
      <c r="E2" s="468"/>
      <c r="F2" s="468"/>
    </row>
    <row r="3" spans="1:6" ht="63">
      <c r="A3" s="145" t="s">
        <v>141</v>
      </c>
      <c r="B3" s="145" t="s">
        <v>142</v>
      </c>
      <c r="C3" s="146" t="s">
        <v>143</v>
      </c>
      <c r="D3" s="147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C5+C12+C14+C17+C20+C7</f>
        <v>6409.35</v>
      </c>
      <c r="D4" s="151">
        <f>D5+D12+D14+D17+D20+D7</f>
        <v>4125.16008</v>
      </c>
      <c r="E4" s="151">
        <f aca="true" t="shared" si="0" ref="E4:E35">SUM(D4/C4*100)</f>
        <v>64.36159797795408</v>
      </c>
      <c r="F4" s="151">
        <f aca="true" t="shared" si="1" ref="F4:F35">SUM(D4-C4)</f>
        <v>-2284.1899200000007</v>
      </c>
    </row>
    <row r="5" spans="1:6" s="140" customFormat="1" ht="15.75">
      <c r="A5" s="152">
        <v>1010000000</v>
      </c>
      <c r="B5" s="153" t="s">
        <v>146</v>
      </c>
      <c r="C5" s="151">
        <f>C6</f>
        <v>2197.1</v>
      </c>
      <c r="D5" s="151">
        <f>D6</f>
        <v>1416.1255</v>
      </c>
      <c r="E5" s="151">
        <f t="shared" si="0"/>
        <v>64.45430339993628</v>
      </c>
      <c r="F5" s="151">
        <f t="shared" si="1"/>
        <v>-780.9744999999998</v>
      </c>
    </row>
    <row r="6" spans="1:6" ht="15.75">
      <c r="A6" s="154">
        <v>1010200001</v>
      </c>
      <c r="B6" s="155" t="s">
        <v>147</v>
      </c>
      <c r="C6" s="156">
        <v>2197.1</v>
      </c>
      <c r="D6" s="157">
        <v>1416.1255</v>
      </c>
      <c r="E6" s="156">
        <f t="shared" si="0"/>
        <v>64.45430339993628</v>
      </c>
      <c r="F6" s="156">
        <f t="shared" si="1"/>
        <v>-780.9744999999998</v>
      </c>
    </row>
    <row r="7" spans="1:6" ht="31.5">
      <c r="A7" s="149">
        <v>1030000000</v>
      </c>
      <c r="B7" s="158" t="s">
        <v>148</v>
      </c>
      <c r="C7" s="151">
        <f>C8+C10+C9</f>
        <v>784.25</v>
      </c>
      <c r="D7" s="151">
        <f>D8+D10+D9+D11</f>
        <v>766.97292</v>
      </c>
      <c r="E7" s="156">
        <f t="shared" si="0"/>
        <v>97.7969933057061</v>
      </c>
      <c r="F7" s="156">
        <f t="shared" si="1"/>
        <v>-17.277079999999955</v>
      </c>
    </row>
    <row r="8" spans="1:6" ht="15.75">
      <c r="A8" s="154">
        <v>1030223001</v>
      </c>
      <c r="B8" s="155" t="s">
        <v>149</v>
      </c>
      <c r="C8" s="156">
        <v>314.47</v>
      </c>
      <c r="D8" s="157">
        <v>351.54786</v>
      </c>
      <c r="E8" s="156">
        <f t="shared" si="0"/>
        <v>111.79058733742487</v>
      </c>
      <c r="F8" s="156">
        <f t="shared" si="1"/>
        <v>37.07785999999999</v>
      </c>
    </row>
    <row r="9" spans="1:6" ht="15.75">
      <c r="A9" s="154">
        <v>1030224001</v>
      </c>
      <c r="B9" s="155" t="s">
        <v>150</v>
      </c>
      <c r="C9" s="156">
        <v>3</v>
      </c>
      <c r="D9" s="157">
        <v>2.4936</v>
      </c>
      <c r="E9" s="156">
        <f t="shared" si="0"/>
        <v>83.11999999999999</v>
      </c>
      <c r="F9" s="156">
        <f t="shared" si="1"/>
        <v>-0.5064000000000002</v>
      </c>
    </row>
    <row r="10" spans="1:6" ht="15.75">
      <c r="A10" s="154">
        <v>1030225001</v>
      </c>
      <c r="B10" s="155" t="s">
        <v>151</v>
      </c>
      <c r="C10" s="156">
        <v>466.78</v>
      </c>
      <c r="D10" s="157">
        <v>472.4959</v>
      </c>
      <c r="E10" s="156">
        <f t="shared" si="0"/>
        <v>101.22453832640646</v>
      </c>
      <c r="F10" s="156">
        <f t="shared" si="1"/>
        <v>5.715900000000033</v>
      </c>
    </row>
    <row r="11" spans="1:6" ht="15.75">
      <c r="A11" s="154">
        <v>1030226001</v>
      </c>
      <c r="B11" s="155" t="s">
        <v>346</v>
      </c>
      <c r="C11" s="156">
        <v>0</v>
      </c>
      <c r="D11" s="157">
        <v>-59.56444</v>
      </c>
      <c r="E11" s="156" t="e">
        <f t="shared" si="0"/>
        <v>#DIV/0!</v>
      </c>
      <c r="F11" s="156">
        <f t="shared" si="1"/>
        <v>-59.56444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20</v>
      </c>
      <c r="D12" s="151">
        <f>SUM(D13:D13)</f>
        <v>44.8776</v>
      </c>
      <c r="E12" s="151">
        <f t="shared" si="0"/>
        <v>224.38799999999998</v>
      </c>
      <c r="F12" s="151">
        <f t="shared" si="1"/>
        <v>24.8776</v>
      </c>
    </row>
    <row r="13" spans="1:6" ht="15.75" customHeight="1">
      <c r="A13" s="154">
        <v>1050300000</v>
      </c>
      <c r="B13" s="159" t="s">
        <v>156</v>
      </c>
      <c r="C13" s="160">
        <v>20</v>
      </c>
      <c r="D13" s="157">
        <v>44.8776</v>
      </c>
      <c r="E13" s="156">
        <f t="shared" si="0"/>
        <v>224.38799999999998</v>
      </c>
      <c r="F13" s="156">
        <f t="shared" si="1"/>
        <v>24.8776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3400</v>
      </c>
      <c r="D14" s="151">
        <f>D15+D16</f>
        <v>1893.08406</v>
      </c>
      <c r="E14" s="151">
        <f t="shared" si="0"/>
        <v>55.678942941176466</v>
      </c>
      <c r="F14" s="151">
        <f t="shared" si="1"/>
        <v>-1506.91594</v>
      </c>
    </row>
    <row r="15" spans="1:6" s="140" customFormat="1" ht="15.75" customHeight="1">
      <c r="A15" s="154">
        <v>1060100000</v>
      </c>
      <c r="B15" s="159" t="s">
        <v>159</v>
      </c>
      <c r="C15" s="156">
        <v>1200</v>
      </c>
      <c r="D15" s="157">
        <v>224.31596</v>
      </c>
      <c r="E15" s="156">
        <f t="shared" si="0"/>
        <v>18.692996666666666</v>
      </c>
      <c r="F15" s="156">
        <f t="shared" si="1"/>
        <v>-975.68404</v>
      </c>
    </row>
    <row r="16" spans="1:6" ht="15.75" customHeight="1">
      <c r="A16" s="154">
        <v>1060600000</v>
      </c>
      <c r="B16" s="159" t="s">
        <v>162</v>
      </c>
      <c r="C16" s="156">
        <v>2200</v>
      </c>
      <c r="D16" s="157">
        <v>1668.7681</v>
      </c>
      <c r="E16" s="156">
        <f t="shared" si="0"/>
        <v>75.85309545454545</v>
      </c>
      <c r="F16" s="156">
        <f t="shared" si="1"/>
        <v>-531.2319</v>
      </c>
    </row>
    <row r="17" spans="1:6" s="140" customFormat="1" ht="15.75">
      <c r="A17" s="149">
        <v>1080000000</v>
      </c>
      <c r="B17" s="150" t="s">
        <v>165</v>
      </c>
      <c r="C17" s="151">
        <f>C18</f>
        <v>8</v>
      </c>
      <c r="D17" s="151">
        <f>D18</f>
        <v>4.1</v>
      </c>
      <c r="E17" s="151">
        <f t="shared" si="0"/>
        <v>51.24999999999999</v>
      </c>
      <c r="F17" s="151">
        <f t="shared" si="1"/>
        <v>-3.9000000000000004</v>
      </c>
    </row>
    <row r="18" spans="1:6" ht="15" customHeight="1">
      <c r="A18" s="154">
        <v>1080400001</v>
      </c>
      <c r="B18" s="155" t="s">
        <v>167</v>
      </c>
      <c r="C18" s="156">
        <v>8</v>
      </c>
      <c r="D18" s="157">
        <v>4.1</v>
      </c>
      <c r="E18" s="156">
        <f t="shared" si="0"/>
        <v>51.24999999999999</v>
      </c>
      <c r="F18" s="156">
        <f t="shared" si="1"/>
        <v>-3.9000000000000004</v>
      </c>
    </row>
    <row r="19" spans="1:6" ht="1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1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" customHeight="1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C26+C29+C31+C36+C34</f>
        <v>0</v>
      </c>
      <c r="D25" s="151">
        <f>D26+D29+D31+D36+D34</f>
        <v>0</v>
      </c>
      <c r="E25" s="151" t="e">
        <f t="shared" si="0"/>
        <v>#DIV/0!</v>
      </c>
      <c r="F25" s="151">
        <f t="shared" si="1"/>
        <v>0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0</v>
      </c>
      <c r="D26" s="151">
        <f>D27+D28</f>
        <v>0</v>
      </c>
      <c r="E26" s="151" t="e">
        <f t="shared" si="0"/>
        <v>#DIV/0!</v>
      </c>
      <c r="F26" s="151">
        <f t="shared" si="1"/>
        <v>0</v>
      </c>
    </row>
    <row r="27" spans="1:6" ht="15.75">
      <c r="A27" s="163">
        <v>1110501101</v>
      </c>
      <c r="B27" s="164" t="s">
        <v>177</v>
      </c>
      <c r="C27" s="160">
        <v>0</v>
      </c>
      <c r="D27" s="157"/>
      <c r="E27" s="156" t="e">
        <f t="shared" si="0"/>
        <v>#DIV/0!</v>
      </c>
      <c r="F27" s="156">
        <f t="shared" si="1"/>
        <v>0</v>
      </c>
    </row>
    <row r="28" spans="1:6" ht="18" customHeight="1">
      <c r="A28" s="154">
        <v>1110503505</v>
      </c>
      <c r="B28" s="159" t="s">
        <v>347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17.25" customHeight="1" hidden="1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19.5" customHeight="1" hidden="1">
      <c r="A30" s="154">
        <v>1130206005</v>
      </c>
      <c r="B30" s="155" t="s">
        <v>333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25.5" customHeight="1" hidden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21.75" customHeight="1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5" customHeight="1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 customHeight="1" hidden="1">
      <c r="A34" s="149">
        <v>1160000000</v>
      </c>
      <c r="B34" s="158" t="s">
        <v>325</v>
      </c>
      <c r="C34" s="151">
        <f>C35</f>
        <v>0</v>
      </c>
      <c r="D34" s="151">
        <f>D35</f>
        <v>0</v>
      </c>
      <c r="E34" s="151" t="e">
        <f t="shared" si="0"/>
        <v>#DIV/0!</v>
      </c>
      <c r="F34" s="151">
        <f t="shared" si="1"/>
        <v>0</v>
      </c>
    </row>
    <row r="35" spans="1:6" ht="15" customHeight="1" hidden="1">
      <c r="A35" s="154">
        <v>1163305010</v>
      </c>
      <c r="B35" s="155" t="s">
        <v>348</v>
      </c>
      <c r="C35" s="156">
        <v>0</v>
      </c>
      <c r="D35" s="157">
        <v>0</v>
      </c>
      <c r="E35" s="156" t="e">
        <f t="shared" si="0"/>
        <v>#DIV/0!</v>
      </c>
      <c r="F35" s="156">
        <f t="shared" si="1"/>
        <v>0</v>
      </c>
    </row>
    <row r="36" spans="1:6" ht="1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aca="true" t="shared" si="2" ref="E36:E52">SUM(D36/C36*100)</f>
        <v>#DIV/0!</v>
      </c>
      <c r="F36" s="151">
        <f aca="true" t="shared" si="3" ref="F36:F52">SUM(D36-C36)</f>
        <v>0</v>
      </c>
    </row>
    <row r="37" spans="1:6" ht="15" customHeight="1">
      <c r="A37" s="154">
        <v>1170105005</v>
      </c>
      <c r="B37" s="155" t="s">
        <v>199</v>
      </c>
      <c r="C37" s="156">
        <v>0</v>
      </c>
      <c r="D37" s="156"/>
      <c r="E37" s="156" t="e">
        <f t="shared" si="2"/>
        <v>#DIV/0!</v>
      </c>
      <c r="F37" s="156">
        <f t="shared" si="3"/>
        <v>0</v>
      </c>
    </row>
    <row r="38" spans="1:6" ht="15" customHeight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2"/>
        <v>#DIV/0!</v>
      </c>
      <c r="F38" s="156">
        <f t="shared" si="3"/>
        <v>0</v>
      </c>
    </row>
    <row r="39" spans="1:6" s="140" customFormat="1" ht="15" customHeight="1">
      <c r="A39" s="149">
        <v>1000000000</v>
      </c>
      <c r="B39" s="150" t="s">
        <v>26</v>
      </c>
      <c r="C39" s="169">
        <f>SUM(C4,C25)</f>
        <v>6409.35</v>
      </c>
      <c r="D39" s="169">
        <f>SUM(D4,D25)</f>
        <v>4125.16008</v>
      </c>
      <c r="E39" s="151">
        <f t="shared" si="2"/>
        <v>64.36159797795408</v>
      </c>
      <c r="F39" s="151">
        <f t="shared" si="3"/>
        <v>-2284.1899200000007</v>
      </c>
    </row>
    <row r="40" spans="1:7" s="140" customFormat="1" ht="20.25" customHeight="1">
      <c r="A40" s="149">
        <v>2000000000</v>
      </c>
      <c r="B40" s="150" t="s">
        <v>201</v>
      </c>
      <c r="C40" s="151">
        <f>SUM(C43+C45+C46+C47+C41+C42+C51)</f>
        <v>27911.014300000003</v>
      </c>
      <c r="D40" s="241">
        <f>D41+D43+D45+D46+D48+D49+D42+D44+D51</f>
        <v>21504.30824</v>
      </c>
      <c r="E40" s="151">
        <f t="shared" si="2"/>
        <v>77.04595758814826</v>
      </c>
      <c r="F40" s="151">
        <f t="shared" si="3"/>
        <v>-6406.706060000004</v>
      </c>
      <c r="G40" s="171"/>
    </row>
    <row r="41" spans="1:6" ht="15.75" customHeight="1">
      <c r="A41" s="163">
        <v>2021500200</v>
      </c>
      <c r="B41" s="164" t="s">
        <v>349</v>
      </c>
      <c r="C41" s="160">
        <v>942.5</v>
      </c>
      <c r="D41" s="173">
        <v>863.962</v>
      </c>
      <c r="E41" s="156">
        <f t="shared" si="2"/>
        <v>91.66705570291776</v>
      </c>
      <c r="F41" s="156">
        <f t="shared" si="3"/>
        <v>-78.53800000000001</v>
      </c>
    </row>
    <row r="42" spans="1:6" ht="15.75" customHeight="1">
      <c r="A42" s="163">
        <v>2020100310</v>
      </c>
      <c r="B42" s="164" t="s">
        <v>205</v>
      </c>
      <c r="C42" s="160"/>
      <c r="D42" s="173">
        <v>0</v>
      </c>
      <c r="E42" s="156" t="e">
        <f t="shared" si="2"/>
        <v>#DIV/0!</v>
      </c>
      <c r="F42" s="156">
        <f t="shared" si="3"/>
        <v>0</v>
      </c>
    </row>
    <row r="43" spans="1:6" ht="15.75" customHeight="1">
      <c r="A43" s="163">
        <v>2022000000</v>
      </c>
      <c r="B43" s="164" t="s">
        <v>206</v>
      </c>
      <c r="C43" s="160">
        <v>13345.46394</v>
      </c>
      <c r="D43" s="157">
        <v>15505.74324</v>
      </c>
      <c r="E43" s="156">
        <f t="shared" si="2"/>
        <v>116.18736755584085</v>
      </c>
      <c r="F43" s="156">
        <f t="shared" si="3"/>
        <v>2160.2793</v>
      </c>
    </row>
    <row r="44" spans="1:6" ht="15.75" hidden="1">
      <c r="A44" s="163">
        <v>2022999910</v>
      </c>
      <c r="B44" s="167" t="s">
        <v>327</v>
      </c>
      <c r="C44" s="160">
        <v>0</v>
      </c>
      <c r="D44" s="157">
        <v>0</v>
      </c>
      <c r="E44" s="156" t="e">
        <f t="shared" si="2"/>
        <v>#DIV/0!</v>
      </c>
      <c r="F44" s="156">
        <f t="shared" si="3"/>
        <v>0</v>
      </c>
    </row>
    <row r="45" spans="1:6" ht="32.25" customHeight="1">
      <c r="A45" s="163">
        <v>2023000000</v>
      </c>
      <c r="B45" s="164" t="s">
        <v>207</v>
      </c>
      <c r="C45" s="160">
        <v>4721.8897</v>
      </c>
      <c r="D45" s="175">
        <v>188.74628</v>
      </c>
      <c r="E45" s="156">
        <f t="shared" si="2"/>
        <v>3.997261520107088</v>
      </c>
      <c r="F45" s="156">
        <f t="shared" si="3"/>
        <v>-4533.143419999999</v>
      </c>
    </row>
    <row r="46" spans="1:6" ht="21.75" customHeight="1">
      <c r="A46" s="163">
        <v>2024000000</v>
      </c>
      <c r="B46" s="164" t="s">
        <v>102</v>
      </c>
      <c r="C46" s="160">
        <v>7026.534</v>
      </c>
      <c r="D46" s="176">
        <v>3068.85672</v>
      </c>
      <c r="E46" s="156">
        <f t="shared" si="2"/>
        <v>43.67525610777661</v>
      </c>
      <c r="F46" s="156">
        <f t="shared" si="3"/>
        <v>-3957.6772799999994</v>
      </c>
    </row>
    <row r="47" spans="1:6" ht="20.25" customHeight="1">
      <c r="A47" s="163">
        <v>2020700000</v>
      </c>
      <c r="B47" s="164" t="s">
        <v>315</v>
      </c>
      <c r="C47" s="160"/>
      <c r="D47" s="176"/>
      <c r="E47" s="156" t="e">
        <f t="shared" si="2"/>
        <v>#DIV/0!</v>
      </c>
      <c r="F47" s="156">
        <f t="shared" si="3"/>
        <v>0</v>
      </c>
    </row>
    <row r="48" spans="1:6" ht="19.5" customHeight="1">
      <c r="A48" s="163">
        <v>2020900000</v>
      </c>
      <c r="B48" s="167" t="s">
        <v>343</v>
      </c>
      <c r="C48" s="160">
        <v>0</v>
      </c>
      <c r="D48" s="176">
        <v>0</v>
      </c>
      <c r="E48" s="156" t="e">
        <f t="shared" si="2"/>
        <v>#DIV/0!</v>
      </c>
      <c r="F48" s="156">
        <f t="shared" si="3"/>
        <v>0</v>
      </c>
    </row>
    <row r="49" spans="1:6" ht="18" customHeight="1">
      <c r="A49" s="154">
        <v>2190500005</v>
      </c>
      <c r="B49" s="159" t="s">
        <v>209</v>
      </c>
      <c r="C49" s="162">
        <v>0</v>
      </c>
      <c r="D49" s="162">
        <v>0</v>
      </c>
      <c r="E49" s="151" t="e">
        <f t="shared" si="2"/>
        <v>#DIV/0!</v>
      </c>
      <c r="F49" s="151">
        <f t="shared" si="3"/>
        <v>0</v>
      </c>
    </row>
    <row r="50" spans="1:6" s="140" customFormat="1" ht="19.5" customHeight="1">
      <c r="A50" s="149">
        <v>3000000000</v>
      </c>
      <c r="B50" s="158" t="s">
        <v>210</v>
      </c>
      <c r="C50" s="261">
        <v>0</v>
      </c>
      <c r="D50" s="162">
        <v>0</v>
      </c>
      <c r="E50" s="151" t="e">
        <f t="shared" si="2"/>
        <v>#DIV/0!</v>
      </c>
      <c r="F50" s="151">
        <f t="shared" si="3"/>
        <v>0</v>
      </c>
    </row>
    <row r="51" spans="1:6" s="140" customFormat="1" ht="17.25" customHeight="1">
      <c r="A51" s="154">
        <v>2070500010</v>
      </c>
      <c r="B51" s="155" t="s">
        <v>350</v>
      </c>
      <c r="C51" s="160">
        <v>1874.62666</v>
      </c>
      <c r="D51" s="157">
        <v>1877</v>
      </c>
      <c r="E51" s="156">
        <f t="shared" si="2"/>
        <v>100.12660334191557</v>
      </c>
      <c r="F51" s="156">
        <f t="shared" si="3"/>
        <v>2.3733400000000984</v>
      </c>
    </row>
    <row r="52" spans="1:7" s="140" customFormat="1" ht="15.75" customHeight="1">
      <c r="A52" s="149"/>
      <c r="B52" s="150" t="s">
        <v>211</v>
      </c>
      <c r="C52" s="289">
        <f>C39+C40</f>
        <v>34320.3643</v>
      </c>
      <c r="D52" s="280">
        <f>D39+D40</f>
        <v>25629.46832</v>
      </c>
      <c r="E52" s="151">
        <f t="shared" si="2"/>
        <v>74.67714531223668</v>
      </c>
      <c r="F52" s="151">
        <f t="shared" si="3"/>
        <v>-8690.895980000001</v>
      </c>
      <c r="G52" s="142"/>
    </row>
    <row r="53" spans="1:6" s="140" customFormat="1" ht="15.75">
      <c r="A53" s="149"/>
      <c r="B53" s="189" t="s">
        <v>316</v>
      </c>
      <c r="C53" s="271">
        <f>C52-C103</f>
        <v>-426.8202300000048</v>
      </c>
      <c r="D53" s="271">
        <f>D52-D103</f>
        <v>54.963550000000396</v>
      </c>
      <c r="E53" s="191"/>
      <c r="F53" s="191"/>
    </row>
    <row r="54" spans="1:6" ht="15.75">
      <c r="A54" s="192"/>
      <c r="B54" s="193"/>
      <c r="C54" s="194"/>
      <c r="D54" s="194"/>
      <c r="E54" s="195"/>
      <c r="F54" s="196"/>
    </row>
    <row r="55" spans="1:6" ht="42.75" customHeight="1">
      <c r="A55" s="197" t="s">
        <v>141</v>
      </c>
      <c r="B55" s="197" t="s">
        <v>213</v>
      </c>
      <c r="C55" s="146" t="s">
        <v>143</v>
      </c>
      <c r="D55" s="147" t="s">
        <v>424</v>
      </c>
      <c r="E55" s="146" t="s">
        <v>144</v>
      </c>
      <c r="F55" s="148" t="s">
        <v>145</v>
      </c>
    </row>
    <row r="56" spans="1:6" ht="15.75">
      <c r="A56" s="264">
        <v>1</v>
      </c>
      <c r="B56" s="197">
        <v>2</v>
      </c>
      <c r="C56" s="200">
        <v>3</v>
      </c>
      <c r="D56" s="200">
        <v>4</v>
      </c>
      <c r="E56" s="200">
        <v>5</v>
      </c>
      <c r="F56" s="200">
        <v>6</v>
      </c>
    </row>
    <row r="57" spans="1:6" s="140" customFormat="1" ht="29.25" customHeight="1">
      <c r="A57" s="201" t="s">
        <v>33</v>
      </c>
      <c r="B57" s="202" t="s">
        <v>214</v>
      </c>
      <c r="C57" s="300">
        <f>C58+C59+C60+C61+C62+C64+C63</f>
        <v>3707.643</v>
      </c>
      <c r="D57" s="282">
        <f>D58+D59+D60+D61+D62+D64+D63</f>
        <v>1978.85242</v>
      </c>
      <c r="E57" s="203">
        <f>SUM(D57/C57*100)</f>
        <v>53.37224808321621</v>
      </c>
      <c r="F57" s="203">
        <f>SUM(D57-C57)</f>
        <v>-1728.79058</v>
      </c>
    </row>
    <row r="58" spans="1:6" s="140" customFormat="1" ht="31.5" hidden="1">
      <c r="A58" s="204" t="s">
        <v>215</v>
      </c>
      <c r="B58" s="205" t="s">
        <v>216</v>
      </c>
      <c r="C58" s="284"/>
      <c r="D58" s="284"/>
      <c r="E58" s="206"/>
      <c r="F58" s="206"/>
    </row>
    <row r="59" spans="1:6" ht="15.75">
      <c r="A59" s="204" t="s">
        <v>217</v>
      </c>
      <c r="B59" s="207" t="s">
        <v>218</v>
      </c>
      <c r="C59" s="284">
        <v>3647.467</v>
      </c>
      <c r="D59" s="284">
        <v>1943.35242</v>
      </c>
      <c r="E59" s="206">
        <f>SUM(D59/C59*100)</f>
        <v>53.27950657264342</v>
      </c>
      <c r="F59" s="206">
        <f aca="true" t="shared" si="4" ref="F59:F71">SUM(D59-C59)</f>
        <v>-1704.1145800000002</v>
      </c>
    </row>
    <row r="60" spans="1:6" ht="0.75" customHeight="1" hidden="1">
      <c r="A60" s="204" t="s">
        <v>219</v>
      </c>
      <c r="B60" s="207" t="s">
        <v>220</v>
      </c>
      <c r="C60" s="284"/>
      <c r="D60" s="284"/>
      <c r="E60" s="206"/>
      <c r="F60" s="206">
        <f t="shared" si="4"/>
        <v>0</v>
      </c>
    </row>
    <row r="61" spans="1:6" ht="31.5" customHeight="1" hidden="1">
      <c r="A61" s="204" t="s">
        <v>221</v>
      </c>
      <c r="B61" s="207" t="s">
        <v>222</v>
      </c>
      <c r="C61" s="284"/>
      <c r="D61" s="284"/>
      <c r="E61" s="206" t="e">
        <f aca="true" t="shared" si="5" ref="E61:E71">SUM(D61/C61*100)</f>
        <v>#DIV/0!</v>
      </c>
      <c r="F61" s="206">
        <f t="shared" si="4"/>
        <v>0</v>
      </c>
    </row>
    <row r="62" spans="1:6" ht="17.25" customHeight="1">
      <c r="A62" s="204" t="s">
        <v>223</v>
      </c>
      <c r="B62" s="207" t="s">
        <v>224</v>
      </c>
      <c r="C62" s="284"/>
      <c r="D62" s="284">
        <v>0</v>
      </c>
      <c r="E62" s="206" t="e">
        <f t="shared" si="5"/>
        <v>#DIV/0!</v>
      </c>
      <c r="F62" s="206">
        <f t="shared" si="4"/>
        <v>0</v>
      </c>
    </row>
    <row r="63" spans="1:6" ht="15.75" customHeight="1">
      <c r="A63" s="204" t="s">
        <v>225</v>
      </c>
      <c r="B63" s="207" t="s">
        <v>226</v>
      </c>
      <c r="C63" s="294">
        <v>5</v>
      </c>
      <c r="D63" s="294">
        <v>0</v>
      </c>
      <c r="E63" s="206">
        <f t="shared" si="5"/>
        <v>0</v>
      </c>
      <c r="F63" s="206">
        <f t="shared" si="4"/>
        <v>-5</v>
      </c>
    </row>
    <row r="64" spans="1:6" ht="18" customHeight="1">
      <c r="A64" s="204" t="s">
        <v>227</v>
      </c>
      <c r="B64" s="207" t="s">
        <v>228</v>
      </c>
      <c r="C64" s="284">
        <v>55.176</v>
      </c>
      <c r="D64" s="284">
        <v>35.5</v>
      </c>
      <c r="E64" s="206">
        <f t="shared" si="5"/>
        <v>64.33956792808468</v>
      </c>
      <c r="F64" s="206">
        <f t="shared" si="4"/>
        <v>-19.676000000000002</v>
      </c>
    </row>
    <row r="65" spans="1:6" s="140" customFormat="1" ht="15.75">
      <c r="A65" s="209" t="s">
        <v>35</v>
      </c>
      <c r="B65" s="210" t="s">
        <v>229</v>
      </c>
      <c r="C65" s="282">
        <f>C66</f>
        <v>206.767</v>
      </c>
      <c r="D65" s="282">
        <f>D66</f>
        <v>131.72208</v>
      </c>
      <c r="E65" s="203">
        <f t="shared" si="5"/>
        <v>63.70556229959327</v>
      </c>
      <c r="F65" s="203">
        <f t="shared" si="4"/>
        <v>-75.04491999999999</v>
      </c>
    </row>
    <row r="66" spans="1:6" ht="15.75">
      <c r="A66" s="211" t="s">
        <v>230</v>
      </c>
      <c r="B66" s="212" t="s">
        <v>231</v>
      </c>
      <c r="C66" s="284">
        <v>206.767</v>
      </c>
      <c r="D66" s="284">
        <v>131.72208</v>
      </c>
      <c r="E66" s="206">
        <f t="shared" si="5"/>
        <v>63.70556229959327</v>
      </c>
      <c r="F66" s="206">
        <f t="shared" si="4"/>
        <v>-75.04491999999999</v>
      </c>
    </row>
    <row r="67" spans="1:6" s="140" customFormat="1" ht="15" customHeight="1">
      <c r="A67" s="201" t="s">
        <v>37</v>
      </c>
      <c r="B67" s="202" t="s">
        <v>232</v>
      </c>
      <c r="C67" s="282">
        <f>C70+C71+C72</f>
        <v>9.378</v>
      </c>
      <c r="D67" s="282">
        <f>D70+D71</f>
        <v>4.7</v>
      </c>
      <c r="E67" s="203">
        <f t="shared" si="5"/>
        <v>50.11729579867775</v>
      </c>
      <c r="F67" s="203">
        <f t="shared" si="4"/>
        <v>-4.678</v>
      </c>
    </row>
    <row r="68" spans="1:6" ht="15.75" hidden="1">
      <c r="A68" s="204" t="s">
        <v>233</v>
      </c>
      <c r="B68" s="207" t="s">
        <v>234</v>
      </c>
      <c r="C68" s="284"/>
      <c r="D68" s="284"/>
      <c r="E68" s="203" t="e">
        <f t="shared" si="5"/>
        <v>#DIV/0!</v>
      </c>
      <c r="F68" s="203">
        <f t="shared" si="4"/>
        <v>0</v>
      </c>
    </row>
    <row r="69" spans="1:6" ht="15.75" hidden="1">
      <c r="A69" s="213" t="s">
        <v>235</v>
      </c>
      <c r="B69" s="207" t="s">
        <v>317</v>
      </c>
      <c r="C69" s="284"/>
      <c r="D69" s="284"/>
      <c r="E69" s="203" t="e">
        <f t="shared" si="5"/>
        <v>#DIV/0!</v>
      </c>
      <c r="F69" s="203">
        <f t="shared" si="4"/>
        <v>0</v>
      </c>
    </row>
    <row r="70" spans="1:6" ht="17.25" customHeight="1">
      <c r="A70" s="214" t="s">
        <v>237</v>
      </c>
      <c r="B70" s="215" t="s">
        <v>238</v>
      </c>
      <c r="C70" s="301"/>
      <c r="D70" s="284">
        <v>0</v>
      </c>
      <c r="E70" s="203" t="e">
        <f t="shared" si="5"/>
        <v>#DIV/0!</v>
      </c>
      <c r="F70" s="203">
        <f t="shared" si="4"/>
        <v>0</v>
      </c>
    </row>
    <row r="71" spans="1:6" ht="15.75" customHeight="1">
      <c r="A71" s="214" t="s">
        <v>239</v>
      </c>
      <c r="B71" s="215" t="s">
        <v>240</v>
      </c>
      <c r="C71" s="284">
        <v>7.378</v>
      </c>
      <c r="D71" s="284">
        <v>4.7</v>
      </c>
      <c r="E71" s="203">
        <f t="shared" si="5"/>
        <v>63.702900515044725</v>
      </c>
      <c r="F71" s="203">
        <f t="shared" si="4"/>
        <v>-2.678</v>
      </c>
    </row>
    <row r="72" spans="1:6" ht="15.75" customHeight="1">
      <c r="A72" s="214" t="s">
        <v>241</v>
      </c>
      <c r="B72" s="215" t="s">
        <v>351</v>
      </c>
      <c r="C72" s="284">
        <v>2</v>
      </c>
      <c r="D72" s="284"/>
      <c r="E72" s="203"/>
      <c r="F72" s="203"/>
    </row>
    <row r="73" spans="1:6" s="140" customFormat="1" ht="17.25" customHeight="1">
      <c r="A73" s="201" t="s">
        <v>39</v>
      </c>
      <c r="B73" s="202" t="s">
        <v>243</v>
      </c>
      <c r="C73" s="252">
        <f>SUM(C74:C77)</f>
        <v>3198.75916</v>
      </c>
      <c r="D73" s="252">
        <f>SUM(D74:D77)</f>
        <v>2054.76007</v>
      </c>
      <c r="E73" s="203">
        <f aca="true" t="shared" si="6" ref="E73:E103">SUM(D73/C73*100)</f>
        <v>64.2361605617098</v>
      </c>
      <c r="F73" s="203">
        <f aca="true" t="shared" si="7" ref="F73:F92">SUM(D73-C73)</f>
        <v>-1143.9990900000003</v>
      </c>
    </row>
    <row r="74" spans="1:6" ht="15" customHeight="1">
      <c r="A74" s="204" t="s">
        <v>246</v>
      </c>
      <c r="B74" s="207" t="s">
        <v>319</v>
      </c>
      <c r="C74" s="285"/>
      <c r="D74" s="284">
        <v>0</v>
      </c>
      <c r="E74" s="206" t="e">
        <f t="shared" si="6"/>
        <v>#DIV/0!</v>
      </c>
      <c r="F74" s="206">
        <f t="shared" si="7"/>
        <v>0</v>
      </c>
    </row>
    <row r="75" spans="1:7" s="140" customFormat="1" ht="15" customHeight="1">
      <c r="A75" s="204" t="s">
        <v>248</v>
      </c>
      <c r="B75" s="207" t="s">
        <v>320</v>
      </c>
      <c r="C75" s="285"/>
      <c r="D75" s="284">
        <v>0</v>
      </c>
      <c r="E75" s="206" t="e">
        <f t="shared" si="6"/>
        <v>#DIV/0!</v>
      </c>
      <c r="F75" s="206">
        <f t="shared" si="7"/>
        <v>0</v>
      </c>
      <c r="G75" s="143"/>
    </row>
    <row r="76" spans="1:6" ht="15.75">
      <c r="A76" s="204" t="s">
        <v>250</v>
      </c>
      <c r="B76" s="207" t="s">
        <v>251</v>
      </c>
      <c r="C76" s="285">
        <v>2768.20516</v>
      </c>
      <c r="D76" s="284">
        <v>1975.5824</v>
      </c>
      <c r="E76" s="206">
        <f t="shared" si="6"/>
        <v>71.36690692390734</v>
      </c>
      <c r="F76" s="206">
        <f t="shared" si="7"/>
        <v>-792.62276</v>
      </c>
    </row>
    <row r="77" spans="1:6" ht="15.75">
      <c r="A77" s="204" t="s">
        <v>252</v>
      </c>
      <c r="B77" s="207" t="s">
        <v>253</v>
      </c>
      <c r="C77" s="285">
        <v>430.554</v>
      </c>
      <c r="D77" s="284">
        <v>79.17767</v>
      </c>
      <c r="E77" s="206">
        <f t="shared" si="6"/>
        <v>18.389718827371247</v>
      </c>
      <c r="F77" s="206">
        <f t="shared" si="7"/>
        <v>-351.37632999999994</v>
      </c>
    </row>
    <row r="78" spans="1:6" s="140" customFormat="1" ht="17.25" customHeight="1">
      <c r="A78" s="201" t="s">
        <v>41</v>
      </c>
      <c r="B78" s="202" t="s">
        <v>254</v>
      </c>
      <c r="C78" s="282">
        <f>SUM(C79:C82)</f>
        <v>26367.2053</v>
      </c>
      <c r="D78" s="282">
        <f>SUM(D79:D82)</f>
        <v>21184.52916</v>
      </c>
      <c r="E78" s="203">
        <f t="shared" si="6"/>
        <v>80.34423413087316</v>
      </c>
      <c r="F78" s="203">
        <f t="shared" si="7"/>
        <v>-5182.676140000003</v>
      </c>
    </row>
    <row r="79" spans="1:6" ht="22.5" customHeight="1">
      <c r="A79" s="204" t="s">
        <v>255</v>
      </c>
      <c r="B79" s="218" t="s">
        <v>256</v>
      </c>
      <c r="C79" s="284">
        <v>4515.1227</v>
      </c>
      <c r="D79" s="284">
        <v>0</v>
      </c>
      <c r="E79" s="206">
        <f t="shared" si="6"/>
        <v>0</v>
      </c>
      <c r="F79" s="206">
        <f t="shared" si="7"/>
        <v>-4515.1227</v>
      </c>
    </row>
    <row r="80" spans="1:6" ht="19.5" customHeight="1">
      <c r="A80" s="204" t="s">
        <v>257</v>
      </c>
      <c r="B80" s="218" t="s">
        <v>258</v>
      </c>
      <c r="C80" s="284">
        <v>20819.61778</v>
      </c>
      <c r="D80" s="284">
        <v>20283.41981</v>
      </c>
      <c r="E80" s="206">
        <f t="shared" si="6"/>
        <v>97.42455420812244</v>
      </c>
      <c r="F80" s="206">
        <f t="shared" si="7"/>
        <v>-536.1979700000011</v>
      </c>
    </row>
    <row r="81" spans="1:6" ht="18" customHeight="1">
      <c r="A81" s="204" t="s">
        <v>259</v>
      </c>
      <c r="B81" s="207" t="s">
        <v>260</v>
      </c>
      <c r="C81" s="284">
        <v>1032.46482</v>
      </c>
      <c r="D81" s="284">
        <v>901.10935</v>
      </c>
      <c r="E81" s="206">
        <f t="shared" si="6"/>
        <v>87.27748709152144</v>
      </c>
      <c r="F81" s="206">
        <f t="shared" si="7"/>
        <v>-131.35546999999997</v>
      </c>
    </row>
    <row r="82" spans="1:6" ht="21.75" customHeight="1">
      <c r="A82" s="204" t="s">
        <v>330</v>
      </c>
      <c r="B82" s="207" t="s">
        <v>331</v>
      </c>
      <c r="C82" s="284">
        <v>0</v>
      </c>
      <c r="D82" s="284">
        <v>0</v>
      </c>
      <c r="E82" s="206" t="e">
        <f t="shared" si="6"/>
        <v>#DIV/0!</v>
      </c>
      <c r="F82" s="206">
        <f t="shared" si="7"/>
        <v>0</v>
      </c>
    </row>
    <row r="83" spans="1:6" s="140" customFormat="1" ht="20.25" customHeight="1">
      <c r="A83" s="201" t="s">
        <v>47</v>
      </c>
      <c r="B83" s="202" t="s">
        <v>275</v>
      </c>
      <c r="C83" s="282">
        <f>C84+C85</f>
        <v>1222.43207</v>
      </c>
      <c r="D83" s="282">
        <f>D84+D85</f>
        <v>204.94104</v>
      </c>
      <c r="E83" s="203">
        <f t="shared" si="6"/>
        <v>16.7650248246514</v>
      </c>
      <c r="F83" s="203">
        <f t="shared" si="7"/>
        <v>-1017.4910300000001</v>
      </c>
    </row>
    <row r="84" spans="1:6" ht="18" customHeight="1">
      <c r="A84" s="204" t="s">
        <v>276</v>
      </c>
      <c r="B84" s="207" t="s">
        <v>277</v>
      </c>
      <c r="C84" s="284">
        <v>1222.43207</v>
      </c>
      <c r="D84" s="284">
        <v>204.94104</v>
      </c>
      <c r="E84" s="206">
        <f t="shared" si="6"/>
        <v>16.7650248246514</v>
      </c>
      <c r="F84" s="206">
        <f t="shared" si="7"/>
        <v>-1017.4910300000001</v>
      </c>
    </row>
    <row r="85" spans="1:6" ht="15.75" hidden="1">
      <c r="A85" s="204" t="s">
        <v>278</v>
      </c>
      <c r="B85" s="207" t="s">
        <v>279</v>
      </c>
      <c r="C85" s="284">
        <v>0</v>
      </c>
      <c r="D85" s="284">
        <v>0</v>
      </c>
      <c r="E85" s="206" t="e">
        <f t="shared" si="6"/>
        <v>#DIV/0!</v>
      </c>
      <c r="F85" s="206">
        <f t="shared" si="7"/>
        <v>0</v>
      </c>
    </row>
    <row r="86" spans="1:6" s="140" customFormat="1" ht="15.75" hidden="1">
      <c r="A86" s="219">
        <v>1000</v>
      </c>
      <c r="B86" s="202" t="s">
        <v>280</v>
      </c>
      <c r="C86" s="282">
        <f>SUM(C87:C90)</f>
        <v>0</v>
      </c>
      <c r="D86" s="282">
        <f>SUM(D87:D90)</f>
        <v>0</v>
      </c>
      <c r="E86" s="206" t="e">
        <f t="shared" si="6"/>
        <v>#DIV/0!</v>
      </c>
      <c r="F86" s="206">
        <f t="shared" si="7"/>
        <v>0</v>
      </c>
    </row>
    <row r="87" spans="1:6" ht="15.75" hidden="1">
      <c r="A87" s="220">
        <v>1001</v>
      </c>
      <c r="B87" s="221" t="s">
        <v>281</v>
      </c>
      <c r="C87" s="284"/>
      <c r="D87" s="284"/>
      <c r="E87" s="206" t="e">
        <f t="shared" si="6"/>
        <v>#DIV/0!</v>
      </c>
      <c r="F87" s="206">
        <f t="shared" si="7"/>
        <v>0</v>
      </c>
    </row>
    <row r="88" spans="1:6" ht="17.25" customHeight="1" hidden="1">
      <c r="A88" s="220">
        <v>1003</v>
      </c>
      <c r="B88" s="221" t="s">
        <v>282</v>
      </c>
      <c r="C88" s="284">
        <v>0</v>
      </c>
      <c r="D88" s="284">
        <v>0</v>
      </c>
      <c r="E88" s="206" t="e">
        <f t="shared" si="6"/>
        <v>#DIV/0!</v>
      </c>
      <c r="F88" s="206">
        <f t="shared" si="7"/>
        <v>0</v>
      </c>
    </row>
    <row r="89" spans="1:6" ht="15" customHeight="1" hidden="1">
      <c r="A89" s="220">
        <v>1004</v>
      </c>
      <c r="B89" s="221" t="s">
        <v>283</v>
      </c>
      <c r="C89" s="284">
        <v>0</v>
      </c>
      <c r="D89" s="286">
        <v>0</v>
      </c>
      <c r="E89" s="206" t="e">
        <f t="shared" si="6"/>
        <v>#DIV/0!</v>
      </c>
      <c r="F89" s="206">
        <f t="shared" si="7"/>
        <v>0</v>
      </c>
    </row>
    <row r="90" spans="1:6" ht="18" customHeight="1" hidden="1">
      <c r="A90" s="204" t="s">
        <v>284</v>
      </c>
      <c r="B90" s="207" t="s">
        <v>285</v>
      </c>
      <c r="C90" s="284">
        <v>0</v>
      </c>
      <c r="D90" s="284">
        <v>0</v>
      </c>
      <c r="E90" s="206" t="e">
        <f t="shared" si="6"/>
        <v>#DIV/0!</v>
      </c>
      <c r="F90" s="206">
        <f t="shared" si="7"/>
        <v>0</v>
      </c>
    </row>
    <row r="91" spans="1:6" ht="18.75" customHeight="1" hidden="1">
      <c r="A91" s="219">
        <v>1000</v>
      </c>
      <c r="B91" s="202" t="s">
        <v>280</v>
      </c>
      <c r="C91" s="282">
        <f>SUM(C92)</f>
        <v>0</v>
      </c>
      <c r="D91" s="282">
        <f>SUM(D92)</f>
        <v>0</v>
      </c>
      <c r="E91" s="203" t="e">
        <f t="shared" si="6"/>
        <v>#DIV/0!</v>
      </c>
      <c r="F91" s="203">
        <f t="shared" si="7"/>
        <v>0</v>
      </c>
    </row>
    <row r="92" spans="1:6" ht="20.25" customHeight="1" hidden="1">
      <c r="A92" s="220">
        <v>1006</v>
      </c>
      <c r="B92" s="221" t="s">
        <v>281</v>
      </c>
      <c r="C92" s="284">
        <v>0</v>
      </c>
      <c r="D92" s="284">
        <v>0</v>
      </c>
      <c r="E92" s="206" t="e">
        <f t="shared" si="6"/>
        <v>#DIV/0!</v>
      </c>
      <c r="F92" s="206">
        <f t="shared" si="7"/>
        <v>0</v>
      </c>
    </row>
    <row r="93" spans="1:6" ht="16.5" customHeight="1">
      <c r="A93" s="220">
        <v>1100</v>
      </c>
      <c r="B93" s="223" t="s">
        <v>286</v>
      </c>
      <c r="C93" s="282">
        <f>C94+C95+C96+C97+C98</f>
        <v>35</v>
      </c>
      <c r="D93" s="282">
        <f>D94+D95+D96+D97+D98</f>
        <v>15</v>
      </c>
      <c r="E93" s="206">
        <f t="shared" si="6"/>
        <v>42.857142857142854</v>
      </c>
      <c r="F93" s="191">
        <f>F94+F95+F96+F97+F98</f>
        <v>-20</v>
      </c>
    </row>
    <row r="94" spans="1:6" ht="18.75" customHeight="1">
      <c r="A94" s="220">
        <v>1101</v>
      </c>
      <c r="B94" s="221" t="s">
        <v>288</v>
      </c>
      <c r="C94" s="284">
        <v>35</v>
      </c>
      <c r="D94" s="284">
        <v>15</v>
      </c>
      <c r="E94" s="206">
        <f t="shared" si="6"/>
        <v>42.857142857142854</v>
      </c>
      <c r="F94" s="206">
        <f>SUM(D94-C94)</f>
        <v>-20</v>
      </c>
    </row>
    <row r="95" spans="1:6" ht="0.75" customHeight="1" hidden="1">
      <c r="A95" s="204" t="s">
        <v>284</v>
      </c>
      <c r="B95" s="207" t="s">
        <v>285</v>
      </c>
      <c r="C95" s="284"/>
      <c r="D95" s="284"/>
      <c r="E95" s="206" t="e">
        <f t="shared" si="6"/>
        <v>#DIV/0!</v>
      </c>
      <c r="F95" s="206">
        <f>SUM(D95-C95)</f>
        <v>0</v>
      </c>
    </row>
    <row r="96" spans="1:6" ht="18" customHeight="1" hidden="1">
      <c r="A96" s="204" t="s">
        <v>291</v>
      </c>
      <c r="B96" s="207" t="s">
        <v>292</v>
      </c>
      <c r="C96" s="284"/>
      <c r="D96" s="284"/>
      <c r="E96" s="206" t="e">
        <f t="shared" si="6"/>
        <v>#DIV/0!</v>
      </c>
      <c r="F96" s="206"/>
    </row>
    <row r="97" spans="1:6" ht="17.25" customHeight="1" hidden="1">
      <c r="A97" s="204" t="s">
        <v>293</v>
      </c>
      <c r="B97" s="207" t="s">
        <v>294</v>
      </c>
      <c r="C97" s="284"/>
      <c r="D97" s="284"/>
      <c r="E97" s="206" t="e">
        <f t="shared" si="6"/>
        <v>#DIV/0!</v>
      </c>
      <c r="F97" s="206"/>
    </row>
    <row r="98" spans="1:6" ht="18" customHeight="1" hidden="1">
      <c r="A98" s="204" t="s">
        <v>295</v>
      </c>
      <c r="B98" s="207" t="s">
        <v>296</v>
      </c>
      <c r="C98" s="284"/>
      <c r="D98" s="284"/>
      <c r="E98" s="206" t="e">
        <f t="shared" si="6"/>
        <v>#DIV/0!</v>
      </c>
      <c r="F98" s="206"/>
    </row>
    <row r="99" spans="1:6" s="140" customFormat="1" ht="57.75" customHeight="1" hidden="1">
      <c r="A99" s="219">
        <v>1400</v>
      </c>
      <c r="B99" s="223" t="s">
        <v>303</v>
      </c>
      <c r="C99" s="252">
        <f>C100+C101+C102</f>
        <v>0</v>
      </c>
      <c r="D99" s="252">
        <f>SUM(D100:D102)</f>
        <v>0</v>
      </c>
      <c r="E99" s="203" t="e">
        <f t="shared" si="6"/>
        <v>#DIV/0!</v>
      </c>
      <c r="F99" s="203">
        <f>SUM(D99-C99)</f>
        <v>0</v>
      </c>
    </row>
    <row r="100" spans="1:6" ht="1.5" customHeight="1" hidden="1">
      <c r="A100" s="220">
        <v>1401</v>
      </c>
      <c r="B100" s="221" t="s">
        <v>304</v>
      </c>
      <c r="C100" s="285"/>
      <c r="D100" s="284"/>
      <c r="E100" s="206" t="e">
        <f t="shared" si="6"/>
        <v>#DIV/0!</v>
      </c>
      <c r="F100" s="206">
        <f>SUM(D100-C100)</f>
        <v>0</v>
      </c>
    </row>
    <row r="101" spans="1:6" ht="16.5" customHeight="1" hidden="1">
      <c r="A101" s="220">
        <v>1402</v>
      </c>
      <c r="B101" s="221" t="s">
        <v>305</v>
      </c>
      <c r="C101" s="285"/>
      <c r="D101" s="284"/>
      <c r="E101" s="206" t="e">
        <f t="shared" si="6"/>
        <v>#DIV/0!</v>
      </c>
      <c r="F101" s="206">
        <f>SUM(D101-C101)</f>
        <v>0</v>
      </c>
    </row>
    <row r="102" spans="1:6" ht="20.25" customHeight="1" hidden="1">
      <c r="A102" s="220">
        <v>1403</v>
      </c>
      <c r="B102" s="221" t="s">
        <v>306</v>
      </c>
      <c r="C102" s="285"/>
      <c r="D102" s="284"/>
      <c r="E102" s="206" t="e">
        <f t="shared" si="6"/>
        <v>#DIV/0!</v>
      </c>
      <c r="F102" s="206">
        <f>SUM(D102-C102)</f>
        <v>0</v>
      </c>
    </row>
    <row r="103" spans="1:6" s="140" customFormat="1" ht="14.25" customHeight="1">
      <c r="A103" s="219"/>
      <c r="B103" s="224" t="s">
        <v>307</v>
      </c>
      <c r="C103" s="279">
        <f>C57+C65+C67+C73+C78+C83+C86+C93+C99+C91</f>
        <v>34747.184530000006</v>
      </c>
      <c r="D103" s="279">
        <f>D57+D65+D67+D73+D78+D83+D86+D93+D99+D91</f>
        <v>25574.50477</v>
      </c>
      <c r="E103" s="203">
        <f t="shared" si="6"/>
        <v>73.60166043933573</v>
      </c>
      <c r="F103" s="203">
        <f>SUM(D103-C103)</f>
        <v>-9172.679760000006</v>
      </c>
    </row>
    <row r="104" ht="15.75">
      <c r="D104" s="297"/>
    </row>
    <row r="105" spans="1:4" s="144" customFormat="1" ht="12.75">
      <c r="A105" s="229" t="s">
        <v>308</v>
      </c>
      <c r="B105" s="229"/>
      <c r="C105" s="298"/>
      <c r="D105" s="255"/>
    </row>
    <row r="106" spans="1:3" s="144" customFormat="1" ht="18.75" customHeight="1">
      <c r="A106" s="231" t="s">
        <v>309</v>
      </c>
      <c r="B106" s="231"/>
      <c r="C106" s="144" t="s">
        <v>310</v>
      </c>
    </row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morgau_fin2</cp:lastModifiedBy>
  <cp:lastPrinted>2021-12-03T11:49:42Z</cp:lastPrinted>
  <dcterms:modified xsi:type="dcterms:W3CDTF">2021-12-06T06:23:08Z</dcterms:modified>
  <cp:category/>
  <cp:version/>
  <cp:contentType/>
  <cp:contentStatus/>
</cp:coreProperties>
</file>