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5" activeTab="8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_xlnm.Print_Area" localSheetId="5">'Иль'!$A$1:$F$105</definedName>
    <definedName name="_xlnm.Print_Area" localSheetId="0">'Консол'!$A$1:$K$50</definedName>
    <definedName name="_xlnm.Print_Area" localSheetId="7">'Мор'!$A$1:$F$102</definedName>
    <definedName name="_xlnm.Print_Area" localSheetId="1">'Справка'!$A$1:$EY$31</definedName>
    <definedName name="_xlnm.Print_Area" localSheetId="11">'Тор'!$A$1:$F$101</definedName>
    <definedName name="_xlnm.Print_Area" localSheetId="15">'Юнг'!$A$1:$F$100</definedName>
    <definedName name="_xlnm.Print_Area" localSheetId="17">'Яра'!$A$1:$F$102</definedName>
    <definedName name="Z_1718F1EE_9F48_4DBE_9531_3B70F9C4A5DD_.wvu.Cols" localSheetId="1">('Справка'!$AV:$AX,'Справка'!$BB:$BD,'Справка'!$BH:$BP,'Справка'!$BT:$BY,'Справка'!$CX:$DF)</definedName>
    <definedName name="Z_1718F1EE_9F48_4DBE_9531_3B70F9C4A5DD_.wvu.PrintArea" localSheetId="5">'Иль'!$A$1:$F$105</definedName>
    <definedName name="Z_1718F1EE_9F48_4DBE_9531_3B70F9C4A5DD_.wvu.PrintArea" localSheetId="0">'Консол'!$A$1:$K$50</definedName>
    <definedName name="Z_1718F1EE_9F48_4DBE_9531_3B70F9C4A5DD_.wvu.PrintArea" localSheetId="7">'Мор'!$A$1:$F$102</definedName>
    <definedName name="Z_1718F1EE_9F48_4DBE_9531_3B70F9C4A5DD_.wvu.PrintArea" localSheetId="1">'Справка'!$A$1:$EY$31</definedName>
    <definedName name="Z_1718F1EE_9F48_4DBE_9531_3B70F9C4A5DD_.wvu.PrintArea" localSheetId="11">'Тор'!$A$1:$F$101</definedName>
    <definedName name="Z_1718F1EE_9F48_4DBE_9531_3B70F9C4A5DD_.wvu.PrintArea" localSheetId="15">'Юнг'!$A$1:$F$100</definedName>
    <definedName name="Z_1718F1EE_9F48_4DBE_9531_3B70F9C4A5DD_.wvu.PrintArea" localSheetId="17">'Яра'!$A$1:$F$102</definedName>
    <definedName name="Z_1718F1EE_9F48_4DBE_9531_3B70F9C4A5DD_.wvu.Rows" localSheetId="3">('Але'!$19:$24,'Але'!$28:$36,'Але'!$46:$46,'Але'!$53:$53,'Але'!$55:$57,'Але'!$63:$64,'Але'!$70:$70,'Але'!$72:$72,'Але'!$74:$75,'Але'!$79:$83,'Але'!$86:$93,'Але'!$142:$142)</definedName>
    <definedName name="Z_1718F1EE_9F48_4DBE_9531_3B70F9C4A5DD_.wvu.Rows" localSheetId="5">('Иль'!$19:$24,'Иль'!$30:$40,'Иль'!$46:$46,'Иль'!$48:$51,'Иль'!$59:$59,'Иль'!$61:$63,'Иль'!$69:$70,'Иль'!$79:$80,'Иль'!$82:$82,'Иль'!$87:$91,'Иль'!$94:$101,'Иль'!$144:$144)</definedName>
    <definedName name="Z_1718F1EE_9F48_4DBE_9531_3B70F9C4A5DD_.wvu.Rows" localSheetId="6">('Кад'!$19:$24,'Кад'!$29:$36,'Кад'!$39:$39,'Кад'!$43:$43,'Кад'!$45:$45,'Кад'!$47:$50,'Кад'!$57:$57,'Кад'!$59:$61,'Кад'!$67:$68,'Кад'!$78:$79,'Кад'!$83:$87,'Кад'!$90:$97,'Кад'!$143:$143)</definedName>
    <definedName name="Z_1718F1EE_9F48_4DBE_9531_3B70F9C4A5DD_.wvu.Rows" localSheetId="0">('Консол'!$22:$22,'Консол'!$43:$45)</definedName>
    <definedName name="Z_1718F1EE_9F48_4DBE_9531_3B70F9C4A5DD_.wvu.Rows" localSheetId="19">'Лист1'!$82:$84</definedName>
    <definedName name="Z_1718F1EE_9F48_4DBE_9531_3B70F9C4A5DD_.wvu.Rows" localSheetId="7">('Мор'!$17:$24,'Мор'!$27:$27,'Мор'!$31:$36,'Мор'!$38:$38,'Мор'!$45:$45,'Мор'!$47:$48,'Мор'!$50:$51,'Мор'!$58:$58,'Мор'!$60:$62,'Мор'!$65:$66,'Мор'!$68:$69,'Мор'!$79:$80,'Мор'!$84:$89,'Мор'!$92:$98,'Мор'!$143:$143)</definedName>
    <definedName name="Z_1718F1EE_9F48_4DBE_9531_3B70F9C4A5DD_.wvu.Rows" localSheetId="8">('Мос'!$19:$24,'Мос'!$29:$35,'Мос'!$44:$44,'Мос'!$46:$50,'Мос'!$58:$58,'Мос'!$60:$62,'Мос'!$68:$69,'Мос'!$79:$80,'Мос'!$82:$82,'Мос'!$85:$92,'Мос'!$95:$102,'Мос'!$143:$143)</definedName>
    <definedName name="Z_1718F1EE_9F48_4DBE_9531_3B70F9C4A5DD_.wvu.Rows" localSheetId="9">('Ори'!$19:$24,'Ори'!$31:$35,'Ори'!$44:$44,'Ори'!$46:$46,'Ори'!$48:$50,'Ори'!$57:$57,'Ори'!$59:$61,'Ори'!$67:$68,'Ори'!$78:$79,'Ори'!$81:$81,'Ори'!$84:$88,'Ори'!$91:$98,'Ори'!$142:$142)</definedName>
    <definedName name="Z_1718F1EE_9F48_4DBE_9531_3B70F9C4A5DD_.wvu.Rows" localSheetId="2">('район'!$18:$19,'район'!$21:$21,'район'!$26:$26,'район'!$28:$32,'район'!$36:$36,'район'!$39:$39,'район'!$51:$52,'район'!$64:$64,'район'!$71:$71,'район'!$88:$88,'район'!$95:$95,'район'!$123:$125,'район'!$128:$129)</definedName>
    <definedName name="Z_1718F1EE_9F48_4DBE_9531_3B70F9C4A5DD_.wvu.Rows" localSheetId="4">('Сун'!$19:$24,'Сун'!$34:$39,'Сун'!$43:$43,'Сун'!$45:$45,'Сун'!$47:$47,'Сун'!$49:$51,'Сун'!$58:$58,'Сун'!$60:$62,'Сун'!$68:$69,'Сун'!$79:$80,'Сун'!$82:$82,'Сун'!$85:$90,'Сун'!$93:$100,'Сун'!$142:$142)</definedName>
    <definedName name="Z_1718F1EE_9F48_4DBE_9531_3B70F9C4A5DD_.wvu.Rows" localSheetId="10">('Сят'!$19:$24,'Сят'!$31:$35,'Сят'!$38:$38,'Сят'!$45:$48,'Сят'!$57:$57,'Сят'!$59:$61,'Сят'!$67:$68,'Сят'!$78:$79,'Сят'!$83:$87,'Сят'!$90:$97,'Сят'!$143:$143)</definedName>
    <definedName name="Z_1718F1EE_9F48_4DBE_9531_3B70F9C4A5DD_.wvu.Rows" localSheetId="11">('Тор'!$19:$24,'Тор'!$32:$36,'Тор'!$39:$39,'Тор'!$46:$47,'Тор'!$50:$50,'Тор'!$57:$57,'Тор'!$59:$61,'Тор'!$67:$68,'Тор'!$75:$75,'Тор'!$79:$80,'Тор'!$84:$95,'Тор'!$142:$142)</definedName>
    <definedName name="Z_1718F1EE_9F48_4DBE_9531_3B70F9C4A5DD_.wvu.Rows" localSheetId="12">('Хор'!$19:$24,'Хор'!$28:$38,'Хор'!$42:$42,'Хор'!$46:$46,'Хор'!$48:$50,'Хор'!$57:$57,'Хор'!$59:$61,'Хор'!$67:$68,'Хор'!$74:$74,'Хор'!$78:$79,'Хор'!$83:$87,'Хор'!$90:$97,'Хор'!$144:$144)</definedName>
    <definedName name="Z_1718F1EE_9F48_4DBE_9531_3B70F9C4A5DD_.wvu.Rows" localSheetId="13">('Чум'!$19:$24,'Чум'!$31:$39,'Чум'!$46:$49,'Чум'!$57:$57,'Чум'!$59:$61,'Чум'!$67:$68,'Чум'!$78:$79,'Чум'!$83:$87,'Чум'!$90:$97,'Чум'!$142:$142)</definedName>
    <definedName name="Z_1718F1EE_9F48_4DBE_9531_3B70F9C4A5DD_.wvu.Rows" localSheetId="14">('Шать'!$19:$19,'Шать'!$22:$25,'Шать'!$46:$49,'Шать'!$57:$57,'Шать'!$59:$61,'Шать'!$67:$68,'Шать'!$78:$79,'Шать'!$83:$87,'Шать'!$90:$97,'Шать'!$142:$142)</definedName>
    <definedName name="Z_1718F1EE_9F48_4DBE_9531_3B70F9C4A5DD_.wvu.Rows" localSheetId="15">('Юнг'!$19:$24,'Юнг'!$31:$35,'Юнг'!$38:$38,'Юнг'!$45:$47,'Юнг'!$49:$49,'Юнг'!$56:$56,'Юнг'!$58:$60,'Юнг'!$66:$68,'Юнг'!$77:$78,'Юнг'!$82:$86,'Юнг'!$89:$96,'Юнг'!$142:$142)</definedName>
    <definedName name="Z_1718F1EE_9F48_4DBE_9531_3B70F9C4A5DD_.wvu.Rows" localSheetId="16">('Юсь'!$19:$24,'Юсь'!$31:$33,'Юсь'!$38:$38,'Юсь'!$45:$51,'Юсь'!$59:$59,'Юсь'!$61:$63,'Юсь'!$69:$70,'Юсь'!$80:$81,'Юсь'!$85:$89,'Юсь'!$92:$99,'Юсь'!$143:$143)</definedName>
    <definedName name="Z_1718F1EE_9F48_4DBE_9531_3B70F9C4A5DD_.wvu.Rows" localSheetId="17">('Яра'!$19:$24,'Яра'!$30:$39,'Яра'!$46:$50,'Яра'!$58:$58,'Яра'!$60:$62,'Яра'!$68:$69,'Яра'!$79:$80,'Яра'!$84:$88,'Яра'!$91:$98,'Яра'!$143:$143)</definedName>
    <definedName name="Z_1718F1EE_9F48_4DBE_9531_3B70F9C4A5DD_.wvu.Rows" localSheetId="18">('Яро'!$19:$24,'Яро'!$28:$33,'Яро'!$44:$45,'Яро'!$47:$48,'Яро'!$55:$55,'Яро'!$57:$58,'Яро'!$65:$66,'Яро'!$76:$77,'Яро'!$81:$85,'Яро'!$88:$95)</definedName>
    <definedName name="Z_1A52382B_3765_4E8C_903F_6B8919B7242E_.wvu.Cols" localSheetId="1">('Справка'!$AV:$AX,'Справка'!$BB:$BD,'Справка'!$BH:$BM,'Справка'!$BT:$BY,'Справка'!$CX:$DF)</definedName>
    <definedName name="Z_1A52382B_3765_4E8C_903F_6B8919B7242E_.wvu.PrintArea" localSheetId="5">'Иль'!$A$1:$F$105</definedName>
    <definedName name="Z_1A52382B_3765_4E8C_903F_6B8919B7242E_.wvu.PrintArea" localSheetId="0">'Консол'!$A$1:$K$50</definedName>
    <definedName name="Z_1A52382B_3765_4E8C_903F_6B8919B7242E_.wvu.PrintArea" localSheetId="7">'Мор'!$A$1:$F$102</definedName>
    <definedName name="Z_1A52382B_3765_4E8C_903F_6B8919B7242E_.wvu.PrintArea" localSheetId="1">'Справка'!$A$1:$EY$31</definedName>
    <definedName name="Z_1A52382B_3765_4E8C_903F_6B8919B7242E_.wvu.PrintArea" localSheetId="11">'Тор'!$A$1:$F$101</definedName>
    <definedName name="Z_1A52382B_3765_4E8C_903F_6B8919B7242E_.wvu.PrintArea" localSheetId="12">'Хор'!$A$1:$F$101</definedName>
    <definedName name="Z_1A52382B_3765_4E8C_903F_6B8919B7242E_.wvu.PrintArea" localSheetId="13">'Чум'!$A$1:$F$101</definedName>
    <definedName name="Z_1A52382B_3765_4E8C_903F_6B8919B7242E_.wvu.PrintArea" localSheetId="14">'Шать'!$A$1:$F$101</definedName>
    <definedName name="Z_1A52382B_3765_4E8C_903F_6B8919B7242E_.wvu.PrintArea" localSheetId="15">'Юнг'!$A$1:$F$100</definedName>
    <definedName name="Z_1A52382B_3765_4E8C_903F_6B8919B7242E_.wvu.PrintArea" localSheetId="17">'Яра'!$A$1:$F$102</definedName>
    <definedName name="Z_1A52382B_3765_4E8C_903F_6B8919B7242E_.wvu.Rows" localSheetId="3">('Але'!$19:$24,'Але'!$44:$44,'Але'!$46:$46,'Але'!$53:$53,'Але'!$55:$56,'Але'!$63:$64,'Але'!$74:$75,'Але'!$79:$83,'Але'!$87:$89)</definedName>
    <definedName name="Z_1A52382B_3765_4E8C_903F_6B8919B7242E_.wvu.Rows" localSheetId="5">('Иль'!$19:$24,'Иль'!$30:$31,'Иль'!$33:$33,'Иль'!$46:$46,'Иль'!$51:$51,'Иль'!$61:$62,'Иль'!$69:$70,'Иль'!$79:$80,'Иль'!$82:$82,'Иль'!$94:$98)</definedName>
    <definedName name="Z_1A52382B_3765_4E8C_903F_6B8919B7242E_.wvu.Rows" localSheetId="6">('Кад'!$19:$24,'Кад'!$45:$45,'Кад'!$57:$57,'Кад'!$59:$60,'Кад'!$67:$68,'Кад'!$84:$86,'Кад'!$90:$97)</definedName>
    <definedName name="Z_1A52382B_3765_4E8C_903F_6B8919B7242E_.wvu.Rows" localSheetId="0">('Консол'!$22:$22,'Консол'!$43:$45,'Консол'!$82:$84)</definedName>
    <definedName name="Z_1A52382B_3765_4E8C_903F_6B8919B7242E_.wvu.Rows" localSheetId="19">'Лист1'!$82:$84</definedName>
    <definedName name="Z_1A52382B_3765_4E8C_903F_6B8919B7242E_.wvu.Rows" localSheetId="7">('Мор'!$17:$17,'Мор'!$21:$21,'Мор'!$23:$23,'Мор'!$38:$38,'Мор'!$45:$45,'Мор'!$47:$48,'Мор'!$50:$51,'Мор'!$58:$58,'Мор'!$60:$61,'Мор'!$68:$69,'Мор'!$84:$89,'Мор'!$92:$98)</definedName>
    <definedName name="Z_1A52382B_3765_4E8C_903F_6B8919B7242E_.wvu.Rows" localSheetId="8">('Мос'!$19:$24,'Мос'!$44:$44,'Мос'!$58:$58,'Мос'!$60:$61,'Мос'!$68:$69,'Мос'!$82:$82,'Мос'!$86:$90,'Мос'!$95:$100)</definedName>
    <definedName name="Z_1A52382B_3765_4E8C_903F_6B8919B7242E_.wvu.Rows" localSheetId="9">('Ори'!$19:$24,'Ори'!$32:$32,'Ори'!$44:$44,'Ори'!$48:$50,'Ори'!$57:$57,'Ори'!$59:$60,'Ори'!$67:$68,'Ори'!$78:$79,'Ори'!$81:$81,'Ори'!$84:$88,'Ори'!$91:$98)</definedName>
    <definedName name="Z_1A52382B_3765_4E8C_903F_6B8919B7242E_.wvu.Rows" localSheetId="2">NA()</definedName>
    <definedName name="Z_1A52382B_3765_4E8C_903F_6B8919B7242E_.wvu.Rows" localSheetId="1">NA()</definedName>
    <definedName name="Z_1A52382B_3765_4E8C_903F_6B8919B7242E_.wvu.Rows" localSheetId="4">('Сун'!$19:$24,'Сун'!$49:$51,'Сун'!$58:$58,'Сун'!$60:$61,'Сун'!$68:$69,'Сун'!$79:$80,'Сун'!$82:$82,'Сун'!$88:$89,'Сун'!$93:$97)</definedName>
    <definedName name="Z_1A52382B_3765_4E8C_903F_6B8919B7242E_.wvu.Rows" localSheetId="10">('Сят'!$19:$19,'Сят'!$45:$47,'Сят'!$57:$57,'Сят'!$59:$60,'Сят'!$67:$68,'Сят'!$83:$86,'Сят'!$90:$97)</definedName>
    <definedName name="Z_1A52382B_3765_4E8C_903F_6B8919B7242E_.wvu.Rows" localSheetId="11">('Тор'!$19:$24,'Тор'!$32:$39,'Тор'!$46:$47,'Тор'!$49:$50,'Тор'!$57:$57,'Тор'!$59:$60,'Тор'!$67:$68,'Тор'!$75:$75,'Тор'!$79:$80,'Тор'!$84:$95)</definedName>
    <definedName name="Z_1A52382B_3765_4E8C_903F_6B8919B7242E_.wvu.Rows" localSheetId="12">('Хор'!$19:$24,'Хор'!$28:$38,'Хор'!$42:$42,'Хор'!$48:$50,'Хор'!$57:$57,'Хор'!$59:$61,'Хор'!$67:$68,'Хор'!$74:$74,'Хор'!$78:$79,'Хор'!$83:$87,'Хор'!$90:$97)</definedName>
    <definedName name="Z_1A52382B_3765_4E8C_903F_6B8919B7242E_.wvu.Rows" localSheetId="13">('Чум'!$19:$21,'Чум'!$23:$24,'Чум'!$28:$28,'Чум'!$31:$39,'Чум'!$47:$49,'Чум'!$57:$57,'Чум'!$59:$60,'Чум'!$67:$68,'Чум'!$78:$79,'Чум'!$83:$87,'Чум'!$90:$97)</definedName>
    <definedName name="Z_1A52382B_3765_4E8C_903F_6B8919B7242E_.wvu.Rows" localSheetId="14">('Шать'!$19:$24,'Шать'!$31:$39,'Шать'!$46:$49,'Шать'!$57:$57,'Шать'!$59:$60,'Шать'!$67:$68,'Шать'!$78:$79,'Шать'!$83:$87,'Шать'!$90:$97)</definedName>
    <definedName name="Z_1A52382B_3765_4E8C_903F_6B8919B7242E_.wvu.Rows" localSheetId="15">('Юнг'!$19:$24,'Юнг'!$31:$38,'Юнг'!$45:$49,'Юнг'!$56:$56,'Юнг'!$58:$59,'Юнг'!$66:$67,'Юнг'!$77:$77,'Юнг'!$82:$86,'Юнг'!$89:$96)</definedName>
    <definedName name="Z_1A52382B_3765_4E8C_903F_6B8919B7242E_.wvu.Rows" localSheetId="16">NA()</definedName>
    <definedName name="Z_1A52382B_3765_4E8C_903F_6B8919B7242E_.wvu.Rows" localSheetId="17">('Яра'!$19:$24,'Яра'!$46:$46,'Яра'!$48:$51,'Яра'!$58:$58,'Яра'!$60:$61,'Яра'!$68:$69,'Яра'!$79:$80,'Яра'!$84:$88,'Яра'!$91:$98)</definedName>
    <definedName name="Z_1A52382B_3765_4E8C_903F_6B8919B7242E_.wvu.Rows" localSheetId="18">('Яро'!$19:$24,'Яро'!$44:$44,'Яро'!$55:$55,'Яро'!$57:$59,'Яро'!$65:$66,'Яро'!$76:$77,'Яро'!$81:$85,'Яро'!$88:$95)</definedName>
    <definedName name="Z_3DCB9AAA_F09C_4EA6_B992_F93E466D374A_.wvu.Cols" localSheetId="1">('Справка'!$AV:$AX,'Справка'!$BB:$BD,'Справка'!$BH:$BM,'Справка'!$BT:$BY,'Справка'!$CX:$DF)</definedName>
    <definedName name="Z_3DCB9AAA_F09C_4EA6_B992_F93E466D374A_.wvu.PrintArea" localSheetId="5">'Иль'!$A$1:$F$105</definedName>
    <definedName name="Z_3DCB9AAA_F09C_4EA6_B992_F93E466D374A_.wvu.PrintArea" localSheetId="0">'Консол'!$A$1:$K$50</definedName>
    <definedName name="Z_3DCB9AAA_F09C_4EA6_B992_F93E466D374A_.wvu.PrintArea" localSheetId="7">'Мор'!$A$1:$F$102</definedName>
    <definedName name="Z_3DCB9AAA_F09C_4EA6_B992_F93E466D374A_.wvu.PrintArea" localSheetId="1">'Справка'!$A$1:$EY$31</definedName>
    <definedName name="Z_3DCB9AAA_F09C_4EA6_B992_F93E466D374A_.wvu.PrintArea" localSheetId="11">'Тор'!$A$1:$F$101</definedName>
    <definedName name="Z_3DCB9AAA_F09C_4EA6_B992_F93E466D374A_.wvu.PrintArea" localSheetId="15">'Юнг'!$A$1:$F$100</definedName>
    <definedName name="Z_3DCB9AAA_F09C_4EA6_B992_F93E466D374A_.wvu.PrintArea" localSheetId="17">'Яра'!$A$1:$F$102</definedName>
    <definedName name="Z_3DCB9AAA_F09C_4EA6_B992_F93E466D374A_.wvu.Rows" localSheetId="3">('Але'!$19:$24,'Але'!$44:$44,'Але'!$46:$46,'Але'!$53:$53,'Але'!$55:$56,'Але'!$63:$64,'Але'!$74:$75,'Але'!$79:$93)</definedName>
    <definedName name="Z_3DCB9AAA_F09C_4EA6_B992_F93E466D374A_.wvu.Rows" localSheetId="5">('Иль'!$19:$24,'Иль'!$30:$31,'Иль'!$33:$33,'Иль'!$46:$46,'Иль'!$51:$51,'Иль'!$61:$62,'Иль'!$69:$70,'Иль'!$79:$80,'Иль'!$82:$82,'Иль'!$84:$91,'Иль'!$94:$98)</definedName>
    <definedName name="Z_3DCB9AAA_F09C_4EA6_B992_F93E466D374A_.wvu.Rows" localSheetId="6">('Кад'!$19:$24,'Кад'!$45:$45,'Кад'!$57:$57,'Кад'!$59:$60,'Кад'!$67:$68,'Кад'!$84:$86,'Кад'!$90:$97)</definedName>
    <definedName name="Z_3DCB9AAA_F09C_4EA6_B992_F93E466D374A_.wvu.Rows" localSheetId="0">('Консол'!$22:$22,'Консол'!$43:$45,'Консол'!$82:$84)</definedName>
    <definedName name="Z_3DCB9AAA_F09C_4EA6_B992_F93E466D374A_.wvu.Rows" localSheetId="19">'Лист1'!$82:$84</definedName>
    <definedName name="Z_3DCB9AAA_F09C_4EA6_B992_F93E466D374A_.wvu.Rows" localSheetId="7">('Мор'!$21:$21,'Мор'!$23:$23,'Мор'!$38:$38,'Мор'!$45:$45,'Мор'!$48:$48,'Мор'!$50:$51,'Мор'!$58:$58,'Мор'!$60:$61,'Мор'!$68:$69,'Мор'!$84:$89,'Мор'!$92:$98)</definedName>
    <definedName name="Z_3DCB9AAA_F09C_4EA6_B992_F93E466D374A_.wvu.Rows" localSheetId="8">('Мос'!$19:$24,'Мос'!$44:$44,'Мос'!$58:$58,'Мос'!$60:$61,'Мос'!$68:$69,'Мос'!$82:$82,'Мос'!$84:$90,'Мос'!$95:$100)</definedName>
    <definedName name="Z_3DCB9AAA_F09C_4EA6_B992_F93E466D374A_.wvu.Rows" localSheetId="9">('Ори'!$19:$24,'Ори'!$32:$32,'Ори'!$44:$44,'Ори'!$48:$50,'Ори'!$57:$57,'Ори'!$59:$60,'Ори'!$67:$68,'Ори'!$78:$79,'Ори'!$81:$81,'Ори'!$83:$87,'Ори'!$91:$98)</definedName>
    <definedName name="Z_3DCB9AAA_F09C_4EA6_B992_F93E466D374A_.wvu.Rows" localSheetId="2">('район'!$18:$19,'район'!$21:$21,'район'!$29:$31,'район'!$51:$52,'район'!$64:$64,'район'!$71:$71,'район'!$88:$88,'район'!$95:$95,'район'!$123:$125)</definedName>
    <definedName name="Z_3DCB9AAA_F09C_4EA6_B992_F93E466D374A_.wvu.Rows" localSheetId="1">NA()</definedName>
    <definedName name="Z_3DCB9AAA_F09C_4EA6_B992_F93E466D374A_.wvu.Rows" localSheetId="4">('Сун'!$19:$24,'Сун'!$49:$51,'Сун'!$58:$58,'Сун'!$60:$61,'Сун'!$68:$69,'Сун'!$79:$80,'Сун'!$82:$85,'Сун'!$88:$89,'Сун'!$93:$97)</definedName>
    <definedName name="Z_3DCB9AAA_F09C_4EA6_B992_F93E466D374A_.wvu.Rows" localSheetId="10">('Сят'!$19:$19,'Сят'!$45:$47,'Сят'!$57:$57,'Сят'!$59:$60,'Сят'!$67:$68,'Сят'!$83:$86,'Сят'!$90:$97)</definedName>
    <definedName name="Z_3DCB9AAA_F09C_4EA6_B992_F93E466D374A_.wvu.Rows" localSheetId="11">('Тор'!$19:$19,'Тор'!$50:$50,'Тор'!$57:$57,'Тор'!$59:$60,'Тор'!$67:$68,'Тор'!$75:$75,'Тор'!$79:$80,'Тор'!$83:$93)</definedName>
    <definedName name="Z_3DCB9AAA_F09C_4EA6_B992_F93E466D374A_.wvu.Rows" localSheetId="12">('Хор'!$19:$24,'Хор'!$32:$32,'Хор'!$42:$42,'Хор'!$46:$46,'Хор'!$57:$57,'Хор'!$59:$60,'Хор'!$67:$68,'Хор'!$83:$87,'Хор'!$90:$97)</definedName>
    <definedName name="Z_3DCB9AAA_F09C_4EA6_B992_F93E466D374A_.wvu.Rows" localSheetId="13">('Чум'!$19:$19,'Чум'!$21:$21,'Чум'!$23:$24,'Чум'!$47:$49,'Чум'!$57:$57,'Чум'!$59:$60,'Чум'!$67:$68,'Чум'!$83:$87,'Чум'!$90:$97)</definedName>
    <definedName name="Z_3DCB9AAA_F09C_4EA6_B992_F93E466D374A_.wvu.Rows" localSheetId="14">('Шать'!$19:$24,'Шать'!$47:$49,'Шать'!$57:$57,'Шать'!$59:$60,'Шать'!$67:$68,'Шать'!$78:$79,'Шать'!$83:$87,'Шать'!$90:$97)</definedName>
    <definedName name="Z_3DCB9AAA_F09C_4EA6_B992_F93E466D374A_.wvu.Rows" localSheetId="15">('Юнг'!$19:$24,'Юнг'!$32:$32,'Юнг'!$46:$46,'Юнг'!$49:$49,'Юнг'!$56:$56,'Юнг'!$58:$59,'Юнг'!$66:$67,'Юнг'!$82:$86,'Юнг'!$89:$96)</definedName>
    <definedName name="Z_3DCB9AAA_F09C_4EA6_B992_F93E466D374A_.wvu.Rows" localSheetId="16">NA()</definedName>
    <definedName name="Z_3DCB9AAA_F09C_4EA6_B992_F93E466D374A_.wvu.Rows" localSheetId="17">('Яра'!$19:$24,'Яра'!$46:$50,'Яра'!$58:$58,'Яра'!$60:$61,'Яра'!$68:$69,'Яра'!$79:$79,'Яра'!$82:$88,'Яра'!$91:$98)</definedName>
    <definedName name="Z_3DCB9AAA_F09C_4EA6_B992_F93E466D374A_.wvu.Rows" localSheetId="18">('Яро'!$19:$24,'Яро'!$29:$30,'Яро'!$32:$32,'Яро'!$44:$44,'Яро'!$55:$55,'Яро'!$57:$58,'Яро'!$65:$66,'Яро'!$76:$77,'Яро'!$81:$86,'Яро'!$88:$95)</definedName>
    <definedName name="Z_42584DC0_1D41_4C93_9B38_C388E7B8DAC4_.wvu.Cols" localSheetId="1">('Справка'!$AV:$AX,'Справка'!$BB:$BD,'Справка'!$BH:$BP,'Справка'!$BT:$BY,'Справка'!$CX:$DF)</definedName>
    <definedName name="Z_42584DC0_1D41_4C93_9B38_C388E7B8DAC4_.wvu.PrintArea" localSheetId="5">'Иль'!$A$1:$F$105</definedName>
    <definedName name="Z_42584DC0_1D41_4C93_9B38_C388E7B8DAC4_.wvu.PrintArea" localSheetId="0">'Консол'!$A$1:$K$50</definedName>
    <definedName name="Z_42584DC0_1D41_4C93_9B38_C388E7B8DAC4_.wvu.PrintArea" localSheetId="7">'Мор'!$A$1:$F$102</definedName>
    <definedName name="Z_42584DC0_1D41_4C93_9B38_C388E7B8DAC4_.wvu.PrintArea" localSheetId="1">'Справка'!$A$1:$EY$31</definedName>
    <definedName name="Z_42584DC0_1D41_4C93_9B38_C388E7B8DAC4_.wvu.PrintArea" localSheetId="11">'Тор'!$A$1:$F$101</definedName>
    <definedName name="Z_42584DC0_1D41_4C93_9B38_C388E7B8DAC4_.wvu.PrintArea" localSheetId="15">'Юнг'!$A$1:$F$100</definedName>
    <definedName name="Z_42584DC0_1D41_4C93_9B38_C388E7B8DAC4_.wvu.PrintArea" localSheetId="17">'Яра'!$A$1:$F$102</definedName>
    <definedName name="Z_42584DC0_1D41_4C93_9B38_C388E7B8DAC4_.wvu.Rows" localSheetId="3">('Але'!$19:$24,'Але'!$31:$33,'Але'!$36:$36,'Але'!$44:$44,'Але'!$46:$46,'Але'!$53:$53,'Але'!$55:$57,'Але'!$63:$64,'Але'!$74:$75,'Але'!$79:$83,'Але'!$86:$93)</definedName>
    <definedName name="Z_42584DC0_1D41_4C93_9B38_C388E7B8DAC4_.wvu.Rows" localSheetId="5">('Иль'!$19:$24,'Иль'!$30:$40,'Иль'!$46:$46,'Иль'!$48:$51,'Иль'!$59:$59,'Иль'!$61:$63,'Иль'!$69:$70,'Иль'!$79:$80,'Иль'!$82:$82,'Иль'!$87:$91,'Иль'!$94:$101)</definedName>
    <definedName name="Z_42584DC0_1D41_4C93_9B38_C388E7B8DAC4_.wvu.Rows" localSheetId="6">('Кад'!$19:$24,'Кад'!$31:$36,'Кад'!$39:$39,'Кад'!$45:$45,'Кад'!$47:$47,'Кад'!$49:$50,'Кад'!$57:$57,'Кад'!$59:$61,'Кад'!$67:$68,'Кад'!$78:$79,'Кад'!$83:$87,'Кад'!$90:$97)</definedName>
    <definedName name="Z_42584DC0_1D41_4C93_9B38_C388E7B8DAC4_.wvu.Rows" localSheetId="0">('Консол'!$22:$22,'Консол'!$43:$45)</definedName>
    <definedName name="Z_42584DC0_1D41_4C93_9B38_C388E7B8DAC4_.wvu.Rows" localSheetId="7">('Мор'!$17:$24,'Мор'!$38:$38,'Мор'!$45:$45,'Мор'!$47:$48,'Мор'!$50:$51,'Мор'!$58:$58,'Мор'!$60:$61,'Мор'!$65:$66,'Мор'!$68:$69,'Мор'!$79:$80,'Мор'!$84:$89,'Мор'!$92:$98)</definedName>
    <definedName name="Z_42584DC0_1D41_4C93_9B38_C388E7B8DAC4_.wvu.Rows" localSheetId="8">('Мос'!$19:$24,'Мос'!$29:$35,'Мос'!$44:$44,'Мос'!$46:$50,'Мос'!$58:$58,'Мос'!$60:$61,'Мос'!$68:$69,'Мос'!$79:$80,'Мос'!$82:$82,'Мос'!$85:$92,'Мос'!$95:$102)</definedName>
    <definedName name="Z_42584DC0_1D41_4C93_9B38_C388E7B8DAC4_.wvu.Rows" localSheetId="9">('Ори'!$19:$24,'Ори'!$31:$35,'Ори'!$38:$38,'Ори'!$44:$44,'Ори'!$46:$46,'Ори'!$48:$50,'Ори'!$57:$57,'Ори'!$59:$61,'Ори'!$67:$68,'Ори'!$78:$79,'Ори'!$81:$81,'Ори'!$84:$88,'Ори'!$91:$98)</definedName>
    <definedName name="Z_42584DC0_1D41_4C93_9B38_C388E7B8DAC4_.wvu.Rows" localSheetId="2">NA()</definedName>
    <definedName name="Z_42584DC0_1D41_4C93_9B38_C388E7B8DAC4_.wvu.Rows" localSheetId="1">NA()</definedName>
    <definedName name="Z_42584DC0_1D41_4C93_9B38_C388E7B8DAC4_.wvu.Rows" localSheetId="4">('Сун'!$19:$24,'Сун'!$34:$39,'Сун'!$49:$51,'Сун'!$58:$58,'Сун'!$60:$63,'Сун'!$68:$69,'Сун'!$79:$80,'Сун'!$82:$82,'Сун'!$85:$85,'Сун'!$87:$89,'Сун'!$93:$100)</definedName>
    <definedName name="Z_42584DC0_1D41_4C93_9B38_C388E7B8DAC4_.wvu.Rows" localSheetId="10">('Сят'!$19:$24,'Сят'!$31:$35,'Сят'!$45:$48,'Сят'!$57:$57,'Сят'!$59:$60,'Сят'!$67:$68,'Сят'!$78:$79,'Сят'!$83:$87,'Сят'!$90:$97)</definedName>
    <definedName name="Z_42584DC0_1D41_4C93_9B38_C388E7B8DAC4_.wvu.Rows" localSheetId="11">('Тор'!$19:$24,'Тор'!$32:$36,'Тор'!$46:$47,'Тор'!$50:$50,'Тор'!$57:$57,'Тор'!$59:$60,'Тор'!$67:$68,'Тор'!$75:$75,'Тор'!$79:$80,'Тор'!$84:$95)</definedName>
    <definedName name="Z_42584DC0_1D41_4C93_9B38_C388E7B8DAC4_.wvu.Rows" localSheetId="12">('Хор'!$19:$24,'Хор'!$28:$38,'Хор'!$42:$42,'Хор'!$46:$46,'Хор'!$48:$50,'Хор'!$57:$57,'Хор'!$59:$61,'Хор'!$67:$68,'Хор'!$74:$74,'Хор'!$78:$79,'Хор'!$83:$87,'Хор'!$90:$97)</definedName>
    <definedName name="Z_42584DC0_1D41_4C93_9B38_C388E7B8DAC4_.wvu.Rows" localSheetId="13">('Чум'!$19:$24,'Чум'!$31:$36,'Чум'!$47:$49,'Чум'!$57:$57,'Чум'!$59:$61,'Чум'!$67:$68,'Чум'!$78:$79,'Чум'!$83:$87,'Чум'!$90:$97)</definedName>
    <definedName name="Z_42584DC0_1D41_4C93_9B38_C388E7B8DAC4_.wvu.Rows" localSheetId="14">('Шать'!$19:$24,'Шать'!$32:$33,'Шать'!$35:$35,'Шать'!$38:$38,'Шать'!$46:$49,'Шать'!$57:$57,'Шать'!$59:$61,'Шать'!$67:$68,'Шать'!$78:$79,'Шать'!$83:$87,'Шать'!$90:$97)</definedName>
    <definedName name="Z_42584DC0_1D41_4C93_9B38_C388E7B8DAC4_.wvu.Rows" localSheetId="15">('Юнг'!$19:$24,'Юнг'!$31:$38,'Юнг'!$45:$46,'Юнг'!$49:$49,'Юнг'!$56:$56,'Юнг'!$58:$60,'Юнг'!$66:$68,'Юнг'!$77:$78,'Юнг'!$82:$86,'Юнг'!$89:$96)</definedName>
    <definedName name="Z_42584DC0_1D41_4C93_9B38_C388E7B8DAC4_.wvu.Rows" localSheetId="16">NA()</definedName>
    <definedName name="Z_42584DC0_1D41_4C93_9B38_C388E7B8DAC4_.wvu.Rows" localSheetId="17">('Яра'!$19:$24,'Яра'!$32:$36,'Яра'!$46:$50,'Яра'!$58:$58,'Яра'!$60:$62,'Яра'!$68:$69,'Яра'!$79:$80,'Яра'!$84:$88,'Яра'!$91:$98)</definedName>
    <definedName name="Z_42584DC0_1D41_4C93_9B38_C388E7B8DAC4_.wvu.Rows" localSheetId="18">('Яро'!$19:$24,'Яро'!$28:$36,'Яро'!$44:$45,'Яро'!$47:$48,'Яро'!$55:$55,'Яро'!$57:$59,'Яро'!$65:$66,'Яро'!$76:$77,'Яро'!$81:$85,'Яро'!$88:$95)</definedName>
    <definedName name="Z_5BFCA170_DEAE_4D2C_98A0_1E68B427AC01_.wvu.Cols" localSheetId="1">('Справка'!$AV:$AX,'Справка'!$BB:$BD,'Справка'!$BH:$BM,'Справка'!$BT:$BY,'Справка'!$CX:$DF)</definedName>
    <definedName name="Z_5BFCA170_DEAE_4D2C_98A0_1E68B427AC01_.wvu.PrintArea" localSheetId="5">'Иль'!$A$1:$F$105</definedName>
    <definedName name="Z_5BFCA170_DEAE_4D2C_98A0_1E68B427AC01_.wvu.PrintArea" localSheetId="0">'Консол'!$A$1:$K$50</definedName>
    <definedName name="Z_5BFCA170_DEAE_4D2C_98A0_1E68B427AC01_.wvu.PrintArea" localSheetId="7">'Мор'!$A$1:$F$102</definedName>
    <definedName name="Z_5BFCA170_DEAE_4D2C_98A0_1E68B427AC01_.wvu.PrintArea" localSheetId="1">'Справка'!$A$1:$EY$31</definedName>
    <definedName name="Z_5BFCA170_DEAE_4D2C_98A0_1E68B427AC01_.wvu.PrintArea" localSheetId="11">'Тор'!$A$1:$F$101</definedName>
    <definedName name="Z_5BFCA170_DEAE_4D2C_98A0_1E68B427AC01_.wvu.PrintArea" localSheetId="15">'Юнг'!$A$1:$F$100</definedName>
    <definedName name="Z_5BFCA170_DEAE_4D2C_98A0_1E68B427AC01_.wvu.PrintArea" localSheetId="17">'Яра'!$A$1:$F$102</definedName>
    <definedName name="Z_5BFCA170_DEAE_4D2C_98A0_1E68B427AC01_.wvu.Rows" localSheetId="3">('Але'!$19:$24,'Але'!$44:$44,'Але'!$46:$46,'Але'!$53:$53,'Але'!$55:$56,'Але'!$63:$64,'Але'!$74:$75,'Але'!$79:$83,'Але'!$87:$89)</definedName>
    <definedName name="Z_5BFCA170_DEAE_4D2C_98A0_1E68B427AC01_.wvu.Rows" localSheetId="5">('Иль'!$19:$24,'Иль'!$30:$31,'Иль'!$33:$33,'Иль'!$46:$46,'Иль'!$51:$51,'Иль'!$61:$62,'Иль'!$69:$70,'Иль'!$79:$80,'Иль'!$82:$82,'Иль'!$94:$98)</definedName>
    <definedName name="Z_5BFCA170_DEAE_4D2C_98A0_1E68B427AC01_.wvu.Rows" localSheetId="6">('Кад'!$19:$24,'Кад'!$45:$45,'Кад'!$57:$57,'Кад'!$59:$60,'Кад'!$67:$68,'Кад'!$84:$86,'Кад'!$90:$97)</definedName>
    <definedName name="Z_5BFCA170_DEAE_4D2C_98A0_1E68B427AC01_.wvu.Rows" localSheetId="0">('Консол'!$22:$22,'Консол'!$43:$45,'Консол'!$82:$84)</definedName>
    <definedName name="Z_5BFCA170_DEAE_4D2C_98A0_1E68B427AC01_.wvu.Rows" localSheetId="19">'Лист1'!$82:$84</definedName>
    <definedName name="Z_5BFCA170_DEAE_4D2C_98A0_1E68B427AC01_.wvu.Rows" localSheetId="7">('Мор'!$21:$21,'Мор'!$23:$23,'Мор'!$38:$38,'Мор'!$45:$45,'Мор'!$48:$48,'Мор'!$50:$51,'Мор'!$58:$58,'Мор'!$60:$61,'Мор'!$68:$69,'Мор'!$84:$89,'Мор'!$92:$98)</definedName>
    <definedName name="Z_5BFCA170_DEAE_4D2C_98A0_1E68B427AC01_.wvu.Rows" localSheetId="8">('Мос'!$19:$24,'Мос'!$44:$44,'Мос'!$58:$58,'Мос'!$60:$61,'Мос'!$68:$69,'Мос'!$82:$82,'Мос'!$84:$90,'Мос'!$95:$100)</definedName>
    <definedName name="Z_5BFCA170_DEAE_4D2C_98A0_1E68B427AC01_.wvu.Rows" localSheetId="9">('Ори'!$19:$24,'Ори'!$32:$32,'Ори'!$44:$44,'Ори'!$48:$50,'Ори'!$57:$57,'Ори'!$59:$60,'Ори'!$67:$68,'Ори'!$78:$79,'Ори'!$81:$81,'Ори'!$83:$87,'Ори'!$91:$98)</definedName>
    <definedName name="Z_5BFCA170_DEAE_4D2C_98A0_1E68B427AC01_.wvu.Rows" localSheetId="2">('район'!$18:$19,'район'!$21:$21,'район'!$29:$31,'район'!$51:$52,'район'!$64:$64,'район'!$71:$71,'район'!$88:$88,'район'!$95:$95,'район'!$123:$125)</definedName>
    <definedName name="Z_5BFCA170_DEAE_4D2C_98A0_1E68B427AC01_.wvu.Rows" localSheetId="4">('Сун'!$19:$24,'Сун'!$49:$51,'Сун'!$58:$58,'Сун'!$60:$61,'Сун'!$68:$69,'Сун'!$79:$80,'Сун'!$82:$82,'Сун'!$88:$89,'Сун'!$93:$97)</definedName>
    <definedName name="Z_5BFCA170_DEAE_4D2C_98A0_1E68B427AC01_.wvu.Rows" localSheetId="10">('Сят'!$19:$19,'Сят'!$45:$47,'Сят'!$57:$57,'Сят'!$59:$60,'Сят'!$67:$68,'Сят'!$83:$86,'Сят'!$90:$97)</definedName>
    <definedName name="Z_5BFCA170_DEAE_4D2C_98A0_1E68B427AC01_.wvu.Rows" localSheetId="11">('Тор'!$19:$19,'Тор'!$50:$50,'Тор'!$57:$57,'Тор'!$59:$60,'Тор'!$67:$68,'Тор'!$75:$75,'Тор'!$79:$80,'Тор'!$83:$93)</definedName>
    <definedName name="Z_5BFCA170_DEAE_4D2C_98A0_1E68B427AC01_.wvu.Rows" localSheetId="12">('Хор'!$19:$24,'Хор'!$32:$32,'Хор'!$42:$42,'Хор'!$46:$46,'Хор'!$57:$57,'Хор'!$59:$60,'Хор'!$67:$68,'Хор'!$83:$87,'Хор'!$90:$97)</definedName>
    <definedName name="Z_5BFCA170_DEAE_4D2C_98A0_1E68B427AC01_.wvu.Rows" localSheetId="13">('Чум'!$19:$19,'Чум'!$21:$21,'Чум'!$23:$24,'Чум'!$47:$49,'Чум'!$57:$57,'Чум'!$59:$60,'Чум'!$67:$68,'Чум'!$83:$87,'Чум'!$90:$97)</definedName>
    <definedName name="Z_5BFCA170_DEAE_4D2C_98A0_1E68B427AC01_.wvu.Rows" localSheetId="14">('Шать'!$19:$24,'Шать'!$47:$49,'Шать'!$57:$57,'Шать'!$59:$60,'Шать'!$67:$68,'Шать'!$78:$79,'Шать'!$83:$87,'Шать'!$90:$97)</definedName>
    <definedName name="Z_5BFCA170_DEAE_4D2C_98A0_1E68B427AC01_.wvu.Rows" localSheetId="15">('Юнг'!$19:$24,'Юнг'!$32:$32,'Юнг'!$49:$49,'Юнг'!$56:$56,'Юнг'!$58:$59,'Юнг'!$66:$67,'Юнг'!$82:$86,'Юнг'!$89:$96)</definedName>
    <definedName name="Z_5BFCA170_DEAE_4D2C_98A0_1E68B427AC01_.wvu.Rows" localSheetId="16">NA()</definedName>
    <definedName name="Z_5BFCA170_DEAE_4D2C_98A0_1E68B427AC01_.wvu.Rows" localSheetId="17">('Яра'!$19:$24,'Яра'!$46:$50,'Яра'!$58:$58,'Яра'!$60:$61,'Яра'!$68:$69,'Яра'!$79:$79,'Яра'!$82:$88,'Яра'!$91:$98)</definedName>
    <definedName name="Z_5BFCA170_DEAE_4D2C_98A0_1E68B427AC01_.wvu.Rows" localSheetId="18">('Яро'!$19:$24,'Яро'!$44:$44,'Яро'!$55:$55,'Яро'!$57:$58,'Яро'!$65:$66,'Яро'!$76:$77,'Яро'!$81:$86,'Яро'!$88:$95)</definedName>
    <definedName name="Z_61528DAC_5C4C_48F4_ADE2_8A724B05A086_.wvu.Cols" localSheetId="1">('Справка'!$AV:$AX,'Справка'!$BB:$BD,'Справка'!$BH:$BM,'Справка'!$BT:$BY,'Справка'!$CX:$DF)</definedName>
    <definedName name="Z_61528DAC_5C4C_48F4_ADE2_8A724B05A086_.wvu.PrintArea" localSheetId="5">'Иль'!$A$1:$F$105</definedName>
    <definedName name="Z_61528DAC_5C4C_48F4_ADE2_8A724B05A086_.wvu.PrintArea" localSheetId="0">'Консол'!$A$1:$K$50</definedName>
    <definedName name="Z_61528DAC_5C4C_48F4_ADE2_8A724B05A086_.wvu.PrintArea" localSheetId="7">'Мор'!$A$1:$F$102</definedName>
    <definedName name="Z_61528DAC_5C4C_48F4_ADE2_8A724B05A086_.wvu.PrintArea" localSheetId="1">'Справка'!$A$1:$EY$31</definedName>
    <definedName name="Z_61528DAC_5C4C_48F4_ADE2_8A724B05A086_.wvu.PrintArea" localSheetId="11">'Тор'!$A$1:$F$101</definedName>
    <definedName name="Z_61528DAC_5C4C_48F4_ADE2_8A724B05A086_.wvu.PrintArea" localSheetId="15">'Юнг'!$A$1:$F$100</definedName>
    <definedName name="Z_61528DAC_5C4C_48F4_ADE2_8A724B05A086_.wvu.PrintArea" localSheetId="17">'Яра'!$A$1:$F$102</definedName>
    <definedName name="Z_61528DAC_5C4C_48F4_ADE2_8A724B05A086_.wvu.Rows" localSheetId="3">('Але'!$19:$24,'Але'!$28:$36,'Але'!$46:$46,'Але'!$53:$53,'Але'!$55:$57,'Але'!$63:$64,'Але'!$74:$75,'Але'!$79:$83,'Але'!$86:$93,'Але'!$142:$142)</definedName>
    <definedName name="Z_61528DAC_5C4C_48F4_ADE2_8A724B05A086_.wvu.Rows" localSheetId="5">('Иль'!$19:$24,'Иль'!$44:$44,'Иль'!$46:$46,'Иль'!$59:$59,'Иль'!$61:$63,'Иль'!$69:$70,'Иль'!$79:$80,'Иль'!$82:$82,'Иль'!$87:$91,'Иль'!$94:$101,'Иль'!$144:$144)</definedName>
    <definedName name="Z_61528DAC_5C4C_48F4_ADE2_8A724B05A086_.wvu.Rows" localSheetId="6">('Кад'!$19:$24,'Кад'!$39:$39,'Кад'!$43:$43,'Кад'!$45:$45,'Кад'!$57:$57,'Кад'!$59:$60,'Кад'!$67:$68,'Кад'!$78:$78,'Кад'!$83:$87,'Кад'!$90:$97,'Кад'!$143:$143)</definedName>
    <definedName name="Z_61528DAC_5C4C_48F4_ADE2_8A724B05A086_.wvu.Rows" localSheetId="0">('Консол'!$22:$22,'Консол'!$43:$45)</definedName>
    <definedName name="Z_61528DAC_5C4C_48F4_ADE2_8A724B05A086_.wvu.Rows" localSheetId="19">'Лист1'!$82:$84</definedName>
    <definedName name="Z_61528DAC_5C4C_48F4_ADE2_8A724B05A086_.wvu.Rows" localSheetId="7">('Мор'!$17:$24,'Мор'!$27:$27,'Мор'!$38:$38,'Мор'!$45:$45,'Мор'!$58:$58,'Мор'!$60:$61,'Мор'!$65:$66,'Мор'!$68:$69,'Мор'!$79:$79,'Мор'!$84:$89,'Мор'!$92:$98,'Мор'!$143:$143)</definedName>
    <definedName name="Z_61528DAC_5C4C_48F4_ADE2_8A724B05A086_.wvu.Rows" localSheetId="8">('Мос'!$19:$24,'Мос'!$29:$35,'Мос'!$44:$44,'Мос'!$58:$58,'Мос'!$60:$61,'Мос'!$68:$69,'Мос'!$85:$92,'Мос'!$95:$102,'Мос'!$143:$143)</definedName>
    <definedName name="Z_61528DAC_5C4C_48F4_ADE2_8A724B05A086_.wvu.Rows" localSheetId="9">('Ори'!$19:$24,'Ори'!$31:$35,'Ори'!$44:$44,'Ори'!$48:$50,'Ори'!$57:$57,'Ори'!$59:$60,'Ори'!$67:$68,'Ори'!$78:$78,'Ори'!$81:$81,'Ори'!$84:$88,'Ори'!$91:$98,'Ори'!$142:$142)</definedName>
    <definedName name="Z_61528DAC_5C4C_48F4_ADE2_8A724B05A086_.wvu.Rows" localSheetId="2">('район'!$18:$19,'район'!$21:$21,'район'!$26:$26,'район'!$28:$32,'район'!$36:$36,'район'!$39:$39,'район'!$51:$52,'район'!$71:$71,'район'!$88:$88,'район'!$95:$95,'район'!$123:$125,'район'!$128:$129)</definedName>
    <definedName name="Z_61528DAC_5C4C_48F4_ADE2_8A724B05A086_.wvu.Rows" localSheetId="4">('Сун'!$19:$24,'Сун'!$34:$36,'Сун'!$43:$43,'Сун'!$45:$45,'Сун'!$49:$51,'Сун'!$60:$61,'Сун'!$68:$69,'Сун'!$79:$79,'Сун'!$82:$82,'Сун'!$85:$85,'Сун'!$87:$87,'Сун'!$93:$100,'Сун'!$142:$142)</definedName>
    <definedName name="Z_61528DAC_5C4C_48F4_ADE2_8A724B05A086_.wvu.Rows" localSheetId="10">('Сят'!$19:$24,'Сят'!$31:$33,'Сят'!$38:$38,'Сят'!$45:$47,'Сят'!$57:$57,'Сят'!$59:$60,'Сят'!$67:$68,'Сят'!$78:$78,'Сят'!$83:$87,'Сят'!$90:$97,'Сят'!$143:$143)</definedName>
    <definedName name="Z_61528DAC_5C4C_48F4_ADE2_8A724B05A086_.wvu.Rows" localSheetId="11">('Тор'!$19:$24,'Тор'!$32:$36,'Тор'!$39:$39,'Тор'!$50:$50,'Тор'!$57:$57,'Тор'!$59:$60,'Тор'!$67:$68,'Тор'!$75:$75,'Тор'!$79:$79,'Тор'!$84:$95,'Тор'!$142:$142)</definedName>
    <definedName name="Z_61528DAC_5C4C_48F4_ADE2_8A724B05A086_.wvu.Rows" localSheetId="12">('Хор'!$19:$24,'Хор'!$28:$28,'Хор'!$42:$42,'Хор'!$48:$50,'Хор'!$57:$57,'Хор'!$59:$61,'Хор'!$67:$68,'Хор'!$78:$78,'Хор'!$83:$87,'Хор'!$90:$97,'Хор'!$144:$144)</definedName>
    <definedName name="Z_61528DAC_5C4C_48F4_ADE2_8A724B05A086_.wvu.Rows" localSheetId="13">('Чум'!$19:$24,'Чум'!$31:$39,'Чум'!$57:$57,'Чум'!$59:$60,'Чум'!$67:$68,'Чум'!$78:$78,'Чум'!$83:$87,'Чум'!$90:$97,'Чум'!$142:$142)</definedName>
    <definedName name="Z_61528DAC_5C4C_48F4_ADE2_8A724B05A086_.wvu.Rows" localSheetId="14">('Шать'!$19:$19,'Шать'!$22:$25,'Шать'!$57:$57,'Шать'!$59:$60,'Шать'!$67:$68,'Шать'!$78:$78,'Шать'!$83:$87,'Шать'!$90:$97,'Шать'!$142:$142)</definedName>
    <definedName name="Z_61528DAC_5C4C_48F4_ADE2_8A724B05A086_.wvu.Rows" localSheetId="15">('Юнг'!$19:$24,'Юнг'!$38:$38,'Юнг'!$56:$56,'Юнг'!$58:$59,'Юнг'!$66:$67,'Юнг'!$77:$77,'Юнг'!$82:$86,'Юнг'!$89:$96,'Юнг'!$142:$142)</definedName>
    <definedName name="Z_61528DAC_5C4C_48F4_ADE2_8A724B05A086_.wvu.Rows" localSheetId="16">('Юсь'!$19:$24,'Юсь'!$31:$33,'Юсь'!$38:$38,'Юсь'!$45:$48,'Юсь'!$59:$59,'Юсь'!$61:$62,'Юсь'!$69:$70,'Юсь'!$85:$89,'Юсь'!$92:$99,'Юсь'!$143:$143)</definedName>
    <definedName name="Z_61528DAC_5C4C_48F4_ADE2_8A724B05A086_.wvu.Rows" localSheetId="17">('Яра'!$19:$24,'Яра'!$58:$58,'Яра'!$60:$61,'Яра'!$68:$69,'Яра'!$79:$79,'Яра'!$84:$88,'Яра'!$91:$98,'Яра'!$143:$143)</definedName>
    <definedName name="Z_61528DAC_5C4C_48F4_ADE2_8A724B05A086_.wvu.Rows" localSheetId="18">('Яро'!$19:$24,'Яро'!$28:$33,'Яро'!$44:$44,'Яро'!$55:$55,'Яро'!$57:$58,'Яро'!$65:$66,'Яро'!$76:$76,'Яро'!$81:$85,'Яро'!$88:$95)</definedName>
    <definedName name="Z_A54C432C_6C68_4B53_A75C_446EB3A61B2B_.wvu.Cols" localSheetId="1">('Справка'!$AV:$AX,'Справка'!$BB:$BD,'Справка'!$BH:$BP,'Справка'!$BT:$BY,'Справка'!$CX:$DF)</definedName>
    <definedName name="Z_A54C432C_6C68_4B53_A75C_446EB3A61B2B_.wvu.PrintArea" localSheetId="5">'Иль'!$A$1:$F$105</definedName>
    <definedName name="Z_A54C432C_6C68_4B53_A75C_446EB3A61B2B_.wvu.PrintArea" localSheetId="0">'Консол'!$A$1:$K$50</definedName>
    <definedName name="Z_A54C432C_6C68_4B53_A75C_446EB3A61B2B_.wvu.PrintArea" localSheetId="7">'Мор'!$A$1:$F$102</definedName>
    <definedName name="Z_A54C432C_6C68_4B53_A75C_446EB3A61B2B_.wvu.PrintArea" localSheetId="1">'Справка'!$A$1:$EY$31</definedName>
    <definedName name="Z_A54C432C_6C68_4B53_A75C_446EB3A61B2B_.wvu.PrintArea" localSheetId="11">'Тор'!$A$1:$F$101</definedName>
    <definedName name="Z_A54C432C_6C68_4B53_A75C_446EB3A61B2B_.wvu.PrintArea" localSheetId="15">'Юнг'!$A$1:$F$100</definedName>
    <definedName name="Z_A54C432C_6C68_4B53_A75C_446EB3A61B2B_.wvu.PrintArea" localSheetId="17">'Яра'!$A$1:$F$102</definedName>
    <definedName name="Z_A54C432C_6C68_4B53_A75C_446EB3A61B2B_.wvu.Rows" localSheetId="3">('Але'!$19:$24,'Але'!$28:$33,'Але'!$36:$36,'Але'!$46:$46,'Але'!$53:$53,'Але'!$55:$57,'Але'!$63:$64,'Але'!$74:$75,'Але'!$79:$83,'Але'!$86:$93,'Але'!$142:$142)</definedName>
    <definedName name="Z_A54C432C_6C68_4B53_A75C_446EB3A61B2B_.wvu.Rows" localSheetId="5">('Иль'!$19:$24,'Иль'!$30:$40,'Иль'!$46:$46,'Иль'!$48:$51,'Иль'!$59:$59,'Иль'!$61:$63,'Иль'!$69:$70,'Иль'!$79:$80,'Иль'!$82:$82,'Иль'!$87:$91,'Иль'!$94:$101,'Иль'!$144:$144)</definedName>
    <definedName name="Z_A54C432C_6C68_4B53_A75C_446EB3A61B2B_.wvu.Rows" localSheetId="6">('Кад'!$19:$24,'Кад'!$31:$36,'Кад'!$39:$39,'Кад'!$43:$43,'Кад'!$45:$45,'Кад'!$47:$47,'Кад'!$49:$50,'Кад'!$57:$57,'Кад'!$59:$61,'Кад'!$67:$68,'Кад'!$78:$79,'Кад'!$83:$87,'Кад'!$90:$97,'Кад'!$143:$143)</definedName>
    <definedName name="Z_A54C432C_6C68_4B53_A75C_446EB3A61B2B_.wvu.Rows" localSheetId="0">('Консол'!$22:$22,'Консол'!$43:$45)</definedName>
    <definedName name="Z_A54C432C_6C68_4B53_A75C_446EB3A61B2B_.wvu.Rows" localSheetId="19">'Лист1'!$82:$84</definedName>
    <definedName name="Z_A54C432C_6C68_4B53_A75C_446EB3A61B2B_.wvu.Rows" localSheetId="7">('Мор'!$17:$24,'Мор'!$27:$27,'Мор'!$31:$36,'Мор'!$38:$38,'Мор'!$45:$45,'Мор'!$47:$48,'Мор'!$50:$51,'Мор'!$58:$58,'Мор'!$60:$61,'Мор'!$65:$66,'Мор'!$68:$69,'Мор'!$79:$80,'Мор'!$84:$89,'Мор'!$92:$98,'Мор'!$143:$143)</definedName>
    <definedName name="Z_A54C432C_6C68_4B53_A75C_446EB3A61B2B_.wvu.Rows" localSheetId="8">('Мос'!$19:$24,'Мос'!$29:$35,'Мос'!$44:$44,'Мос'!$46:$50,'Мос'!$58:$58,'Мос'!$60:$61,'Мос'!$68:$69,'Мос'!$79:$80,'Мос'!$82:$82,'Мос'!$85:$92,'Мос'!$95:$102,'Мос'!$143:$143)</definedName>
    <definedName name="Z_A54C432C_6C68_4B53_A75C_446EB3A61B2B_.wvu.Rows" localSheetId="9">('Ори'!$19:$24,'Ори'!$31:$35,'Ори'!$44:$44,'Ори'!$46:$46,'Ори'!$48:$50,'Ори'!$57:$57,'Ори'!$59:$60,'Ори'!$67:$68,'Ори'!$78:$79,'Ори'!$81:$81,'Ори'!$84:$88,'Ори'!$91:$98,'Ори'!$142:$142)</definedName>
    <definedName name="Z_A54C432C_6C68_4B53_A75C_446EB3A61B2B_.wvu.Rows" localSheetId="2">NA()</definedName>
    <definedName name="Z_A54C432C_6C68_4B53_A75C_446EB3A61B2B_.wvu.Rows" localSheetId="1">NA()</definedName>
    <definedName name="Z_A54C432C_6C68_4B53_A75C_446EB3A61B2B_.wvu.Rows" localSheetId="4">('Сун'!$19:$24,'Сун'!$34:$39,'Сун'!$43:$43,'Сун'!$45:$45,'Сун'!$47:$47,'Сун'!$49:$51,'Сун'!$58:$58,'Сун'!$60:$62,'Сун'!$68:$69,'Сун'!$79:$80,'Сун'!$82:$82,'Сун'!$85:$85,'Сун'!$87:$89,'Сун'!$93:$100,'Сун'!$142:$142)</definedName>
    <definedName name="Z_A54C432C_6C68_4B53_A75C_446EB3A61B2B_.wvu.Rows" localSheetId="10">('Сят'!$19:$24,'Сят'!$31:$35,'Сят'!$38:$38,'Сят'!$45:$48,'Сят'!$57:$57,'Сят'!$59:$60,'Сят'!$67:$68,'Сят'!$78:$79,'Сят'!$83:$87,'Сят'!$90:$97,'Сят'!$143:$143)</definedName>
    <definedName name="Z_A54C432C_6C68_4B53_A75C_446EB3A61B2B_.wvu.Rows" localSheetId="11">('Тор'!$19:$24,'Тор'!$32:$36,'Тор'!$39:$39,'Тор'!$46:$47,'Тор'!$50:$50,'Тор'!$57:$57,'Тор'!$59:$60,'Тор'!$67:$68,'Тор'!$75:$75,'Тор'!$79:$80,'Тор'!$84:$95,'Тор'!$142:$142)</definedName>
    <definedName name="Z_A54C432C_6C68_4B53_A75C_446EB3A61B2B_.wvu.Rows" localSheetId="12">('Хор'!$19:$24,'Хор'!$28:$33,'Хор'!$42:$42,'Хор'!$46:$46,'Хор'!$48:$50,'Хор'!$57:$57,'Хор'!$59:$61,'Хор'!$67:$68,'Хор'!$74:$74,'Хор'!$78:$79,'Хор'!$83:$87,'Хор'!$90:$97,'Хор'!$144:$144)</definedName>
    <definedName name="Z_A54C432C_6C68_4B53_A75C_446EB3A61B2B_.wvu.Rows" localSheetId="13">('Чум'!$19:$24,'Чум'!$31:$36,'Чум'!$46:$49,'Чум'!$57:$57,'Чум'!$59:$61,'Чум'!$67:$68,'Чум'!$78:$79,'Чум'!$83:$87,'Чум'!$90:$97,'Чум'!$142:$142)</definedName>
    <definedName name="Z_A54C432C_6C68_4B53_A75C_446EB3A61B2B_.wvu.Rows" localSheetId="14">('Шать'!$19:$25,'Шать'!$31:$33,'Шать'!$46:$49,'Шать'!$57:$57,'Шать'!$59:$60,'Шать'!$67:$68,'Шать'!$78:$79,'Шать'!$84:$86,'Шать'!$90:$97,'Шать'!$142:$142)</definedName>
    <definedName name="Z_A54C432C_6C68_4B53_A75C_446EB3A61B2B_.wvu.Rows" localSheetId="15">('Юнг'!$19:$24,'Юнг'!$33:$33,'Юнг'!$38:$38,'Юнг'!$46:$47,'Юнг'!$56:$56,'Юнг'!$58:$60,'Юнг'!$66:$68,'Юнг'!$77:$78,'Юнг'!$82:$86,'Юнг'!$89:$96,'Юнг'!$142:$142)</definedName>
    <definedName name="Z_A54C432C_6C68_4B53_A75C_446EB3A61B2B_.wvu.Rows" localSheetId="16">NA()</definedName>
    <definedName name="Z_A54C432C_6C68_4B53_A75C_446EB3A61B2B_.wvu.Rows" localSheetId="17">('Яра'!$19:$24,'Яра'!$32:$34,'Яра'!$46:$50,'Яра'!$58:$58,'Яра'!$60:$62,'Яра'!$68:$69,'Яра'!$79:$80,'Яра'!$84:$88,'Яра'!$91:$98,'Яра'!$143:$143)</definedName>
    <definedName name="Z_A54C432C_6C68_4B53_A75C_446EB3A61B2B_.wvu.Rows" localSheetId="18">('Яро'!$19:$24,'Яро'!$28:$36,'Яро'!$44:$44,'Яро'!$47:$47,'Яро'!$55:$55,'Яро'!$57:$59,'Яро'!$65:$66,'Яро'!$76:$76,'Яро'!$81:$85,'Яро'!$88:$95)</definedName>
    <definedName name="Z_B30CE22D_C12F_4E12_8BB9_3AAE0A6991CC_.wvu.Cols" localSheetId="1">('Справка'!$AV:$AX,'Справка'!$BB:$BD,'Справка'!$BH:$BM,'Справка'!$BT:$BY,'Справка'!$CX:$DF)</definedName>
    <definedName name="Z_B30CE22D_C12F_4E12_8BB9_3AAE0A6991CC_.wvu.PrintArea" localSheetId="3">'Але'!$A$1:$F$97</definedName>
    <definedName name="Z_B30CE22D_C12F_4E12_8BB9_3AAE0A6991CC_.wvu.PrintArea" localSheetId="5">'Иль'!$A$1:$F$105</definedName>
    <definedName name="Z_B30CE22D_C12F_4E12_8BB9_3AAE0A6991CC_.wvu.PrintArea" localSheetId="0">'Консол'!$A$1:$K$50</definedName>
    <definedName name="Z_B30CE22D_C12F_4E12_8BB9_3AAE0A6991CC_.wvu.PrintArea" localSheetId="7">'Мор'!$A$1:$F$102</definedName>
    <definedName name="Z_B30CE22D_C12F_4E12_8BB9_3AAE0A6991CC_.wvu.PrintArea" localSheetId="1">'Справка'!$A$1:$EY$31</definedName>
    <definedName name="Z_B30CE22D_C12F_4E12_8BB9_3AAE0A6991CC_.wvu.PrintArea" localSheetId="4">'Сун'!$A$1:$F$104</definedName>
    <definedName name="Z_B30CE22D_C12F_4E12_8BB9_3AAE0A6991CC_.wvu.PrintArea" localSheetId="11">'Тор'!$A$1:$F$101</definedName>
    <definedName name="Z_B30CE22D_C12F_4E12_8BB9_3AAE0A6991CC_.wvu.PrintArea" localSheetId="13">'Чум'!$A$1:$F$101</definedName>
    <definedName name="Z_B30CE22D_C12F_4E12_8BB9_3AAE0A6991CC_.wvu.PrintArea" localSheetId="15">'Юнг'!$A$1:$F$100</definedName>
    <definedName name="Z_B30CE22D_C12F_4E12_8BB9_3AAE0A6991CC_.wvu.PrintArea" localSheetId="16">'Юсь'!$A$1:$F$103</definedName>
    <definedName name="Z_B30CE22D_C12F_4E12_8BB9_3AAE0A6991CC_.wvu.PrintArea" localSheetId="17">'Яра'!$A$1:$F$102</definedName>
    <definedName name="Z_B30CE22D_C12F_4E12_8BB9_3AAE0A6991CC_.wvu.Rows" localSheetId="3">('Але'!$19:$24,'Але'!$28:$28,'Але'!$36:$36,'Але'!$45:$46,'Але'!$53:$53,'Але'!$55:$57,'Але'!$63:$64,'Але'!$74:$75,'Але'!$79:$83,'Але'!$86:$93,'Але'!$142:$142)</definedName>
    <definedName name="Z_B30CE22D_C12F_4E12_8BB9_3AAE0A6991CC_.wvu.Rows" localSheetId="5">('Иль'!$19:$24,'Иль'!$34:$34,'Иль'!$39:$40,'Иль'!$49:$51,'Иль'!$59:$59,'Иль'!$61:$63,'Иль'!$69:$70,'Иль'!$79:$80,'Иль'!$82:$82,'Иль'!$87:$91,'Иль'!$94:$101,'Иль'!$144:$144)</definedName>
    <definedName name="Z_B30CE22D_C12F_4E12_8BB9_3AAE0A6991CC_.wvu.Rows" localSheetId="6">('Кад'!$19:$24,'Кад'!$31:$36,'Кад'!$39:$39,'Кад'!$49:$50,'Кад'!$57:$57,'Кад'!$59:$61,'Кад'!$67:$68,'Кад'!$78:$79,'Кад'!$83:$87,'Кад'!$90:$97,'Кад'!$143:$143)</definedName>
    <definedName name="Z_B30CE22D_C12F_4E12_8BB9_3AAE0A6991CC_.wvu.Rows" localSheetId="0">('Консол'!$22:$22,'Консол'!$43:$45)</definedName>
    <definedName name="Z_B30CE22D_C12F_4E12_8BB9_3AAE0A6991CC_.wvu.Rows" localSheetId="19">'Лист1'!$82:$84</definedName>
    <definedName name="Z_B30CE22D_C12F_4E12_8BB9_3AAE0A6991CC_.wvu.Rows" localSheetId="7">('Мор'!$17:$24,'Мор'!$27:$27,'Мор'!$31:$33,'Мор'!$45:$45,'Мор'!$48:$48,'Мор'!$50:$51,'Мор'!$58:$58,'Мор'!$60:$61,'Мор'!$65:$66,'Мор'!$68:$69,'Мор'!$79:$80,'Мор'!$84:$89,'Мор'!$92:$98,'Мор'!$143:$143)</definedName>
    <definedName name="Z_B30CE22D_C12F_4E12_8BB9_3AAE0A6991CC_.wvu.Rows" localSheetId="8">('Мос'!$19:$24,'Мос'!$29:$33,'Мос'!$44:$44,'Мос'!$58:$58,'Мос'!$60:$61,'Мос'!$68:$69,'Мос'!$79:$80,'Мос'!$82:$82,'Мос'!$85:$92,'Мос'!$95:$102,'Мос'!$143:$143)</definedName>
    <definedName name="Z_B30CE22D_C12F_4E12_8BB9_3AAE0A6991CC_.wvu.Rows" localSheetId="9">('Ори'!$19:$24,'Ори'!$31:$35,'Ори'!$44:$44,'Ори'!$48:$50,'Ори'!$57:$57,'Ори'!$59:$60,'Ори'!$67:$68,'Ори'!$78:$79,'Ори'!$81:$81,'Ори'!$84:$88,'Ори'!$91:$98,'Ори'!$142:$142)</definedName>
    <definedName name="Z_B30CE22D_C12F_4E12_8BB9_3AAE0A6991CC_.wvu.Rows" localSheetId="4">('Сун'!$19:$24,'Сун'!$34:$36,'Сун'!$39:$39,'Сун'!$49:$51,'Сун'!$54:$54,'Сун'!$58:$58,'Сун'!$60:$62,'Сун'!$68:$69,'Сун'!$79:$80,'Сун'!$82:$82,'Сун'!$85:$85,'Сун'!$87:$90,'Сун'!$93:$100,'Сун'!$142:$142)</definedName>
    <definedName name="Z_B30CE22D_C12F_4E12_8BB9_3AAE0A6991CC_.wvu.Rows" localSheetId="10">('Сят'!$19:$24,'Сят'!$31:$33,'Сят'!$38:$38,'Сят'!$45:$47,'Сят'!$57:$57,'Сят'!$59:$60,'Сят'!$67:$68,'Сят'!$78:$79,'Сят'!$83:$87,'Сят'!$90:$97,'Сят'!$143:$143)</definedName>
    <definedName name="Z_B30CE22D_C12F_4E12_8BB9_3AAE0A6991CC_.wvu.Rows" localSheetId="11">('Тор'!$19:$24,'Тор'!$32:$36,'Тор'!$39:$39,'Тор'!$50:$50,'Тор'!$57:$57,'Тор'!$59:$60,'Тор'!$67:$68,'Тор'!$75:$75,'Тор'!$79:$80,'Тор'!$86:$87,'Тор'!$89:$95,'Тор'!$142:$142)</definedName>
    <definedName name="Z_B30CE22D_C12F_4E12_8BB9_3AAE0A6991CC_.wvu.Rows" localSheetId="12">('Хор'!$19:$24,'Хор'!$28:$38,'Хор'!$42:$42,'Хор'!$48:$50,'Хор'!$57:$57,'Хор'!$59:$61,'Хор'!$67:$68,'Хор'!$78:$79,'Хор'!$83:$87,'Хор'!$90:$97,'Хор'!$144:$144)</definedName>
    <definedName name="Z_B30CE22D_C12F_4E12_8BB9_3AAE0A6991CC_.wvu.Rows" localSheetId="13">('Чум'!$19:$24,'Чум'!$31:$36,'Чум'!$47:$49,'Чум'!$57:$57,'Чум'!$59:$61,'Чум'!$67:$68,'Чум'!$78:$79,'Чум'!$83:$87,'Чум'!$90:$97,'Чум'!$142:$142)</definedName>
    <definedName name="Z_B30CE22D_C12F_4E12_8BB9_3AAE0A6991CC_.wvu.Rows" localSheetId="14">('Шать'!$19:$25,'Шать'!$31:$33,'Шать'!$57:$57,'Шать'!$59:$60,'Шать'!$67:$68,'Шать'!$78:$79,'Шать'!$84:$86,'Шать'!$90:$97,'Шать'!$142:$142)</definedName>
    <definedName name="Z_B30CE22D_C12F_4E12_8BB9_3AAE0A6991CC_.wvu.Rows" localSheetId="15">('Юнг'!$19:$24,'Юнг'!$38:$38,'Юнг'!$46:$46,'Юнг'!$56:$56,'Юнг'!$58:$60,'Юнг'!$66:$67,'Юнг'!$77:$78,'Юнг'!$82:$86,'Юнг'!$89:$96,'Юнг'!$142:$142)</definedName>
    <definedName name="Z_B30CE22D_C12F_4E12_8BB9_3AAE0A6991CC_.wvu.Rows" localSheetId="16">('Юсь'!$19:$24,'Юсь'!$31:$33,'Юсь'!$38:$38,'Юсь'!$45:$50,'Юсь'!$59:$59,'Юсь'!$61:$62,'Юсь'!$69:$70,'Юсь'!$80:$81,'Юсь'!$85:$89,'Юсь'!$92:$99,'Юсь'!$143:$143)</definedName>
    <definedName name="Z_B30CE22D_C12F_4E12_8BB9_3AAE0A6991CC_.wvu.Rows" localSheetId="17">('Яра'!$19:$24,'Яра'!$46:$46,'Яра'!$48:$50,'Яра'!$58:$58,'Яра'!$60:$61,'Яра'!$68:$69,'Яра'!$79:$80,'Яра'!$84:$88,'Яра'!$91:$98,'Яра'!$143:$143)</definedName>
    <definedName name="Z_B30CE22D_C12F_4E12_8BB9_3AAE0A6991CC_.wvu.Rows" localSheetId="18">('Яро'!$19:$24,'Яро'!$28:$28,'Яро'!$36:$36,'Яро'!$44:$44,'Яро'!$55:$55,'Яро'!$57:$59,'Яро'!$65:$66,'Яро'!$76:$76,'Яро'!$81:$85,'Яро'!$88:$91,'Яро'!$93:$95)</definedName>
    <definedName name="Z_B31C8DB7_3E78_4144_A6B5_8DE36DE63F0E_.wvu.Cols" localSheetId="1">('Справка'!$AV:$AX,'Справка'!$BB:$BD,'Справка'!$BH:$BM,'Справка'!$BT:$BY,'Справка'!$CX:$DF)</definedName>
    <definedName name="Z_B31C8DB7_3E78_4144_A6B5_8DE36DE63F0E_.wvu.PrintArea" localSheetId="5">'Иль'!$A$1:$F$105</definedName>
    <definedName name="Z_B31C8DB7_3E78_4144_A6B5_8DE36DE63F0E_.wvu.PrintArea" localSheetId="0">'Консол'!$A$1:$K$50</definedName>
    <definedName name="Z_B31C8DB7_3E78_4144_A6B5_8DE36DE63F0E_.wvu.PrintArea" localSheetId="7">'Мор'!$A$1:$F$102</definedName>
    <definedName name="Z_B31C8DB7_3E78_4144_A6B5_8DE36DE63F0E_.wvu.PrintArea" localSheetId="1">'Справка'!$A$1:$EY$31</definedName>
    <definedName name="Z_B31C8DB7_3E78_4144_A6B5_8DE36DE63F0E_.wvu.PrintArea" localSheetId="11">'Тор'!$A$1:$F$101</definedName>
    <definedName name="Z_B31C8DB7_3E78_4144_A6B5_8DE36DE63F0E_.wvu.PrintArea" localSheetId="15">'Юнг'!$A$1:$F$100</definedName>
    <definedName name="Z_B31C8DB7_3E78_4144_A6B5_8DE36DE63F0E_.wvu.PrintArea" localSheetId="17">'Яра'!$A$1:$F$102</definedName>
    <definedName name="Z_B31C8DB7_3E78_4144_A6B5_8DE36DE63F0E_.wvu.Rows" localSheetId="3">('Але'!$19:$24,'Але'!$46:$46,'Але'!$53:$53,'Але'!$55:$56,'Але'!$63:$64,'Але'!$74:$75,'Але'!$79:$83,'Але'!$87:$89)</definedName>
    <definedName name="Z_B31C8DB7_3E78_4144_A6B5_8DE36DE63F0E_.wvu.Rows" localSheetId="5">('Иль'!$19:$24,'Иль'!$46:$46,'Иль'!$51:$51,'Иль'!$61:$62,'Иль'!$69:$70,'Иль'!$79:$80,'Иль'!$82:$82,'Иль'!$87:$91,'Иль'!$94:$98)</definedName>
    <definedName name="Z_B31C8DB7_3E78_4144_A6B5_8DE36DE63F0E_.wvu.Rows" localSheetId="6">('Кад'!$19:$24,'Кад'!$45:$45,'Кад'!$57:$57,'Кад'!$59:$60,'Кад'!$67:$68,'Кад'!$84:$86,'Кад'!$90:$93,'Кад'!$95:$97)</definedName>
    <definedName name="Z_B31C8DB7_3E78_4144_A6B5_8DE36DE63F0E_.wvu.Rows" localSheetId="0">('Консол'!$22:$22,'Консол'!$43:$45,'Консол'!$82:$84)</definedName>
    <definedName name="Z_B31C8DB7_3E78_4144_A6B5_8DE36DE63F0E_.wvu.Rows" localSheetId="19">'Лист1'!$82:$84</definedName>
    <definedName name="Z_B31C8DB7_3E78_4144_A6B5_8DE36DE63F0E_.wvu.Rows" localSheetId="7">('Мор'!$21:$21,'Мор'!$23:$23,'Мор'!$38:$38,'Мор'!$45:$45,'Мор'!$48:$48,'Мор'!$50:$51,'Мор'!$58:$58,'Мор'!$60:$61,'Мор'!$68:$69,'Мор'!$84:$89,'Мор'!$92:$98)</definedName>
    <definedName name="Z_B31C8DB7_3E78_4144_A6B5_8DE36DE63F0E_.wvu.Rows" localSheetId="8">('Мос'!$19:$24,'Мос'!$44:$44,'Мос'!$58:$58,'Мос'!$60:$61,'Мос'!$68:$69,'Мос'!$82:$82,'Мос'!$84:$90,'Мос'!$95:$100)</definedName>
    <definedName name="Z_B31C8DB7_3E78_4144_A6B5_8DE36DE63F0E_.wvu.Rows" localSheetId="9">('Ори'!$19:$24,'Ори'!$32:$32,'Ори'!$44:$44,'Ори'!$48:$50,'Ори'!$57:$57,'Ори'!$59:$60,'Ори'!$67:$68,'Ори'!$78:$79,'Ори'!$81:$81,'Ори'!$83:$87,'Ори'!$91:$98)</definedName>
    <definedName name="Z_B31C8DB7_3E78_4144_A6B5_8DE36DE63F0E_.wvu.Rows" localSheetId="2">('район'!$18:$19,'район'!$21:$21,'район'!$29:$31,'район'!$51:$52,'район'!$64:$64,'район'!$71:$71,'район'!$88:$88,'район'!$95:$95,'район'!$123:$125)</definedName>
    <definedName name="Z_B31C8DB7_3E78_4144_A6B5_8DE36DE63F0E_.wvu.Rows" localSheetId="4">('Сун'!$19:$24,'Сун'!$49:$51,'Сун'!$58:$58,'Сун'!$60:$61,'Сун'!$68:$69,'Сун'!$79:$79,'Сун'!$82:$82,'Сун'!$88:$89,'Сун'!$93:$97)</definedName>
    <definedName name="Z_B31C8DB7_3E78_4144_A6B5_8DE36DE63F0E_.wvu.Rows" localSheetId="10">('Сят'!$19:$19,'Сят'!$45:$47,'Сят'!$57:$57,'Сят'!$59:$60,'Сят'!$67:$68,'Сят'!$83:$86,'Сят'!$90:$97)</definedName>
    <definedName name="Z_B31C8DB7_3E78_4144_A6B5_8DE36DE63F0E_.wvu.Rows" localSheetId="11">('Тор'!$19:$19,'Тор'!$50:$50,'Тор'!$57:$57,'Тор'!$59:$60,'Тор'!$67:$68,'Тор'!$75:$75,'Тор'!$79:$80,'Тор'!$84:$95)</definedName>
    <definedName name="Z_B31C8DB7_3E78_4144_A6B5_8DE36DE63F0E_.wvu.Rows" localSheetId="12">('Хор'!$19:$24,'Хор'!$32:$32,'Хор'!$42:$42,'Хор'!$57:$57,'Хор'!$59:$60,'Хор'!$67:$68,'Хор'!$83:$87,'Хор'!$90:$97)</definedName>
    <definedName name="Z_B31C8DB7_3E78_4144_A6B5_8DE36DE63F0E_.wvu.Rows" localSheetId="13">('Чум'!$19:$19,'Чум'!$21:$21,'Чум'!$23:$24,'Чум'!$47:$49,'Чум'!$57:$57,'Чум'!$59:$60,'Чум'!$67:$68,'Чум'!$83:$87,'Чум'!$90:$97)</definedName>
    <definedName name="Z_B31C8DB7_3E78_4144_A6B5_8DE36DE63F0E_.wvu.Rows" localSheetId="14">('Шать'!$19:$24,'Шать'!$47:$49,'Шать'!$57:$57,'Шать'!$59:$60,'Шать'!$67:$68,'Шать'!$78:$79,'Шать'!$83:$87,'Шать'!$90:$97)</definedName>
    <definedName name="Z_B31C8DB7_3E78_4144_A6B5_8DE36DE63F0E_.wvu.Rows" localSheetId="15">('Юнг'!$19:$24,'Юнг'!$32:$32,'Юнг'!$56:$56,'Юнг'!$58:$59,'Юнг'!$66:$67,'Юнг'!$82:$86,'Юнг'!$89:$96)</definedName>
    <definedName name="Z_B31C8DB7_3E78_4144_A6B5_8DE36DE63F0E_.wvu.Rows" localSheetId="17">('Яра'!$19:$24,'Яра'!$46:$46,'Яра'!$48:$50,'Яра'!$58:$58,'Яра'!$60:$61,'Яра'!$68:$69,'Яра'!$79:$79,'Яра'!$84:$88,'Яра'!$91:$98)</definedName>
    <definedName name="Z_B31C8DB7_3E78_4144_A6B5_8DE36DE63F0E_.wvu.Rows" localSheetId="18">('Яро'!$19:$24,'Яро'!$55:$55,'Яро'!$57:$58,'Яро'!$65:$66,'Яро'!$76:$77,'Яро'!$81:$86,'Яро'!$88:$95)</definedName>
    <definedName name="_xlnm.Print_Area" localSheetId="5">'Иль'!$A$1:$F$105</definedName>
    <definedName name="_xlnm.Print_Area" localSheetId="0">'Консол'!$A$1:$K$50</definedName>
    <definedName name="_xlnm.Print_Area" localSheetId="7">'Мор'!$A$1:$F$102</definedName>
    <definedName name="_xlnm.Print_Area" localSheetId="2">'район'!$A$1:$F$137</definedName>
    <definedName name="_xlnm.Print_Area" localSheetId="1">'Справка'!$A$1:$EY$31</definedName>
    <definedName name="_xlnm.Print_Area" localSheetId="11">'Тор'!$A$1:$F$101</definedName>
    <definedName name="_xlnm.Print_Area" localSheetId="15">'Юнг'!$A$1:$F$100</definedName>
    <definedName name="_xlnm.Print_Area" localSheetId="17">'Яра'!$A$1:$F$102</definedName>
  </definedNames>
  <calcPr fullCalcOnLoad="1"/>
</workbook>
</file>

<file path=xl/sharedStrings.xml><?xml version="1.0" encoding="utf-8"?>
<sst xmlns="http://schemas.openxmlformats.org/spreadsheetml/2006/main" count="2859" uniqueCount="446">
  <si>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</si>
  <si>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</si>
  <si>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</si>
  <si>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</si>
  <si>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</si>
  <si>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план на 2021 г.</t>
  </si>
  <si>
    <t>% исполнения к плану</t>
  </si>
  <si>
    <t>НАЛОГОВЫЕ ДОХОДЫ</t>
  </si>
  <si>
    <t>налог на доходы физических лиц</t>
  </si>
  <si>
    <t>налоги на товары (работы и услуги), реализуемые на территории РФ</t>
  </si>
  <si>
    <t>налог на совокупный доход</t>
  </si>
  <si>
    <t>налог на имущество</t>
  </si>
  <si>
    <t>транспортный налог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</si>
  <si>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</si>
  <si>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</si>
  <si>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</si>
  <si>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</si>
  <si>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</si>
  <si>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</si>
  <si>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</si>
  <si>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</si>
  <si>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</si>
  <si>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</si>
  <si>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</si>
  <si>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</si>
  <si>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</si>
  <si>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</si>
  <si>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>БЕЗВОЗМЕЗДНЫЕ ПЕРЕЧИСЛЕНИЯ</t>
  </si>
  <si>
    <t>Прочие безвозмездные поступления</t>
  </si>
  <si>
    <t>Возврат остатков субсидий и субвенций</t>
  </si>
  <si>
    <t>ВСЕГО ДОХОДОВ</t>
  </si>
  <si>
    <t>ВСЕГО РАСХОДОВ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</si>
  <si>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</si>
  <si>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</si>
  <si>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</si>
  <si>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</si>
  <si>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</si>
  <si>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</si>
  <si>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</si>
  <si>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</si>
  <si>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</si>
  <si>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</si>
  <si>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</si>
  <si>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</si>
  <si>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</si>
  <si>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</si>
  <si>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культура</t>
  </si>
  <si>
    <t>0800</t>
  </si>
  <si>
    <t>социальная политика</t>
  </si>
  <si>
    <t>1000</t>
  </si>
  <si>
    <t>физическая культура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</si>
  <si>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</si>
  <si>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</si>
  <si>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</si>
  <si>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</si>
  <si>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</si>
  <si>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межбюджетные трансферты</t>
  </si>
  <si>
    <t>1400</t>
  </si>
  <si>
    <t>Заместитель главы администрации</t>
  </si>
  <si>
    <t>Моргаушского района-начальник финансового отдела</t>
  </si>
  <si>
    <t>Р.И. Ананьева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</si>
  <si>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</si>
  <si>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</si>
  <si>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</si>
  <si>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</si>
  <si>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</si>
  <si>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</si>
  <si>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</si>
  <si>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</si>
  <si>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</si>
  <si>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</si>
  <si>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</si>
  <si>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</si>
  <si>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</si>
  <si>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</si>
  <si>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</si>
  <si>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доходы от уплаты акцизов на дизельное топливо 00010302230010000110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</si>
  <si>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</si>
  <si>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</si>
  <si>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</si>
  <si>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</si>
  <si>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</si>
  <si>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</si>
  <si>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</si>
  <si>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Задолженность  и перерасчеты по отмененным налогам, сборам и иным обязательным платежам (код дохода 00010900000000000000)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</si>
  <si>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</si>
  <si>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</si>
  <si>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</si>
  <si>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</si>
  <si>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Доходы от оказания платных услуг и компенсации затрат государства                                         000 113 00000 00 0000 000</t>
  </si>
  <si>
    <t>Доходы от реализации имущества, находящегося в собственности сельских поселений                                  000 11402050100000 410</t>
  </si>
  <si>
    <t>Доходы от реализации имущества                                          000 114 02014100000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</si>
  <si>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</si>
  <si>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               (116 00000 00 0000 000)</t>
  </si>
  <si>
    <t>Штрафы, санкции, возмещение ущерба (код 000 1 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</si>
  <si>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</si>
  <si>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</si>
  <si>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</si>
  <si>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</si>
  <si>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</si>
  <si>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Субсидии</t>
  </si>
  <si>
    <t>Субвенции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</si>
  <si>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</si>
  <si>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</si>
  <si>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 в бюджеты поселений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</si>
  <si>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</si>
  <si>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</si>
  <si>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</si>
  <si>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</si>
  <si>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</si>
  <si>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</si>
  <si>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00008000000000000000)</t>
  </si>
  <si>
    <t>Cоциальная  политика (код БК расходов 100000000000)</t>
  </si>
  <si>
    <t>Физическая культура и спорт    (1101000000000000000)</t>
  </si>
  <si>
    <t>Межбюджетные трансферты   (140000000000)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</si>
  <si>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</si>
  <si>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</si>
  <si>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</si>
  <si>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>Другие общегосударственные расходы (0113000000000000)</t>
  </si>
  <si>
    <t xml:space="preserve">план </t>
  </si>
  <si>
    <t>факт</t>
  </si>
  <si>
    <t>процент исполнения</t>
  </si>
  <si>
    <t>план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</si>
  <si>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</si>
  <si>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</si>
  <si>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</si>
  <si>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</si>
  <si>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</si>
  <si>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</si>
  <si>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</si>
  <si>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</si>
  <si>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</si>
  <si>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</si>
  <si>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</si>
  <si>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</si>
  <si>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</si>
  <si>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</si>
  <si>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</si>
  <si>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</si>
  <si>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Итого по поселениям</t>
  </si>
  <si>
    <t xml:space="preserve">                                                                Анализ исполнения райбюджета</t>
  </si>
  <si>
    <t>Коды бюджетной классификации РФ</t>
  </si>
  <si>
    <t>Наименование доходов</t>
  </si>
  <si>
    <t>назначено на 2021 г.</t>
  </si>
  <si>
    <t>% испол.</t>
  </si>
  <si>
    <t>отклон.</t>
  </si>
  <si>
    <t>НАЛОГИ НА ПРИБЫЛЬ</t>
  </si>
  <si>
    <t>Налог на доходы физических лиц</t>
  </si>
  <si>
    <t>Налоги на товары (работы и услуги) реализуемые на территории РФ</t>
  </si>
  <si>
    <t>Акцизы на диз. топливо</t>
  </si>
  <si>
    <t>Акцизы на моторные масла</t>
  </si>
  <si>
    <t>Акцизы на автомобильный бензин</t>
  </si>
  <si>
    <t>Акцизы на прямогонный бензин</t>
  </si>
  <si>
    <t>НАЛОГИ НА СОВОКУПНЫЙ ДОХОД</t>
  </si>
  <si>
    <t>Упрощенная система налогооблажения</t>
  </si>
  <si>
    <t>ЕН на вмененный доход</t>
  </si>
  <si>
    <t>ЕН с/х предприятий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</si>
  <si>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</si>
  <si>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</si>
  <si>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физ.лиц</t>
  </si>
  <si>
    <t>Налог на имущество организаций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</si>
  <si>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</si>
  <si>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</si>
  <si>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</si>
  <si>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</si>
  <si>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ПРОЧИЕ НАЛОГИ, СБОРЫ И ПОШЛИНЫ</t>
  </si>
  <si>
    <t xml:space="preserve">Государственная пошлина по делам, рассм. в судах </t>
  </si>
  <si>
    <t>Государственная пошлина за соверш.нотар.действ.</t>
  </si>
  <si>
    <t>Государственная пошлина за государственную регистрацию, а также за совершение прочих юридически 
значимых действийГосударственная пошлина за государственную регистрацию, а также за совершение прочих юридически 
значимых действий</t>
  </si>
  <si>
    <t>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</si>
  <si>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</si>
  <si>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</si>
  <si>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</si>
  <si>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</si>
  <si>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</si>
  <si>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Доходы в виде прибыли, приходящейся на доли в уставных капиталах</t>
  </si>
  <si>
    <t xml:space="preserve">Проценты, полученные от предос. бюдж. кред </t>
  </si>
  <si>
    <t>Арендная плата за землю</t>
  </si>
  <si>
    <t>Доходы от сдачи в аренду имущ.наход.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</si>
  <si>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</si>
  <si>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Доходы от муниципальных унитарных предприятий</t>
  </si>
  <si>
    <t>Доходы от эксплуатации имущества</t>
  </si>
  <si>
    <t>Прочие поступления от использования имущества</t>
  </si>
  <si>
    <t>ПЛАТЕЖИ ПРИ ПОЛЬЗОВАНИИ ПРИРОДНЫМИ РЕСУРСАМИ</t>
  </si>
  <si>
    <t>Плата за негативные воздействия на окружающую среду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</si>
  <si>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</si>
  <si>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</si>
  <si>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Доходы от оказания платных услуг</t>
  </si>
  <si>
    <t>ДОХОДЫ ОТ ПРОДАЖИ МАТ. И НЕМАТ. АКТИВОВ</t>
  </si>
  <si>
    <t>Доходы от реализации имущества</t>
  </si>
  <si>
    <t>Доходы от продажи земли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</si>
  <si>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</si>
  <si>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</si>
  <si>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 xml:space="preserve"> ШТРАФЫ, САНКЦИИ, ВОЗМЕЩЕНИЕ УЩЕРБА</t>
  </si>
  <si>
    <t>Административные штрафы</t>
  </si>
  <si>
    <t>Иные штафы, неустойки, пени, уплаченные в соотв с законом или договорам</t>
  </si>
  <si>
    <t>Доходы от д.в. (штрафов),поступ в счет погашения задолж., образ до 1 января 2020 года</t>
  </si>
  <si>
    <t>Платежи, уплачиваемые в целях возмещения вреда</t>
  </si>
  <si>
    <t>ПРОЧИЕ НЕНАЛОГОВЫЕ ДОХОДЫ</t>
  </si>
  <si>
    <t>Невыясненные поступления</t>
  </si>
  <si>
    <t>Прочие неналоговые доходы</t>
  </si>
  <si>
    <t>БЕЗВОЗДМЕЗДНЫЕ ПЕРЕЧИСЛЕНИЯ</t>
  </si>
  <si>
    <t>Дотация от бюджетов других уровней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</si>
  <si>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</si>
  <si>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</si>
  <si>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Сбалансированность</t>
  </si>
  <si>
    <t>Субсидии бюджетам РФ</t>
  </si>
  <si>
    <t>Субвенции бюджетам РФ</t>
  </si>
  <si>
    <t>Доходы от возврата остатка субсидий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</si>
  <si>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</si>
  <si>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</si>
  <si>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</si>
  <si>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 xml:space="preserve">(Дефицит -) профицит </t>
  </si>
  <si>
    <t>Наименование расходов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</si>
  <si>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</si>
  <si>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</si>
  <si>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</si>
  <si>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</si>
  <si>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</si>
  <si>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</si>
  <si>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</si>
  <si>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</si>
  <si>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</si>
  <si>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</si>
  <si>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</si>
  <si>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</si>
  <si>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</si>
  <si>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</si>
  <si>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</si>
  <si>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НАЦИОНАЛЬНАЯ ОБОРОНА</t>
  </si>
  <si>
    <t>0203</t>
  </si>
  <si>
    <t xml:space="preserve">Мобилизационная и вневоинская подготовка  </t>
  </si>
  <si>
    <t>НАЦИОНАЛЬНАЯ БЕЗОПАСНОСТЬ</t>
  </si>
  <si>
    <t>0302</t>
  </si>
  <si>
    <t>Органы внутренних дел</t>
  </si>
  <si>
    <t>0304</t>
  </si>
  <si>
    <t>Органы юстиции</t>
  </si>
  <si>
    <t>0309</t>
  </si>
  <si>
    <t>Защита населения и территории от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</si>
  <si>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</si>
  <si>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</si>
  <si>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</si>
  <si>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</si>
  <si>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</si>
  <si>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</si>
  <si>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</si>
  <si>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</si>
  <si>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</si>
  <si>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</si>
  <si>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</si>
  <si>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</si>
  <si>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</t>
  </si>
  <si>
    <t>0412</t>
  </si>
  <si>
    <t>Другие вопросы в области национальной экономики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</si>
  <si>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</si>
  <si>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</si>
  <si>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</si>
  <si>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</si>
  <si>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</si>
  <si>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</si>
  <si>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</si>
  <si>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ОХРАНА ОКРУЖАЮЩЕЙ СРЕДЫ</t>
  </si>
  <si>
    <t>0603</t>
  </si>
  <si>
    <t>Охрана обьектов растительного и животного мира и среды их обитания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</si>
  <si>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</si>
  <si>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</si>
  <si>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</si>
  <si>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</si>
  <si>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</si>
  <si>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</si>
  <si>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</si>
  <si>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</si>
  <si>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</si>
  <si>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</si>
  <si>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</si>
  <si>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 xml:space="preserve">КУЛЬТУРА И КИНЕМАТОГРАФИЯ </t>
  </si>
  <si>
    <t>0801</t>
  </si>
  <si>
    <t>Культура</t>
  </si>
  <si>
    <t>0804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</si>
  <si>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</si>
  <si>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</si>
  <si>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</si>
  <si>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</si>
  <si>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</si>
  <si>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</si>
  <si>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</si>
  <si>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</si>
  <si>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</si>
  <si>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</si>
  <si>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</si>
  <si>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</si>
  <si>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</si>
  <si>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</si>
  <si>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</si>
  <si>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</si>
  <si>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</si>
  <si>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</si>
  <si>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СРЕДСТВА МАССОВОЙ ИНФОРМАЦИИ</t>
  </si>
  <si>
    <t>1202</t>
  </si>
  <si>
    <t>Периодическая печать и издательство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</si>
  <si>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</si>
  <si>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</si>
  <si>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</si>
  <si>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</si>
  <si>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</si>
  <si>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</si>
  <si>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</si>
  <si>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</si>
  <si>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</si>
  <si>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</si>
  <si>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</si>
  <si>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 xml:space="preserve"> </t>
  </si>
  <si>
    <t>Акциз на моторные масла</t>
  </si>
  <si>
    <t>Акциза на прямогонный бензин</t>
  </si>
  <si>
    <t>Государственная пошлина за государственную регистрацию, а также за совершение прочих юридически 
значимых действий</t>
  </si>
  <si>
    <t>Поступления от денежных пожертвований</t>
  </si>
  <si>
    <t>(Дефицит -) профицит</t>
  </si>
  <si>
    <t>Органы юсиции</t>
  </si>
  <si>
    <t>Другие вопросы в облости национальной безопасности</t>
  </si>
  <si>
    <t>Сельское хозяйство</t>
  </si>
  <si>
    <t>Водные ресурсы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</si>
  <si>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</si>
  <si>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 xml:space="preserve">   ЗАДОЛЖЕННОСТЬ И ПЕРЕРАСЧЕТЫ ПО ОТМЕНЕННЫМ НАЛОГАМ И СБОРАМ</t>
  </si>
  <si>
    <t>Арендная плата за землю после разграничения</t>
  </si>
  <si>
    <t xml:space="preserve">  Доходы от реализации имущества</t>
  </si>
  <si>
    <t>ШТРАФЫ, САНКЦИИ, ВОЗМЕЩЕНИЕ УЩЕРБА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</si>
  <si>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</si>
  <si>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Прочие субсидии</t>
  </si>
  <si>
    <t>Прочие безбозмездные поступления</t>
  </si>
  <si>
    <t>Прочие безвозмездные поступления от других бюджетов 
бюджетной системы</t>
  </si>
  <si>
    <t>0505</t>
  </si>
  <si>
    <t>Другие вопросы в области ЖКХ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</si>
  <si>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</si>
  <si>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Доходы от оказания платных услуг</t>
  </si>
  <si>
    <t>Иные штрафы, неустойки, пени</t>
  </si>
  <si>
    <t>Штрафы,неустойки,пени,уплаченные в случае просрочки исполнения поставщиком</t>
  </si>
  <si>
    <t xml:space="preserve">Другие вопросы </t>
  </si>
  <si>
    <t xml:space="preserve">Акцизы на прямогонный бензин </t>
  </si>
  <si>
    <t>Штрафы,неустойки, пени</t>
  </si>
  <si>
    <t xml:space="preserve">Акцизы </t>
  </si>
  <si>
    <t>Налог на имущество физ. лиц</t>
  </si>
  <si>
    <t>Налоги на имущество</t>
  </si>
  <si>
    <t>Штрафы,неустойки, пени, уплаченные в соответствии с законом или договором в случае неисполнения или ненадлежащего исполнения обязательств перед государ.органом</t>
  </si>
  <si>
    <t>Прочие безвозмездные поступления от других бюджетов 
бюджетной системыПрочие безвозмездные поступления от других бюджетов 
бюджетной системы</t>
  </si>
  <si>
    <t xml:space="preserve">Прочие безвозмездные поступления </t>
  </si>
  <si>
    <t>Другие вопросы</t>
  </si>
  <si>
    <t>Акцизы на прямогонный  бензин</t>
  </si>
  <si>
    <t xml:space="preserve">   Доходы от сдачи в аренду имущ.наход.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</si>
  <si>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</si>
  <si>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Дотация бюджетам по обеспечению сбалансированности бюджетов</t>
  </si>
  <si>
    <t xml:space="preserve">Прочие безвозмездные поступления  </t>
  </si>
  <si>
    <t>Другие вопросы в области национальной безоапсности</t>
  </si>
  <si>
    <t>ШТРАФЫ</t>
  </si>
  <si>
    <t>Другие вопросы в области жилищно-коммунального хозяйства</t>
  </si>
  <si>
    <t>Штрафы, неустойки, пени,уплаченные в случаепросрочки поставщиком</t>
  </si>
  <si>
    <t xml:space="preserve">Прочие безвозмездные поступления   </t>
  </si>
  <si>
    <t>Прочие налоги и сборы (по отм. местн. нал. и сборам)</t>
  </si>
  <si>
    <t xml:space="preserve">  Доходы от возмещения расходов</t>
  </si>
  <si>
    <t>Прочие доходы от компенсации затрат</t>
  </si>
  <si>
    <t>\</t>
  </si>
  <si>
    <t>Штрафы,Санкции, Возмещение ущерба</t>
  </si>
  <si>
    <t>Штрафы, неустойки, пени</t>
  </si>
  <si>
    <t>Возврат остатков субсидий</t>
  </si>
  <si>
    <t>Другие вопросы в области национльной безопасности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</si>
  <si>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</si>
  <si>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 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</si>
  <si>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</si>
  <si>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Возврат излишне уплаченных налогов из бюджетов поселений</t>
  </si>
  <si>
    <t>Государственная пошлина за соверш. нотар. действ.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</si>
  <si>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</si>
  <si>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</si>
  <si>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платы об установлении сервитута</t>
  </si>
  <si>
    <t>Невясненные поступления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</si>
  <si>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</si>
  <si>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</si>
  <si>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</si>
  <si>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</si>
  <si>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</si>
  <si>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</si>
  <si>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</si>
  <si>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</si>
  <si>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%</t>
  </si>
  <si>
    <t>сумма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</si>
  <si>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</si>
  <si>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</si>
  <si>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</si>
  <si>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</si>
  <si>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</si>
  <si>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</si>
  <si>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</si>
  <si>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</si>
  <si>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</si>
  <si>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</si>
  <si>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</si>
  <si>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</si>
  <si>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</si>
  <si>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</si>
  <si>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</si>
  <si>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</si>
  <si>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</si>
  <si>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</si>
  <si>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</si>
  <si>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</si>
  <si>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</si>
  <si>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</si>
  <si>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</si>
  <si>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</si>
  <si>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</si>
  <si>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</si>
  <si>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</si>
  <si>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</si>
  <si>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</si>
  <si>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</si>
  <si>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</si>
  <si>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</si>
  <si>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</si>
  <si>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</si>
  <si>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</si>
  <si>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</si>
  <si>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</si>
  <si>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Штрафы, неустойки, пени, </t>
  </si>
  <si>
    <t>Доходы от денежных взысканий (штрафов), поступающие в счет погашения задолженности</t>
  </si>
  <si>
    <t>Штрафы,неустойки,пени, уплаченные в случае просрочки исполнения поставщиком</t>
  </si>
  <si>
    <t>Доходы от денежных взысканий(штрафов)</t>
  </si>
  <si>
    <t xml:space="preserve">                     Анализ исполнения бюджета Тораевского сельского поселения на 01.12.2021 г.</t>
  </si>
  <si>
    <t>об исполнении бюджетов поселений  Моргаушского района  на 1 декабря 2021 г.</t>
  </si>
  <si>
    <t>исполнено на 01.01.2022г.</t>
  </si>
  <si>
    <t xml:space="preserve">                     Анализ исполнения бюджета Александровского сельского поселения на 01.01.2022 г.</t>
  </si>
  <si>
    <t xml:space="preserve">                     Анализ исполнения бюджета Большесундырского сельского поселения на 01.01.2022 г.</t>
  </si>
  <si>
    <t xml:space="preserve">                     Анализ исполнения бюджета Ильинского сельского поселения на 01.01.2022 г.</t>
  </si>
  <si>
    <t xml:space="preserve">                     Анализ исполнения бюджета Кадикасинского сельского поселения на 01.01.2022 г.</t>
  </si>
  <si>
    <t xml:space="preserve">                     Анализ исполнения бюджета Моргаушского сельского поселения на 01.01.2022 г.</t>
  </si>
  <si>
    <t xml:space="preserve">                     Анализ исполнения бюджета Москакасинского сельского поселения на 01.01.2022 г.</t>
  </si>
  <si>
    <t xml:space="preserve">                     Анализ исполнения бюджета Орининского сельского поселения на 01.01.2022 г.</t>
  </si>
  <si>
    <t xml:space="preserve">                     Анализ исполнения бюджета Сятракасинского сельского поселения на 01.01.2022 г.</t>
  </si>
  <si>
    <t xml:space="preserve">                     Анализ исполнения бюджета Хорнойского сельского поселения на 01.01.2022 г.</t>
  </si>
  <si>
    <t xml:space="preserve">                     Анализ исполнения бюджета Чуманкасинского сельского поселения на 01.01.2022 г.</t>
  </si>
  <si>
    <t xml:space="preserve">                     Анализ исполнения бюджета Шатьмапосинского сельского поселения на 01.01.2022 г.</t>
  </si>
  <si>
    <t xml:space="preserve">                     Анализ исполнения бюджета Юнгинского сельского поселения на 01.01.2022 г.</t>
  </si>
  <si>
    <t xml:space="preserve">                     Анализ исполнения бюджета Юськасинского сельского поселения на 01.01.2022 г.</t>
  </si>
  <si>
    <t xml:space="preserve">                     Анализ исполнения бюджета Ярабайкасинского сельского поселения на 01.01.2022 г.</t>
  </si>
  <si>
    <t xml:space="preserve">                     Анализ исполнения бюджета Ярославского сельского поселения на 01.01.2022 г.</t>
  </si>
  <si>
    <t xml:space="preserve">исполнено на 01.01.2022 г. </t>
  </si>
  <si>
    <t>исполнено на 01.01.2022 г.</t>
  </si>
  <si>
    <t xml:space="preserve">                                                        Моргаушского района на 01.01.2022 г. </t>
  </si>
  <si>
    <t>Анализ исполнения консолидированного бюджета Моргаушского районана 01.01.2022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</si>
</sst>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#,##0.0"/>
    <numFmt numFmtId="175" formatCode="0.0000000"/>
    <numFmt numFmtId="176" formatCode="0.000000"/>
    <numFmt numFmtId="177" formatCode="#,##0.00000"/>
    <numFmt numFmtId="178" formatCode="#,##0.0000"/>
    <numFmt numFmtId="179" formatCode="#,##0.000000"/>
    <numFmt numFmtId="180" formatCode="#,##0.00000000"/>
    <numFmt numFmtId="181" formatCode="\ #,##0.00\ ;&quot; (&quot;#,##0.00\);&quot; -&quot;#\ ;@\ "/>
    <numFmt numFmtId="182" formatCode="&quot; $&quot;#,##0.00\ ;&quot; $(&quot;#,##0.00\);&quot; $-&quot;#\ ;@\ "/>
    <numFmt numFmtId="183" formatCode="\ #,##0.0&quot;    &quot;;\-#,##0.0&quot;    &quot;;&quot; -&quot;#&quot;    &quot;;@\ "/>
    <numFmt numFmtId="184" formatCode="\ #,##0.0\ ;&quot; (&quot;#,##0.0\);&quot; -&quot;#\ ;@\ "/>
    <numFmt numFmtId="185" formatCode="\ #,##0.00000\ ;&quot; (&quot;#,##0.00000\);&quot; -&quot;#\ ;@\ "/>
    <numFmt numFmtId="186" formatCode="0.0000"/>
    <numFmt numFmtId="187" formatCode="\ #,##0\ ;&quot; (&quot;#,##0\);&quot; -&quot;#\ ;@\ "/>
    <numFmt numFmtId="188" formatCode="\ #,##0.00000&quot;    &quot;;\-#,##0.00000&quot;    &quot;;&quot; -&quot;#&quot;    &quot;;@\ "/>
    <numFmt numFmtId="189" formatCode="\ #,##0.0000\ ;&quot; (&quot;#,##0.0000\);&quot; -&quot;#\ ;@\ "/>
    <numFmt numFmtId="190" formatCode="\ #,##0.000\ ;&quot; (&quot;#,##0.000\);&quot; -&quot;#\ ;@\ "/>
    <numFmt numFmtId="191" formatCode="\ #,##0.000000\ ;&quot; (&quot;#,##0.000000\);&quot; -&quot;#\ ;@\ "/>
    <numFmt numFmtId="192" formatCode="0.000"/>
    <numFmt numFmtId="193" formatCode="\ #,##0.0000000&quot;    &quot;;\-#,##0.0000000&quot;    &quot;;&quot; -&quot;#&quot;    &quot;;@\ "/>
    <numFmt numFmtId="194" formatCode="[$-FC19]d\ mmmm\ yyyy\ &quot;г.&quot;"/>
    <numFmt numFmtId="195" formatCode="#,##0.000"/>
    <numFmt numFmtId="196" formatCode="#,##0.00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4"/>
      <name val="Arial"/>
      <family val="2"/>
    </font>
    <font>
      <sz val="14"/>
      <name val="Arial Cyr"/>
      <family val="2"/>
    </font>
    <font>
      <sz val="14"/>
      <name val="TimesET"/>
      <family val="0"/>
    </font>
    <font>
      <sz val="14"/>
      <name val="Arial"/>
      <family val="2"/>
    </font>
    <font>
      <sz val="14"/>
      <color indexed="8"/>
      <name val="Arial Cyr"/>
      <family val="2"/>
    </font>
    <font>
      <sz val="14"/>
      <color indexed="8"/>
      <name val="TimesET"/>
      <family val="0"/>
    </font>
    <font>
      <b/>
      <sz val="14"/>
      <name val="TimesET"/>
      <family val="0"/>
    </font>
    <font>
      <b/>
      <sz val="14"/>
      <color indexed="8"/>
      <name val="Arial Cyr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b/>
      <sz val="12"/>
      <color indexed="62"/>
      <name val="Times New Roman"/>
      <family val="1"/>
    </font>
    <font>
      <sz val="12"/>
      <color indexed="4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2" fontId="0" fillId="0" borderId="0">
      <alignment/>
      <protection/>
    </xf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>
      <alignment/>
      <protection/>
    </xf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33" applyFont="1" applyAlignment="1">
      <alignment horizontal="left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6" fillId="0" borderId="0" xfId="33" applyFont="1" applyAlignment="1">
      <alignment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172" fontId="5" fillId="0" borderId="10" xfId="33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172" fontId="9" fillId="33" borderId="10" xfId="33" applyNumberFormat="1" applyFont="1" applyFill="1" applyBorder="1" applyAlignment="1">
      <alignment horizontal="center" vertical="center" wrapText="1"/>
      <protection/>
    </xf>
    <xf numFmtId="172" fontId="9" fillId="0" borderId="10" xfId="33" applyNumberFormat="1" applyFont="1" applyBorder="1" applyAlignment="1">
      <alignment horizontal="center" vertical="center" wrapText="1"/>
      <protection/>
    </xf>
    <xf numFmtId="172" fontId="5" fillId="33" borderId="10" xfId="33" applyNumberFormat="1" applyFont="1" applyFill="1" applyBorder="1" applyAlignment="1">
      <alignment horizontal="center" vertical="center" wrapText="1"/>
      <protection/>
    </xf>
    <xf numFmtId="172" fontId="5" fillId="34" borderId="10" xfId="33" applyNumberFormat="1" applyFont="1" applyFill="1" applyBorder="1" applyAlignment="1">
      <alignment horizontal="center" vertical="center" wrapText="1"/>
      <protection/>
    </xf>
    <xf numFmtId="172" fontId="9" fillId="0" borderId="10" xfId="33" applyNumberFormat="1" applyFont="1" applyFill="1" applyBorder="1" applyAlignment="1">
      <alignment horizontal="center" vertical="center" wrapText="1"/>
      <protection/>
    </xf>
    <xf numFmtId="173" fontId="4" fillId="0" borderId="0" xfId="33" applyNumberFormat="1" applyFont="1" applyAlignment="1">
      <alignment horizontal="center" vertical="center" wrapText="1"/>
      <protection/>
    </xf>
    <xf numFmtId="172" fontId="5" fillId="0" borderId="10" xfId="33" applyNumberFormat="1" applyFont="1" applyFill="1" applyBorder="1" applyAlignment="1">
      <alignment horizontal="center" vertical="center" wrapText="1"/>
      <protection/>
    </xf>
    <xf numFmtId="173" fontId="6" fillId="0" borderId="0" xfId="33" applyNumberFormat="1" applyFont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center" vertical="center" wrapText="1"/>
      <protection/>
    </xf>
    <xf numFmtId="174" fontId="9" fillId="33" borderId="10" xfId="33" applyNumberFormat="1" applyFont="1" applyFill="1" applyBorder="1" applyAlignment="1">
      <alignment horizontal="center" vertical="center" wrapText="1"/>
      <protection/>
    </xf>
    <xf numFmtId="174" fontId="9" fillId="0" borderId="10" xfId="33" applyNumberFormat="1" applyFont="1" applyBorder="1" applyAlignment="1">
      <alignment horizontal="center" vertical="center" wrapText="1"/>
      <protection/>
    </xf>
    <xf numFmtId="172" fontId="9" fillId="34" borderId="10" xfId="33" applyNumberFormat="1" applyFont="1" applyFill="1" applyBorder="1" applyAlignment="1">
      <alignment horizontal="center" vertical="center" wrapText="1"/>
      <protection/>
    </xf>
    <xf numFmtId="2" fontId="9" fillId="33" borderId="10" xfId="33" applyNumberFormat="1" applyFont="1" applyFill="1" applyBorder="1" applyAlignment="1">
      <alignment horizontal="center" vertical="center" wrapText="1"/>
      <protection/>
    </xf>
    <xf numFmtId="174" fontId="9" fillId="0" borderId="1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173" fontId="3" fillId="0" borderId="0" xfId="33" applyNumberFormat="1" applyFont="1" applyBorder="1" applyAlignment="1">
      <alignment horizontal="center" vertical="center" wrapText="1"/>
      <protection/>
    </xf>
    <xf numFmtId="175" fontId="3" fillId="0" borderId="0" xfId="33" applyNumberFormat="1" applyFont="1" applyBorder="1" applyAlignment="1">
      <alignment horizontal="center" vertical="center" wrapText="1"/>
      <protection/>
    </xf>
    <xf numFmtId="173" fontId="4" fillId="0" borderId="0" xfId="33" applyNumberFormat="1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2" fontId="3" fillId="0" borderId="0" xfId="33" applyNumberFormat="1" applyFont="1" applyBorder="1" applyAlignment="1">
      <alignment horizontal="center" vertical="center" wrapText="1"/>
      <protection/>
    </xf>
    <xf numFmtId="176" fontId="3" fillId="0" borderId="0" xfId="33" applyNumberFormat="1" applyFont="1" applyBorder="1" applyAlignment="1">
      <alignment horizontal="center" vertical="center" wrapText="1"/>
      <protection/>
    </xf>
    <xf numFmtId="173" fontId="8" fillId="0" borderId="0" xfId="33" applyNumberFormat="1" applyFont="1" applyBorder="1" applyAlignment="1">
      <alignment horizontal="center" vertical="center" wrapText="1"/>
      <protection/>
    </xf>
    <xf numFmtId="173" fontId="3" fillId="0" borderId="0" xfId="33" applyNumberFormat="1" applyFont="1" applyAlignment="1">
      <alignment horizontal="center" vertical="center" wrapText="1"/>
      <protection/>
    </xf>
    <xf numFmtId="173" fontId="8" fillId="0" borderId="0" xfId="33" applyNumberFormat="1" applyFont="1" applyAlignment="1">
      <alignment horizontal="center" vertical="center" wrapText="1"/>
      <protection/>
    </xf>
    <xf numFmtId="175" fontId="4" fillId="0" borderId="0" xfId="33" applyNumberFormat="1" applyFont="1" applyAlignment="1">
      <alignment horizontal="center" vertical="center" wrapText="1"/>
      <protection/>
    </xf>
    <xf numFmtId="0" fontId="10" fillId="33" borderId="0" xfId="33" applyFont="1" applyFill="1">
      <alignment/>
      <protection/>
    </xf>
    <xf numFmtId="0" fontId="10" fillId="0" borderId="0" xfId="33" applyFont="1" applyFill="1">
      <alignment/>
      <protection/>
    </xf>
    <xf numFmtId="0" fontId="10" fillId="33" borderId="0" xfId="33" applyFont="1" applyFill="1" applyAlignment="1">
      <alignment/>
      <protection/>
    </xf>
    <xf numFmtId="0" fontId="10" fillId="33" borderId="0" xfId="33" applyFont="1" applyFill="1" applyAlignment="1">
      <alignment horizontal="left"/>
      <protection/>
    </xf>
    <xf numFmtId="0" fontId="10" fillId="33" borderId="0" xfId="33" applyFont="1" applyFill="1" applyAlignment="1">
      <alignment horizontal="center"/>
      <protection/>
    </xf>
    <xf numFmtId="0" fontId="10" fillId="33" borderId="0" xfId="33" applyFont="1" applyFill="1" applyAlignment="1">
      <alignment vertical="center" wrapText="1"/>
      <protection/>
    </xf>
    <xf numFmtId="0" fontId="11" fillId="33" borderId="0" xfId="33" applyFont="1" applyFill="1" applyAlignment="1">
      <alignment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1" fillId="33" borderId="0" xfId="33" applyFont="1" applyFill="1">
      <alignment/>
      <protection/>
    </xf>
    <xf numFmtId="0" fontId="10" fillId="33" borderId="0" xfId="33" applyFont="1" applyFill="1" applyAlignment="1">
      <alignment horizontal="left" vertical="center" wrapText="1"/>
      <protection/>
    </xf>
    <xf numFmtId="0" fontId="13" fillId="33" borderId="0" xfId="33" applyFont="1" applyFill="1" applyAlignment="1">
      <alignment vertical="center" wrapText="1"/>
      <protection/>
    </xf>
    <xf numFmtId="0" fontId="13" fillId="33" borderId="0" xfId="33" applyFont="1" applyFill="1" applyAlignment="1" applyProtection="1">
      <alignment vertical="center" wrapText="1"/>
      <protection locked="0"/>
    </xf>
    <xf numFmtId="0" fontId="14" fillId="33" borderId="0" xfId="33" applyFont="1" applyFill="1" applyAlignment="1">
      <alignment vertical="center" wrapText="1"/>
      <protection/>
    </xf>
    <xf numFmtId="0" fontId="12" fillId="33" borderId="0" xfId="33" applyFont="1" applyFill="1" applyAlignment="1">
      <alignment vertical="center" wrapText="1"/>
      <protection/>
    </xf>
    <xf numFmtId="0" fontId="12" fillId="0" borderId="0" xfId="33" applyFont="1" applyFill="1" applyAlignment="1">
      <alignment vertical="center" wrapText="1"/>
      <protection/>
    </xf>
    <xf numFmtId="0" fontId="14" fillId="33" borderId="0" xfId="33" applyFont="1" applyFill="1">
      <alignment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15" fillId="33" borderId="11" xfId="33" applyFont="1" applyFill="1" applyBorder="1" applyAlignment="1">
      <alignment vertical="center" wrapText="1"/>
      <protection/>
    </xf>
    <xf numFmtId="0" fontId="15" fillId="33" borderId="12" xfId="33" applyFont="1" applyFill="1" applyBorder="1" applyAlignment="1">
      <alignment vertical="center" wrapText="1"/>
      <protection/>
    </xf>
    <xf numFmtId="0" fontId="15" fillId="33" borderId="13" xfId="33" applyFont="1" applyFill="1" applyBorder="1" applyAlignment="1">
      <alignment vertical="center" wrapText="1"/>
      <protection/>
    </xf>
    <xf numFmtId="0" fontId="13" fillId="33" borderId="0" xfId="33" applyFont="1" applyFill="1">
      <alignment/>
      <protection/>
    </xf>
    <xf numFmtId="0" fontId="15" fillId="33" borderId="14" xfId="33" applyFont="1" applyFill="1" applyBorder="1" applyAlignment="1">
      <alignment horizontal="left" vertical="center" wrapText="1"/>
      <protection/>
    </xf>
    <xf numFmtId="0" fontId="15" fillId="33" borderId="15" xfId="33" applyFont="1" applyFill="1" applyBorder="1" applyAlignment="1">
      <alignment horizontal="left" vertical="center" wrapText="1"/>
      <protection/>
    </xf>
    <xf numFmtId="0" fontId="15" fillId="33" borderId="16" xfId="33" applyFont="1" applyFill="1" applyBorder="1" applyAlignment="1">
      <alignment vertical="center" wrapText="1"/>
      <protection/>
    </xf>
    <xf numFmtId="0" fontId="15" fillId="33" borderId="0" xfId="33" applyFont="1" applyFill="1" applyBorder="1" applyAlignment="1">
      <alignment vertical="center" wrapText="1"/>
      <protection/>
    </xf>
    <xf numFmtId="0" fontId="15" fillId="33" borderId="0" xfId="33" applyFont="1" applyFill="1" applyBorder="1" applyAlignment="1">
      <alignment horizontal="center" vertical="center" wrapText="1"/>
      <protection/>
    </xf>
    <xf numFmtId="0" fontId="15" fillId="33" borderId="12" xfId="33" applyFont="1" applyFill="1" applyBorder="1" applyAlignment="1">
      <alignment horizontal="center" vertical="center" wrapText="1"/>
      <protection/>
    </xf>
    <xf numFmtId="0" fontId="15" fillId="33" borderId="13" xfId="33" applyFont="1" applyFill="1" applyBorder="1" applyAlignment="1">
      <alignment horizontal="center" vertical="center" wrapText="1"/>
      <protection/>
    </xf>
    <xf numFmtId="49" fontId="15" fillId="33" borderId="17" xfId="33" applyNumberFormat="1" applyFont="1" applyFill="1" applyBorder="1" applyAlignment="1">
      <alignment horizontal="center" vertical="center" wrapText="1"/>
      <protection/>
    </xf>
    <xf numFmtId="49" fontId="15" fillId="33" borderId="15" xfId="33" applyNumberFormat="1" applyFont="1" applyFill="1" applyBorder="1" applyAlignment="1">
      <alignment horizontal="center" vertical="center" wrapText="1"/>
      <protection/>
    </xf>
    <xf numFmtId="49" fontId="15" fillId="33" borderId="12" xfId="33" applyNumberFormat="1" applyFont="1" applyFill="1" applyBorder="1" applyAlignment="1">
      <alignment horizontal="center" vertical="center" wrapText="1"/>
      <protection/>
    </xf>
    <xf numFmtId="49" fontId="15" fillId="33" borderId="14" xfId="33" applyNumberFormat="1" applyFont="1" applyFill="1" applyBorder="1" applyAlignment="1">
      <alignment horizontal="center" vertical="center" wrapText="1"/>
      <protection/>
    </xf>
    <xf numFmtId="0" fontId="13" fillId="33" borderId="0" xfId="33" applyFont="1" applyFill="1" applyBorder="1" applyAlignment="1">
      <alignment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15" fillId="33" borderId="0" xfId="33" applyFont="1" applyFill="1" applyAlignment="1">
      <alignment horizontal="center"/>
      <protection/>
    </xf>
    <xf numFmtId="0" fontId="15" fillId="33" borderId="10" xfId="33" applyFont="1" applyFill="1" applyBorder="1" applyAlignment="1">
      <alignment horizontal="center"/>
      <protection/>
    </xf>
    <xf numFmtId="0" fontId="16" fillId="33" borderId="10" xfId="61" applyFont="1" applyFill="1" applyBorder="1" applyAlignment="1">
      <alignment vertical="center" wrapText="1"/>
      <protection/>
    </xf>
    <xf numFmtId="0" fontId="16" fillId="33" borderId="10" xfId="61" applyFont="1" applyFill="1" applyBorder="1" applyAlignment="1" applyProtection="1">
      <alignment vertical="center" wrapText="1"/>
      <protection locked="0"/>
    </xf>
    <xf numFmtId="172" fontId="15" fillId="33" borderId="10" xfId="33" applyNumberFormat="1" applyFont="1" applyFill="1" applyBorder="1">
      <alignment/>
      <protection/>
    </xf>
    <xf numFmtId="174" fontId="15" fillId="0" borderId="10" xfId="33" applyNumberFormat="1" applyFont="1" applyFill="1" applyBorder="1">
      <alignment/>
      <protection/>
    </xf>
    <xf numFmtId="174" fontId="15" fillId="33" borderId="10" xfId="33" applyNumberFormat="1" applyFont="1" applyFill="1" applyBorder="1" applyAlignment="1">
      <alignment vertical="center" wrapText="1"/>
      <protection/>
    </xf>
    <xf numFmtId="174" fontId="17" fillId="33" borderId="10" xfId="33" applyNumberFormat="1" applyFont="1" applyFill="1" applyBorder="1">
      <alignment/>
      <protection/>
    </xf>
    <xf numFmtId="174" fontId="15" fillId="33" borderId="10" xfId="33" applyNumberFormat="1" applyFont="1" applyFill="1" applyBorder="1" applyAlignment="1" applyProtection="1">
      <alignment vertical="center" wrapText="1"/>
      <protection/>
    </xf>
    <xf numFmtId="4" fontId="15" fillId="33" borderId="10" xfId="33" applyNumberFormat="1" applyFont="1" applyFill="1" applyBorder="1" applyAlignment="1" applyProtection="1">
      <alignment vertical="center" wrapText="1"/>
      <protection/>
    </xf>
    <xf numFmtId="172" fontId="15" fillId="33" borderId="10" xfId="33" applyNumberFormat="1" applyFont="1" applyFill="1" applyBorder="1" applyAlignment="1">
      <alignment vertical="center" wrapText="1"/>
      <protection/>
    </xf>
    <xf numFmtId="174" fontId="15" fillId="33" borderId="10" xfId="33" applyNumberFormat="1" applyFont="1" applyFill="1" applyBorder="1" applyAlignment="1" applyProtection="1">
      <alignment vertical="center" wrapText="1"/>
      <protection locked="0"/>
    </xf>
    <xf numFmtId="2" fontId="15" fillId="33" borderId="10" xfId="33" applyNumberFormat="1" applyFont="1" applyFill="1" applyBorder="1" applyAlignment="1" applyProtection="1">
      <alignment vertical="center" wrapText="1"/>
      <protection locked="0"/>
    </xf>
    <xf numFmtId="172" fontId="15" fillId="33" borderId="10" xfId="33" applyNumberFormat="1" applyFont="1" applyFill="1" applyBorder="1" applyAlignment="1" applyProtection="1">
      <alignment vertical="center" wrapText="1"/>
      <protection locked="0"/>
    </xf>
    <xf numFmtId="174" fontId="15" fillId="0" borderId="10" xfId="33" applyNumberFormat="1" applyFont="1" applyFill="1" applyBorder="1" applyAlignment="1">
      <alignment vertical="center" wrapText="1"/>
      <protection/>
    </xf>
    <xf numFmtId="177" fontId="15" fillId="33" borderId="10" xfId="33" applyNumberFormat="1" applyFont="1" applyFill="1" applyBorder="1" applyAlignment="1">
      <alignment vertical="center" wrapText="1"/>
      <protection/>
    </xf>
    <xf numFmtId="3" fontId="15" fillId="33" borderId="10" xfId="33" applyNumberFormat="1" applyFont="1" applyFill="1" applyBorder="1" applyAlignment="1">
      <alignment vertical="center" wrapText="1"/>
      <protection/>
    </xf>
    <xf numFmtId="174" fontId="15" fillId="33" borderId="10" xfId="33" applyNumberFormat="1" applyFont="1" applyFill="1" applyBorder="1" applyAlignment="1">
      <alignment horizontal="right" vertical="center" wrapText="1"/>
      <protection/>
    </xf>
    <xf numFmtId="178" fontId="15" fillId="33" borderId="10" xfId="33" applyNumberFormat="1" applyFont="1" applyFill="1" applyBorder="1" applyAlignment="1">
      <alignment vertical="center" wrapText="1"/>
      <protection/>
    </xf>
    <xf numFmtId="174" fontId="18" fillId="33" borderId="10" xfId="33" applyNumberFormat="1" applyFont="1" applyFill="1" applyBorder="1" applyAlignment="1" applyProtection="1">
      <alignment vertical="center" wrapText="1"/>
      <protection locked="0"/>
    </xf>
    <xf numFmtId="173" fontId="13" fillId="33" borderId="0" xfId="33" applyNumberFormat="1" applyFont="1" applyFill="1" applyBorder="1">
      <alignment/>
      <protection/>
    </xf>
    <xf numFmtId="177" fontId="13" fillId="33" borderId="0" xfId="33" applyNumberFormat="1" applyFont="1" applyFill="1">
      <alignment/>
      <protection/>
    </xf>
    <xf numFmtId="0" fontId="16" fillId="0" borderId="10" xfId="61" applyFont="1" applyFill="1" applyBorder="1" applyAlignment="1" applyProtection="1">
      <alignment vertical="center" wrapText="1"/>
      <protection locked="0"/>
    </xf>
    <xf numFmtId="174" fontId="15" fillId="0" borderId="10" xfId="33" applyNumberFormat="1" applyFont="1" applyFill="1" applyBorder="1" applyAlignment="1" applyProtection="1">
      <alignment vertical="center" wrapText="1"/>
      <protection locked="0"/>
    </xf>
    <xf numFmtId="4" fontId="15" fillId="33" borderId="10" xfId="33" applyNumberFormat="1" applyFont="1" applyFill="1" applyBorder="1" applyAlignment="1" applyProtection="1">
      <alignment vertical="center" wrapText="1"/>
      <protection locked="0"/>
    </xf>
    <xf numFmtId="172" fontId="15" fillId="0" borderId="10" xfId="33" applyNumberFormat="1" applyFont="1" applyFill="1" applyBorder="1" applyAlignment="1" applyProtection="1">
      <alignment vertical="center" wrapText="1"/>
      <protection locked="0"/>
    </xf>
    <xf numFmtId="174" fontId="15" fillId="0" borderId="10" xfId="33" applyNumberFormat="1" applyFont="1" applyFill="1" applyBorder="1" applyAlignment="1">
      <alignment horizontal="right" vertical="center" wrapText="1"/>
      <protection/>
    </xf>
    <xf numFmtId="178" fontId="15" fillId="0" borderId="10" xfId="33" applyNumberFormat="1" applyFont="1" applyFill="1" applyBorder="1" applyAlignment="1">
      <alignment vertical="center" wrapText="1"/>
      <protection/>
    </xf>
    <xf numFmtId="174" fontId="18" fillId="33" borderId="10" xfId="33" applyNumberFormat="1" applyFont="1" applyFill="1" applyBorder="1" applyAlignment="1">
      <alignment vertical="center" wrapText="1"/>
      <protection/>
    </xf>
    <xf numFmtId="172" fontId="15" fillId="0" borderId="10" xfId="33" applyNumberFormat="1" applyFont="1" applyFill="1" applyBorder="1" applyAlignment="1">
      <alignment vertical="center" wrapText="1"/>
      <protection/>
    </xf>
    <xf numFmtId="174" fontId="18" fillId="0" borderId="10" xfId="33" applyNumberFormat="1" applyFont="1" applyFill="1" applyBorder="1" applyAlignment="1" applyProtection="1">
      <alignment vertical="center" wrapText="1"/>
      <protection locked="0"/>
    </xf>
    <xf numFmtId="174" fontId="17" fillId="0" borderId="10" xfId="33" applyNumberFormat="1" applyFont="1" applyFill="1" applyBorder="1">
      <alignment/>
      <protection/>
    </xf>
    <xf numFmtId="0" fontId="13" fillId="35" borderId="0" xfId="33" applyFont="1" applyFill="1">
      <alignment/>
      <protection/>
    </xf>
    <xf numFmtId="172" fontId="15" fillId="0" borderId="10" xfId="33" applyNumberFormat="1" applyFont="1" applyFill="1" applyBorder="1">
      <alignment/>
      <protection/>
    </xf>
    <xf numFmtId="174" fontId="15" fillId="0" borderId="10" xfId="33" applyNumberFormat="1" applyFont="1" applyFill="1" applyBorder="1" applyAlignment="1" applyProtection="1">
      <alignment vertical="center" wrapText="1"/>
      <protection/>
    </xf>
    <xf numFmtId="174" fontId="15" fillId="33" borderId="10" xfId="33" applyNumberFormat="1" applyFont="1" applyFill="1" applyBorder="1">
      <alignment/>
      <protection/>
    </xf>
    <xf numFmtId="0" fontId="16" fillId="0" borderId="10" xfId="61" applyFont="1" applyFill="1" applyBorder="1" applyAlignment="1">
      <alignment vertical="center" wrapText="1"/>
      <protection/>
    </xf>
    <xf numFmtId="177" fontId="15" fillId="0" borderId="10" xfId="33" applyNumberFormat="1" applyFont="1" applyFill="1" applyBorder="1" applyAlignment="1">
      <alignment vertical="center" wrapText="1"/>
      <protection/>
    </xf>
    <xf numFmtId="173" fontId="13" fillId="0" borderId="0" xfId="33" applyNumberFormat="1" applyFont="1" applyFill="1" applyBorder="1">
      <alignment/>
      <protection/>
    </xf>
    <xf numFmtId="177" fontId="13" fillId="0" borderId="0" xfId="33" applyNumberFormat="1" applyFont="1" applyFill="1">
      <alignment/>
      <protection/>
    </xf>
    <xf numFmtId="0" fontId="13" fillId="0" borderId="0" xfId="33" applyFont="1" applyFill="1">
      <alignment/>
      <protection/>
    </xf>
    <xf numFmtId="0" fontId="13" fillId="33" borderId="0" xfId="33" applyFont="1" applyFill="1" applyAlignment="1">
      <alignment/>
      <protection/>
    </xf>
    <xf numFmtId="0" fontId="19" fillId="0" borderId="10" xfId="61" applyFont="1" applyFill="1" applyBorder="1" applyAlignment="1">
      <alignment vertical="center" wrapText="1"/>
      <protection/>
    </xf>
    <xf numFmtId="0" fontId="16" fillId="33" borderId="11" xfId="61" applyFont="1" applyFill="1" applyBorder="1" applyAlignment="1">
      <alignment vertical="center" wrapText="1"/>
      <protection/>
    </xf>
    <xf numFmtId="0" fontId="16" fillId="33" borderId="13" xfId="61" applyFont="1" applyFill="1" applyBorder="1" applyAlignment="1" applyProtection="1">
      <alignment vertical="center" wrapText="1"/>
      <protection locked="0"/>
    </xf>
    <xf numFmtId="174" fontId="17" fillId="0" borderId="10" xfId="33" applyNumberFormat="1" applyFont="1" applyFill="1" applyBorder="1" applyAlignment="1">
      <alignment vertical="center" wrapText="1"/>
      <protection/>
    </xf>
    <xf numFmtId="179" fontId="15" fillId="33" borderId="10" xfId="33" applyNumberFormat="1" applyFont="1" applyFill="1" applyBorder="1" applyAlignment="1">
      <alignment vertical="center" wrapText="1"/>
      <protection/>
    </xf>
    <xf numFmtId="179" fontId="15" fillId="33" borderId="10" xfId="33" applyNumberFormat="1" applyFont="1" applyFill="1" applyBorder="1" applyAlignment="1" applyProtection="1">
      <alignment vertical="center" wrapText="1"/>
      <protection locked="0"/>
    </xf>
    <xf numFmtId="174" fontId="21" fillId="0" borderId="10" xfId="33" applyNumberFormat="1" applyFont="1" applyFill="1" applyBorder="1" applyAlignment="1">
      <alignment vertical="center" wrapText="1"/>
      <protection/>
    </xf>
    <xf numFmtId="174" fontId="12" fillId="33" borderId="10" xfId="33" applyNumberFormat="1" applyFont="1" applyFill="1" applyBorder="1" applyAlignment="1">
      <alignment vertical="center" wrapText="1"/>
      <protection/>
    </xf>
    <xf numFmtId="174" fontId="12" fillId="0" borderId="10" xfId="33" applyNumberFormat="1" applyFont="1" applyFill="1" applyBorder="1" applyAlignment="1">
      <alignment vertical="center" wrapText="1"/>
      <protection/>
    </xf>
    <xf numFmtId="4" fontId="12" fillId="33" borderId="10" xfId="33" applyNumberFormat="1" applyFont="1" applyFill="1" applyBorder="1" applyAlignment="1">
      <alignment vertical="center" wrapText="1"/>
      <protection/>
    </xf>
    <xf numFmtId="3" fontId="12" fillId="33" borderId="10" xfId="33" applyNumberFormat="1" applyFont="1" applyFill="1" applyBorder="1" applyAlignment="1">
      <alignment vertical="center" wrapText="1"/>
      <protection/>
    </xf>
    <xf numFmtId="174" fontId="12" fillId="33" borderId="10" xfId="33" applyNumberFormat="1" applyFont="1" applyFill="1" applyBorder="1" applyAlignment="1">
      <alignment horizontal="right" vertical="center" wrapText="1"/>
      <protection/>
    </xf>
    <xf numFmtId="178" fontId="12" fillId="33" borderId="10" xfId="33" applyNumberFormat="1" applyFont="1" applyFill="1" applyBorder="1" applyAlignment="1">
      <alignment vertical="center" wrapText="1"/>
      <protection/>
    </xf>
    <xf numFmtId="177" fontId="12" fillId="33" borderId="10" xfId="33" applyNumberFormat="1" applyFont="1" applyFill="1" applyBorder="1" applyAlignment="1">
      <alignment vertical="center" wrapText="1"/>
      <protection/>
    </xf>
    <xf numFmtId="179" fontId="12" fillId="33" borderId="10" xfId="33" applyNumberFormat="1" applyFont="1" applyFill="1" applyBorder="1" applyAlignment="1">
      <alignment vertical="center" wrapText="1"/>
      <protection/>
    </xf>
    <xf numFmtId="177" fontId="12" fillId="0" borderId="10" xfId="33" applyNumberFormat="1" applyFont="1" applyFill="1" applyBorder="1" applyAlignment="1">
      <alignment vertical="center" wrapText="1"/>
      <protection/>
    </xf>
    <xf numFmtId="4" fontId="13" fillId="33" borderId="0" xfId="33" applyNumberFormat="1" applyFont="1" applyFill="1">
      <alignment/>
      <protection/>
    </xf>
    <xf numFmtId="180" fontId="10" fillId="33" borderId="0" xfId="33" applyNumberFormat="1" applyFont="1" applyFill="1">
      <alignment/>
      <protection/>
    </xf>
    <xf numFmtId="177" fontId="10" fillId="33" borderId="0" xfId="33" applyNumberFormat="1" applyFont="1" applyFill="1">
      <alignment/>
      <protection/>
    </xf>
    <xf numFmtId="179" fontId="10" fillId="33" borderId="0" xfId="33" applyNumberFormat="1" applyFont="1" applyFill="1">
      <alignment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wrapText="1"/>
      <protection/>
    </xf>
    <xf numFmtId="172" fontId="3" fillId="0" borderId="0" xfId="60" applyNumberFormat="1" applyFont="1" applyAlignment="1">
      <alignment horizontal="center"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0" xfId="60" applyFont="1" applyFill="1">
      <alignment/>
      <protection/>
    </xf>
    <xf numFmtId="173" fontId="7" fillId="0" borderId="0" xfId="60" applyNumberFormat="1" applyFont="1">
      <alignment/>
      <protection/>
    </xf>
    <xf numFmtId="183" fontId="7" fillId="0" borderId="0" xfId="60" applyNumberFormat="1" applyFont="1">
      <alignment/>
      <protection/>
    </xf>
    <xf numFmtId="0" fontId="4" fillId="0" borderId="0" xfId="59" applyFont="1">
      <alignment/>
      <protection/>
    </xf>
    <xf numFmtId="0" fontId="7" fillId="0" borderId="10" xfId="62" applyFont="1" applyBorder="1" applyAlignment="1">
      <alignment horizontal="center" vertical="center" wrapText="1"/>
      <protection/>
    </xf>
    <xf numFmtId="172" fontId="7" fillId="0" borderId="10" xfId="62" applyNumberFormat="1" applyFont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172" fontId="7" fillId="0" borderId="10" xfId="62" applyNumberFormat="1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/>
      <protection/>
    </xf>
    <xf numFmtId="0" fontId="7" fillId="0" borderId="10" xfId="62" applyFont="1" applyBorder="1">
      <alignment/>
      <protection/>
    </xf>
    <xf numFmtId="172" fontId="7" fillId="0" borderId="10" xfId="62" applyNumberFormat="1" applyFont="1" applyBorder="1" applyAlignment="1">
      <alignment horizontal="right" vertical="center"/>
      <protection/>
    </xf>
    <xf numFmtId="0" fontId="22" fillId="0" borderId="10" xfId="62" applyFont="1" applyBorder="1" applyAlignment="1">
      <alignment horizontal="center"/>
      <protection/>
    </xf>
    <xf numFmtId="0" fontId="22" fillId="0" borderId="10" xfId="62" applyFont="1" applyBorder="1">
      <alignment/>
      <protection/>
    </xf>
    <xf numFmtId="0" fontId="3" fillId="0" borderId="10" xfId="62" applyFont="1" applyBorder="1" applyAlignment="1">
      <alignment horizontal="center"/>
      <protection/>
    </xf>
    <xf numFmtId="0" fontId="3" fillId="0" borderId="10" xfId="62" applyFont="1" applyBorder="1" applyAlignment="1">
      <alignment wrapText="1"/>
      <protection/>
    </xf>
    <xf numFmtId="172" fontId="3" fillId="0" borderId="10" xfId="62" applyNumberFormat="1" applyFont="1" applyBorder="1" applyAlignment="1">
      <alignment horizontal="right" vertical="center"/>
      <protection/>
    </xf>
    <xf numFmtId="172" fontId="3" fillId="0" borderId="10" xfId="62" applyNumberFormat="1" applyFont="1" applyFill="1" applyBorder="1" applyAlignment="1">
      <alignment horizontal="right" vertical="center"/>
      <protection/>
    </xf>
    <xf numFmtId="0" fontId="7" fillId="0" borderId="10" xfId="62" applyFont="1" applyBorder="1" applyAlignment="1">
      <alignment wrapText="1"/>
      <protection/>
    </xf>
    <xf numFmtId="0" fontId="3" fillId="0" borderId="10" xfId="62" applyFont="1" applyBorder="1">
      <alignment/>
      <protection/>
    </xf>
    <xf numFmtId="172" fontId="3" fillId="0" borderId="10" xfId="33" applyNumberFormat="1" applyFont="1" applyBorder="1" applyAlignment="1">
      <alignment horizontal="right" vertical="center"/>
      <protection/>
    </xf>
    <xf numFmtId="0" fontId="22" fillId="0" borderId="10" xfId="62" applyFont="1" applyBorder="1" applyAlignment="1">
      <alignment wrapText="1"/>
      <protection/>
    </xf>
    <xf numFmtId="172" fontId="7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0" xfId="62" applyFont="1" applyFill="1" applyBorder="1">
      <alignment/>
      <protection/>
    </xf>
    <xf numFmtId="0" fontId="22" fillId="0" borderId="10" xfId="62" applyFont="1" applyBorder="1" applyAlignment="1">
      <alignment horizontal="center" vertical="top"/>
      <protection/>
    </xf>
    <xf numFmtId="0" fontId="22" fillId="0" borderId="10" xfId="62" applyFont="1" applyBorder="1" applyAlignment="1">
      <alignment vertical="top" wrapText="1"/>
      <protection/>
    </xf>
    <xf numFmtId="0" fontId="3" fillId="0" borderId="10" xfId="62" applyFont="1" applyFill="1" applyBorder="1" applyAlignment="1">
      <alignment wrapText="1"/>
      <protection/>
    </xf>
    <xf numFmtId="2" fontId="7" fillId="0" borderId="10" xfId="62" applyNumberFormat="1" applyFont="1" applyBorder="1" applyAlignment="1">
      <alignment horizontal="right" vertical="center"/>
      <protection/>
    </xf>
    <xf numFmtId="172" fontId="7" fillId="0" borderId="10" xfId="43" applyNumberFormat="1" applyFont="1" applyFill="1" applyBorder="1" applyAlignment="1" applyProtection="1">
      <alignment horizontal="right" vertical="center"/>
      <protection/>
    </xf>
    <xf numFmtId="184" fontId="7" fillId="0" borderId="10" xfId="62" applyNumberFormat="1" applyFont="1" applyBorder="1" applyAlignment="1">
      <alignment horizontal="right" vertical="center"/>
      <protection/>
    </xf>
    <xf numFmtId="172" fontId="7" fillId="0" borderId="0" xfId="60" applyNumberFormat="1" applyFont="1">
      <alignment/>
      <protection/>
    </xf>
    <xf numFmtId="184" fontId="3" fillId="33" borderId="10" xfId="33" applyNumberFormat="1" applyFont="1" applyFill="1" applyBorder="1" applyAlignment="1">
      <alignment horizontal="right" vertical="center"/>
      <protection/>
    </xf>
    <xf numFmtId="172" fontId="3" fillId="33" borderId="10" xfId="53" applyNumberFormat="1" applyFont="1" applyFill="1" applyBorder="1" applyAlignment="1">
      <alignment horizontal="right" vertical="center" shrinkToFit="1"/>
      <protection/>
    </xf>
    <xf numFmtId="184" fontId="3" fillId="0" borderId="10" xfId="33" applyNumberFormat="1" applyFont="1" applyBorder="1" applyAlignment="1">
      <alignment horizontal="right" vertical="center"/>
      <protection/>
    </xf>
    <xf numFmtId="172" fontId="3" fillId="33" borderId="10" xfId="54" applyNumberFormat="1" applyFont="1" applyFill="1" applyBorder="1" applyAlignment="1">
      <alignment horizontal="right" vertical="center" shrinkToFit="1"/>
      <protection/>
    </xf>
    <xf numFmtId="172" fontId="3" fillId="33" borderId="10" xfId="55" applyNumberFormat="1" applyFont="1" applyFill="1" applyBorder="1" applyAlignment="1">
      <alignment horizontal="right" vertical="center" shrinkToFit="1"/>
      <protection/>
    </xf>
    <xf numFmtId="185" fontId="3" fillId="0" borderId="10" xfId="62" applyNumberFormat="1" applyFont="1" applyFill="1" applyBorder="1" applyAlignment="1">
      <alignment horizontal="right" vertical="center"/>
      <protection/>
    </xf>
    <xf numFmtId="174" fontId="3" fillId="0" borderId="10" xfId="62" applyNumberFormat="1" applyFont="1" applyFill="1" applyBorder="1" applyAlignment="1">
      <alignment horizontal="right" vertical="center"/>
      <protection/>
    </xf>
    <xf numFmtId="185" fontId="7" fillId="0" borderId="10" xfId="33" applyNumberFormat="1" applyFont="1" applyBorder="1" applyAlignment="1">
      <alignment horizontal="right" vertical="center"/>
      <protection/>
    </xf>
    <xf numFmtId="185" fontId="7" fillId="0" borderId="10" xfId="62" applyNumberFormat="1" applyFont="1" applyFill="1" applyBorder="1" applyAlignment="1">
      <alignment horizontal="right" vertical="center"/>
      <protection/>
    </xf>
    <xf numFmtId="0" fontId="7" fillId="0" borderId="0" xfId="60" applyFont="1" applyBorder="1">
      <alignment/>
      <protection/>
    </xf>
    <xf numFmtId="0" fontId="7" fillId="0" borderId="16" xfId="62" applyFont="1" applyBorder="1" applyAlignment="1">
      <alignment horizontal="center"/>
      <protection/>
    </xf>
    <xf numFmtId="0" fontId="7" fillId="0" borderId="16" xfId="62" applyFont="1" applyBorder="1">
      <alignment/>
      <protection/>
    </xf>
    <xf numFmtId="186" fontId="7" fillId="0" borderId="16" xfId="62" applyNumberFormat="1" applyFont="1" applyBorder="1" applyAlignment="1">
      <alignment horizontal="right" vertical="center"/>
      <protection/>
    </xf>
    <xf numFmtId="173" fontId="7" fillId="33" borderId="16" xfId="69" applyNumberFormat="1" applyFont="1" applyFill="1" applyBorder="1" applyAlignment="1" applyProtection="1">
      <alignment horizontal="right" vertical="center"/>
      <protection/>
    </xf>
    <xf numFmtId="172" fontId="7" fillId="0" borderId="16" xfId="62" applyNumberFormat="1" applyFont="1" applyBorder="1" applyAlignment="1">
      <alignment horizontal="right" vertical="center"/>
      <protection/>
    </xf>
    <xf numFmtId="177" fontId="7" fillId="0" borderId="0" xfId="60" applyNumberFormat="1" applyFont="1">
      <alignment/>
      <protection/>
    </xf>
    <xf numFmtId="186" fontId="7" fillId="0" borderId="0" xfId="60" applyNumberFormat="1" applyFont="1">
      <alignment/>
      <protection/>
    </xf>
    <xf numFmtId="0" fontId="7" fillId="0" borderId="10" xfId="62" applyFont="1" applyFill="1" applyBorder="1">
      <alignment/>
      <protection/>
    </xf>
    <xf numFmtId="186" fontId="7" fillId="0" borderId="10" xfId="62" applyNumberFormat="1" applyFont="1" applyBorder="1" applyAlignment="1">
      <alignment horizontal="right" vertical="center"/>
      <protection/>
    </xf>
    <xf numFmtId="172" fontId="7" fillId="0" borderId="10" xfId="60" applyNumberFormat="1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center"/>
      <protection/>
    </xf>
    <xf numFmtId="0" fontId="7" fillId="0" borderId="18" xfId="62" applyFont="1" applyFill="1" applyBorder="1">
      <alignment/>
      <protection/>
    </xf>
    <xf numFmtId="174" fontId="7" fillId="0" borderId="18" xfId="62" applyNumberFormat="1" applyFont="1" applyBorder="1" applyAlignment="1">
      <alignment horizontal="right" vertical="center"/>
      <protection/>
    </xf>
    <xf numFmtId="173" fontId="3" fillId="0" borderId="0" xfId="60" applyNumberFormat="1" applyFont="1" applyAlignment="1">
      <alignment horizontal="right" vertical="center"/>
      <protection/>
    </xf>
    <xf numFmtId="172" fontId="3" fillId="0" borderId="10" xfId="60" applyNumberFormat="1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center" vertical="center" wrapText="1"/>
      <protection/>
    </xf>
    <xf numFmtId="1" fontId="7" fillId="0" borderId="10" xfId="62" applyNumberFormat="1" applyFont="1" applyBorder="1" applyAlignment="1">
      <alignment horizontal="center" vertical="center" wrapText="1"/>
      <protection/>
    </xf>
    <xf numFmtId="1" fontId="3" fillId="0" borderId="10" xfId="60" applyNumberFormat="1" applyFont="1" applyBorder="1" applyAlignment="1">
      <alignment horizontal="center" vertical="center"/>
      <protection/>
    </xf>
    <xf numFmtId="1" fontId="7" fillId="0" borderId="10" xfId="60" applyNumberFormat="1" applyFont="1" applyBorder="1" applyAlignment="1">
      <alignment horizontal="center" vertical="center" wrapText="1"/>
      <protection/>
    </xf>
    <xf numFmtId="49" fontId="7" fillId="0" borderId="10" xfId="60" applyNumberFormat="1" applyFont="1" applyBorder="1" applyAlignment="1">
      <alignment horizontal="center"/>
      <protection/>
    </xf>
    <xf numFmtId="0" fontId="7" fillId="33" borderId="10" xfId="60" applyFont="1" applyFill="1" applyBorder="1" applyAlignment="1">
      <alignment wrapText="1"/>
      <protection/>
    </xf>
    <xf numFmtId="172" fontId="7" fillId="0" borderId="10" xfId="57" applyNumberFormat="1" applyFont="1" applyBorder="1" applyAlignment="1">
      <alignment horizontal="right"/>
      <protection/>
    </xf>
    <xf numFmtId="49" fontId="3" fillId="0" borderId="10" xfId="60" applyNumberFormat="1" applyFont="1" applyBorder="1" applyAlignment="1">
      <alignment horizontal="center"/>
      <protection/>
    </xf>
    <xf numFmtId="0" fontId="3" fillId="33" borderId="10" xfId="60" applyFont="1" applyFill="1" applyBorder="1" applyAlignment="1">
      <alignment wrapText="1"/>
      <protection/>
    </xf>
    <xf numFmtId="172" fontId="3" fillId="0" borderId="10" xfId="57" applyNumberFormat="1" applyFont="1" applyBorder="1" applyAlignment="1">
      <alignment horizontal="right"/>
      <protection/>
    </xf>
    <xf numFmtId="0" fontId="3" fillId="0" borderId="10" xfId="60" applyFont="1" applyBorder="1" applyAlignment="1">
      <alignment wrapText="1"/>
      <protection/>
    </xf>
    <xf numFmtId="172" fontId="3" fillId="0" borderId="10" xfId="60" applyNumberFormat="1" applyFont="1" applyBorder="1" applyAlignment="1">
      <alignment horizontal="right"/>
      <protection/>
    </xf>
    <xf numFmtId="49" fontId="7" fillId="0" borderId="11" xfId="59" applyNumberFormat="1" applyFont="1" applyBorder="1" applyAlignment="1">
      <alignment horizontal="center"/>
      <protection/>
    </xf>
    <xf numFmtId="0" fontId="7" fillId="33" borderId="10" xfId="59" applyFont="1" applyFill="1" applyBorder="1" applyAlignment="1">
      <alignment wrapText="1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0" borderId="10" xfId="59" applyFont="1" applyBorder="1" applyAlignment="1">
      <alignment wrapText="1"/>
      <protection/>
    </xf>
    <xf numFmtId="49" fontId="3" fillId="0" borderId="11" xfId="60" applyNumberFormat="1" applyFont="1" applyBorder="1" applyAlignment="1">
      <alignment horizontal="center"/>
      <protection/>
    </xf>
    <xf numFmtId="49" fontId="3" fillId="0" borderId="11" xfId="58" applyNumberFormat="1" applyFont="1" applyBorder="1" applyAlignment="1">
      <alignment horizontal="center"/>
      <protection/>
    </xf>
    <xf numFmtId="0" fontId="23" fillId="0" borderId="10" xfId="58" applyFont="1" applyBorder="1" applyAlignment="1">
      <alignment wrapText="1"/>
      <protection/>
    </xf>
    <xf numFmtId="172" fontId="7" fillId="0" borderId="10" xfId="57" applyNumberFormat="1" applyFont="1" applyBorder="1" applyAlignment="1">
      <alignment horizontal="right" vertical="center"/>
      <protection/>
    </xf>
    <xf numFmtId="172" fontId="3" fillId="0" borderId="10" xfId="57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left" wrapText="1"/>
      <protection/>
    </xf>
    <xf numFmtId="0" fontId="7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Fill="1" applyBorder="1" applyAlignment="1">
      <alignment wrapText="1"/>
      <protection/>
    </xf>
    <xf numFmtId="172" fontId="3" fillId="33" borderId="10" xfId="56" applyNumberFormat="1" applyFont="1" applyFill="1" applyBorder="1" applyAlignment="1">
      <alignment horizontal="right" vertical="top" shrinkToFit="1"/>
      <protection/>
    </xf>
    <xf numFmtId="0" fontId="7" fillId="0" borderId="10" xfId="60" applyFont="1" applyFill="1" applyBorder="1" applyAlignment="1">
      <alignment wrapText="1"/>
      <protection/>
    </xf>
    <xf numFmtId="0" fontId="7" fillId="0" borderId="10" xfId="60" applyFont="1" applyFill="1" applyBorder="1" applyAlignment="1">
      <alignment horizontal="center" wrapText="1"/>
      <protection/>
    </xf>
    <xf numFmtId="173" fontId="7" fillId="0" borderId="10" xfId="69" applyNumberFormat="1" applyFont="1" applyFill="1" applyBorder="1" applyAlignment="1" applyProtection="1">
      <alignment horizontal="right" vertical="center"/>
      <protection/>
    </xf>
    <xf numFmtId="184" fontId="7" fillId="0" borderId="10" xfId="57" applyNumberFormat="1" applyFont="1" applyBorder="1" applyAlignment="1">
      <alignment horizontal="right"/>
      <protection/>
    </xf>
    <xf numFmtId="184" fontId="3" fillId="0" borderId="0" xfId="60" applyNumberFormat="1" applyFont="1" applyAlignment="1">
      <alignment horizontal="center"/>
      <protection/>
    </xf>
    <xf numFmtId="184" fontId="3" fillId="0" borderId="0" xfId="60" applyNumberFormat="1" applyFont="1" applyAlignment="1">
      <alignment horizontal="right"/>
      <protection/>
    </xf>
    <xf numFmtId="0" fontId="4" fillId="0" borderId="0" xfId="59" applyFont="1" applyAlignment="1">
      <alignment horizontal="left"/>
      <protection/>
    </xf>
    <xf numFmtId="184" fontId="4" fillId="0" borderId="0" xfId="59" applyNumberFormat="1" applyFont="1">
      <alignment/>
      <protection/>
    </xf>
    <xf numFmtId="0" fontId="4" fillId="0" borderId="0" xfId="59" applyFont="1" applyAlignment="1">
      <alignment/>
      <protection/>
    </xf>
    <xf numFmtId="173" fontId="3" fillId="0" borderId="0" xfId="60" applyNumberFormat="1" applyFont="1" applyAlignment="1">
      <alignment horizontal="center"/>
      <protection/>
    </xf>
    <xf numFmtId="173" fontId="7" fillId="0" borderId="10" xfId="62" applyNumberFormat="1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/>
      <protection/>
    </xf>
    <xf numFmtId="172" fontId="7" fillId="33" borderId="10" xfId="62" applyNumberFormat="1" applyFont="1" applyFill="1" applyBorder="1" applyAlignment="1">
      <alignment horizontal="right" vertical="center"/>
      <protection/>
    </xf>
    <xf numFmtId="172" fontId="3" fillId="33" borderId="10" xfId="33" applyNumberFormat="1" applyFont="1" applyFill="1" applyBorder="1" applyAlignment="1">
      <alignment horizontal="right" vertical="center"/>
      <protection/>
    </xf>
    <xf numFmtId="2" fontId="3" fillId="0" borderId="10" xfId="33" applyNumberFormat="1" applyFont="1" applyBorder="1" applyAlignment="1">
      <alignment horizontal="right" vertical="center"/>
      <protection/>
    </xf>
    <xf numFmtId="2" fontId="3" fillId="33" borderId="10" xfId="55" applyNumberFormat="1" applyFont="1" applyFill="1" applyBorder="1" applyAlignment="1">
      <alignment horizontal="right" vertical="center" shrinkToFit="1"/>
      <protection/>
    </xf>
    <xf numFmtId="2" fontId="7" fillId="0" borderId="10" xfId="62" applyNumberFormat="1" applyFont="1" applyFill="1" applyBorder="1" applyAlignment="1">
      <alignment horizontal="right" vertical="center"/>
      <protection/>
    </xf>
    <xf numFmtId="2" fontId="7" fillId="0" borderId="10" xfId="33" applyNumberFormat="1" applyFont="1" applyBorder="1" applyAlignment="1">
      <alignment horizontal="right" vertical="center"/>
      <protection/>
    </xf>
    <xf numFmtId="173" fontId="7" fillId="0" borderId="10" xfId="62" applyNumberFormat="1" applyFont="1" applyBorder="1" applyAlignment="1">
      <alignment horizontal="right" vertical="center"/>
      <protection/>
    </xf>
    <xf numFmtId="173" fontId="7" fillId="33" borderId="10" xfId="69" applyNumberFormat="1" applyFont="1" applyFill="1" applyBorder="1" applyAlignment="1" applyProtection="1">
      <alignment horizontal="right" vertical="center"/>
      <protection/>
    </xf>
    <xf numFmtId="173" fontId="7" fillId="0" borderId="18" xfId="62" applyNumberFormat="1" applyFont="1" applyBorder="1" applyAlignment="1">
      <alignment horizontal="right" vertical="center"/>
      <protection/>
    </xf>
    <xf numFmtId="172" fontId="3" fillId="0" borderId="0" xfId="60" applyNumberFormat="1" applyFont="1" applyAlignment="1">
      <alignment horizontal="right" vertical="center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172" fontId="7" fillId="0" borderId="10" xfId="69" applyNumberFormat="1" applyFont="1" applyFill="1" applyBorder="1" applyAlignment="1" applyProtection="1">
      <alignment horizontal="right" vertical="center"/>
      <protection/>
    </xf>
    <xf numFmtId="172" fontId="3" fillId="0" borderId="10" xfId="69" applyNumberFormat="1" applyFont="1" applyFill="1" applyBorder="1" applyAlignment="1" applyProtection="1">
      <alignment horizontal="right" vertical="center"/>
      <protection/>
    </xf>
    <xf numFmtId="49" fontId="7" fillId="0" borderId="10" xfId="60" applyNumberFormat="1" applyFont="1" applyFill="1" applyBorder="1" applyAlignment="1" applyProtection="1">
      <alignment horizontal="center"/>
      <protection/>
    </xf>
    <xf numFmtId="173" fontId="3" fillId="0" borderId="10" xfId="60" applyNumberFormat="1" applyFont="1" applyBorder="1" applyAlignment="1">
      <alignment horizontal="right" vertical="center"/>
      <protection/>
    </xf>
    <xf numFmtId="187" fontId="3" fillId="0" borderId="10" xfId="60" applyNumberFormat="1" applyFont="1" applyBorder="1" applyAlignment="1">
      <alignment horizontal="right" vertical="center"/>
      <protection/>
    </xf>
    <xf numFmtId="184" fontId="7" fillId="0" borderId="10" xfId="57" applyNumberFormat="1" applyFont="1" applyBorder="1" applyAlignment="1">
      <alignment horizontal="right" vertical="center"/>
      <protection/>
    </xf>
    <xf numFmtId="173" fontId="3" fillId="0" borderId="0" xfId="60" applyNumberFormat="1" applyFont="1" applyAlignment="1">
      <alignment horizontal="right"/>
      <protection/>
    </xf>
    <xf numFmtId="173" fontId="4" fillId="0" borderId="0" xfId="59" applyNumberFormat="1" applyFont="1">
      <alignment/>
      <protection/>
    </xf>
    <xf numFmtId="188" fontId="4" fillId="0" borderId="0" xfId="59" applyNumberFormat="1" applyFont="1">
      <alignment/>
      <protection/>
    </xf>
    <xf numFmtId="181" fontId="3" fillId="0" borderId="10" xfId="69" applyFont="1" applyFill="1" applyBorder="1" applyAlignment="1" applyProtection="1">
      <alignment horizontal="center"/>
      <protection/>
    </xf>
    <xf numFmtId="181" fontId="3" fillId="0" borderId="10" xfId="69" applyFont="1" applyFill="1" applyBorder="1" applyAlignment="1" applyProtection="1">
      <alignment/>
      <protection/>
    </xf>
    <xf numFmtId="181" fontId="3" fillId="0" borderId="10" xfId="69" applyFont="1" applyFill="1" applyBorder="1" applyAlignment="1" applyProtection="1">
      <alignment horizontal="right" vertical="center"/>
      <protection/>
    </xf>
    <xf numFmtId="181" fontId="3" fillId="0" borderId="0" xfId="69" applyFont="1" applyFill="1" applyBorder="1" applyAlignment="1" applyProtection="1">
      <alignment/>
      <protection/>
    </xf>
    <xf numFmtId="172" fontId="3" fillId="0" borderId="0" xfId="33" applyNumberFormat="1" applyFont="1">
      <alignment/>
      <protection/>
    </xf>
    <xf numFmtId="172" fontId="7" fillId="0" borderId="10" xfId="33" applyNumberFormat="1" applyFont="1" applyBorder="1" applyAlignment="1">
      <alignment horizontal="right" vertical="center"/>
      <protection/>
    </xf>
    <xf numFmtId="181" fontId="7" fillId="0" borderId="18" xfId="62" applyNumberFormat="1" applyFont="1" applyBorder="1" applyAlignment="1">
      <alignment horizontal="right" vertical="center"/>
      <protection/>
    </xf>
    <xf numFmtId="172" fontId="7" fillId="0" borderId="18" xfId="62" applyNumberFormat="1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center" vertical="center"/>
      <protection/>
    </xf>
    <xf numFmtId="185" fontId="3" fillId="0" borderId="0" xfId="60" applyNumberFormat="1" applyFont="1" applyAlignment="1">
      <alignment horizontal="center"/>
      <protection/>
    </xf>
    <xf numFmtId="189" fontId="4" fillId="0" borderId="0" xfId="59" applyNumberFormat="1" applyFont="1">
      <alignment/>
      <protection/>
    </xf>
    <xf numFmtId="184" fontId="3" fillId="0" borderId="10" xfId="62" applyNumberFormat="1" applyFont="1" applyBorder="1" applyAlignment="1">
      <alignment horizontal="right" vertical="center"/>
      <protection/>
    </xf>
    <xf numFmtId="184" fontId="3" fillId="0" borderId="10" xfId="62" applyNumberFormat="1" applyFont="1" applyFill="1" applyBorder="1" applyAlignment="1">
      <alignment horizontal="right" vertical="center"/>
      <protection/>
    </xf>
    <xf numFmtId="190" fontId="7" fillId="0" borderId="10" xfId="62" applyNumberFormat="1" applyFont="1" applyBorder="1" applyAlignment="1">
      <alignment horizontal="right" vertical="center"/>
      <protection/>
    </xf>
    <xf numFmtId="184" fontId="7" fillId="0" borderId="10" xfId="62" applyNumberFormat="1" applyFont="1" applyFill="1" applyBorder="1" applyAlignment="1">
      <alignment horizontal="right" vertical="center"/>
      <protection/>
    </xf>
    <xf numFmtId="174" fontId="7" fillId="0" borderId="10" xfId="62" applyNumberFormat="1" applyFont="1" applyBorder="1" applyAlignment="1">
      <alignment horizontal="right" vertical="center"/>
      <protection/>
    </xf>
    <xf numFmtId="184" fontId="7" fillId="0" borderId="10" xfId="43" applyNumberFormat="1" applyFont="1" applyFill="1" applyBorder="1" applyAlignment="1" applyProtection="1">
      <alignment horizontal="right" vertical="center"/>
      <protection/>
    </xf>
    <xf numFmtId="184" fontId="3" fillId="33" borderId="10" xfId="53" applyNumberFormat="1" applyFont="1" applyFill="1" applyBorder="1" applyAlignment="1">
      <alignment horizontal="right" vertical="center" shrinkToFit="1"/>
      <protection/>
    </xf>
    <xf numFmtId="191" fontId="3" fillId="33" borderId="10" xfId="33" applyNumberFormat="1" applyFont="1" applyFill="1" applyBorder="1" applyAlignment="1">
      <alignment horizontal="right" vertical="center"/>
      <protection/>
    </xf>
    <xf numFmtId="191" fontId="3" fillId="0" borderId="10" xfId="62" applyNumberFormat="1" applyFont="1" applyFill="1" applyBorder="1" applyAlignment="1">
      <alignment horizontal="right" vertical="center"/>
      <protection/>
    </xf>
    <xf numFmtId="184" fontId="3" fillId="33" borderId="10" xfId="54" applyNumberFormat="1" applyFont="1" applyFill="1" applyBorder="1" applyAlignment="1">
      <alignment horizontal="right" vertical="center" shrinkToFit="1"/>
      <protection/>
    </xf>
    <xf numFmtId="184" fontId="3" fillId="33" borderId="10" xfId="55" applyNumberFormat="1" applyFont="1" applyFill="1" applyBorder="1" applyAlignment="1">
      <alignment horizontal="right" vertical="center" shrinkToFit="1"/>
      <protection/>
    </xf>
    <xf numFmtId="184" fontId="7" fillId="0" borderId="10" xfId="33" applyNumberFormat="1" applyFont="1" applyBorder="1" applyAlignment="1">
      <alignment horizontal="right" vertical="center"/>
      <protection/>
    </xf>
    <xf numFmtId="177" fontId="7" fillId="0" borderId="10" xfId="69" applyNumberFormat="1" applyFont="1" applyFill="1" applyBorder="1" applyAlignment="1" applyProtection="1">
      <alignment horizontal="right" vertical="center"/>
      <protection/>
    </xf>
    <xf numFmtId="177" fontId="7" fillId="33" borderId="10" xfId="69" applyNumberFormat="1" applyFont="1" applyFill="1" applyBorder="1" applyAlignment="1" applyProtection="1">
      <alignment horizontal="right" vertical="center"/>
      <protection/>
    </xf>
    <xf numFmtId="188" fontId="7" fillId="0" borderId="0" xfId="60" applyNumberFormat="1" applyFont="1">
      <alignment/>
      <protection/>
    </xf>
    <xf numFmtId="184" fontId="7" fillId="0" borderId="10" xfId="60" applyNumberFormat="1" applyFont="1" applyBorder="1" applyAlignment="1">
      <alignment horizontal="right" vertical="center"/>
      <protection/>
    </xf>
    <xf numFmtId="184" fontId="7" fillId="0" borderId="18" xfId="62" applyNumberFormat="1" applyFont="1" applyBorder="1" applyAlignment="1">
      <alignment horizontal="right" vertical="center"/>
      <protection/>
    </xf>
    <xf numFmtId="184" fontId="3" fillId="0" borderId="10" xfId="60" applyNumberFormat="1" applyFont="1" applyBorder="1" applyAlignment="1">
      <alignment horizontal="right" vertical="center"/>
      <protection/>
    </xf>
    <xf numFmtId="184" fontId="3" fillId="0" borderId="10" xfId="57" applyNumberFormat="1" applyFont="1" applyBorder="1" applyAlignment="1">
      <alignment horizontal="right" vertical="center"/>
      <protection/>
    </xf>
    <xf numFmtId="184" fontId="3" fillId="33" borderId="10" xfId="56" applyNumberFormat="1" applyFont="1" applyFill="1" applyBorder="1" applyAlignment="1">
      <alignment horizontal="right" vertical="top" shrinkToFit="1"/>
      <protection/>
    </xf>
    <xf numFmtId="172" fontId="3" fillId="33" borderId="10" xfId="62" applyNumberFormat="1" applyFont="1" applyFill="1" applyBorder="1" applyAlignment="1">
      <alignment horizontal="right" vertical="center"/>
      <protection/>
    </xf>
    <xf numFmtId="172" fontId="3" fillId="0" borderId="10" xfId="33" applyNumberFormat="1" applyFont="1" applyFill="1" applyBorder="1" applyAlignment="1">
      <alignment horizontal="right" vertical="center"/>
      <protection/>
    </xf>
    <xf numFmtId="177" fontId="7" fillId="0" borderId="10" xfId="62" applyNumberFormat="1" applyFont="1" applyBorder="1" applyAlignment="1">
      <alignment horizontal="right" vertical="center"/>
      <protection/>
    </xf>
    <xf numFmtId="174" fontId="7" fillId="0" borderId="10" xfId="60" applyNumberFormat="1" applyFont="1" applyBorder="1" applyAlignment="1">
      <alignment horizontal="right" vertical="center"/>
      <protection/>
    </xf>
    <xf numFmtId="184" fontId="7" fillId="0" borderId="10" xfId="69" applyNumberFormat="1" applyFont="1" applyFill="1" applyBorder="1" applyAlignment="1" applyProtection="1">
      <alignment horizontal="right" vertical="center"/>
      <protection/>
    </xf>
    <xf numFmtId="184" fontId="3" fillId="33" borderId="10" xfId="60" applyNumberFormat="1" applyFont="1" applyFill="1" applyBorder="1" applyAlignment="1">
      <alignment horizontal="right" vertical="center"/>
      <protection/>
    </xf>
    <xf numFmtId="184" fontId="3" fillId="33" borderId="10" xfId="60" applyNumberFormat="1" applyFont="1" applyFill="1" applyBorder="1" applyAlignment="1">
      <alignment horizontal="right"/>
      <protection/>
    </xf>
    <xf numFmtId="184" fontId="3" fillId="0" borderId="10" xfId="60" applyNumberFormat="1" applyFont="1" applyBorder="1" applyAlignment="1">
      <alignment horizontal="right"/>
      <protection/>
    </xf>
    <xf numFmtId="184" fontId="7" fillId="33" borderId="10" xfId="60" applyNumberFormat="1" applyFont="1" applyFill="1" applyBorder="1" applyAlignment="1">
      <alignment horizontal="right" vertical="center"/>
      <protection/>
    </xf>
    <xf numFmtId="187" fontId="3" fillId="0" borderId="10" xfId="57" applyNumberFormat="1" applyFont="1" applyBorder="1" applyAlignment="1">
      <alignment horizontal="right" vertical="center"/>
      <protection/>
    </xf>
    <xf numFmtId="172" fontId="3" fillId="0" borderId="0" xfId="60" applyNumberFormat="1" applyFont="1" applyAlignment="1">
      <alignment horizontal="right"/>
      <protection/>
    </xf>
    <xf numFmtId="185" fontId="4" fillId="0" borderId="0" xfId="59" applyNumberFormat="1" applyFont="1">
      <alignment/>
      <protection/>
    </xf>
    <xf numFmtId="172" fontId="4" fillId="0" borderId="0" xfId="59" applyNumberFormat="1" applyFont="1">
      <alignment/>
      <protection/>
    </xf>
    <xf numFmtId="181" fontId="7" fillId="0" borderId="10" xfId="60" applyNumberFormat="1" applyFont="1" applyBorder="1" applyAlignment="1">
      <alignment horizontal="right" vertical="center"/>
      <protection/>
    </xf>
    <xf numFmtId="184" fontId="3" fillId="0" borderId="10" xfId="60" applyNumberFormat="1" applyFont="1" applyFill="1" applyBorder="1" applyAlignment="1">
      <alignment horizontal="right" vertical="center"/>
      <protection/>
    </xf>
    <xf numFmtId="186" fontId="7" fillId="0" borderId="10" xfId="43" applyNumberFormat="1" applyFont="1" applyFill="1" applyBorder="1" applyAlignment="1" applyProtection="1">
      <alignment horizontal="right" vertical="center"/>
      <protection/>
    </xf>
    <xf numFmtId="192" fontId="7" fillId="0" borderId="10" xfId="62" applyNumberFormat="1" applyFont="1" applyBorder="1" applyAlignment="1">
      <alignment horizontal="right" vertical="center"/>
      <protection/>
    </xf>
    <xf numFmtId="174" fontId="7" fillId="0" borderId="10" xfId="33" applyNumberFormat="1" applyFont="1" applyBorder="1" applyAlignment="1">
      <alignment horizontal="right" vertical="center"/>
      <protection/>
    </xf>
    <xf numFmtId="1" fontId="7" fillId="0" borderId="18" xfId="62" applyNumberFormat="1" applyFont="1" applyBorder="1" applyAlignment="1">
      <alignment horizontal="right" vertical="center"/>
      <protection/>
    </xf>
    <xf numFmtId="177" fontId="3" fillId="0" borderId="0" xfId="60" applyNumberFormat="1" applyFont="1" applyAlignment="1">
      <alignment horizontal="center"/>
      <protection/>
    </xf>
    <xf numFmtId="177" fontId="3" fillId="0" borderId="0" xfId="60" applyNumberFormat="1" applyFont="1" applyAlignment="1">
      <alignment horizontal="right"/>
      <protection/>
    </xf>
    <xf numFmtId="185" fontId="7" fillId="0" borderId="10" xfId="62" applyNumberFormat="1" applyFont="1" applyBorder="1" applyAlignment="1">
      <alignment horizontal="right" vertical="center"/>
      <protection/>
    </xf>
    <xf numFmtId="185" fontId="7" fillId="0" borderId="0" xfId="60" applyNumberFormat="1" applyFont="1">
      <alignment/>
      <protection/>
    </xf>
    <xf numFmtId="49" fontId="7" fillId="0" borderId="10" xfId="69" applyNumberFormat="1" applyFont="1" applyFill="1" applyBorder="1" applyAlignment="1" applyProtection="1">
      <alignment horizontal="right" vertical="center"/>
      <protection/>
    </xf>
    <xf numFmtId="185" fontId="7" fillId="0" borderId="10" xfId="69" applyNumberFormat="1" applyFont="1" applyFill="1" applyBorder="1" applyAlignment="1" applyProtection="1">
      <alignment horizontal="right" vertical="center"/>
      <protection/>
    </xf>
    <xf numFmtId="172" fontId="3" fillId="0" borderId="0" xfId="60" applyNumberFormat="1" applyFont="1">
      <alignment/>
      <protection/>
    </xf>
    <xf numFmtId="185" fontId="3" fillId="0" borderId="10" xfId="60" applyNumberFormat="1" applyFont="1" applyBorder="1" applyAlignment="1">
      <alignment horizontal="right" vertical="center"/>
      <protection/>
    </xf>
    <xf numFmtId="177" fontId="3" fillId="0" borderId="0" xfId="60" applyNumberFormat="1" applyFont="1">
      <alignment/>
      <protection/>
    </xf>
    <xf numFmtId="177" fontId="4" fillId="0" borderId="0" xfId="59" applyNumberFormat="1" applyFont="1">
      <alignment/>
      <protection/>
    </xf>
    <xf numFmtId="185" fontId="7" fillId="33" borderId="10" xfId="69" applyNumberFormat="1" applyFont="1" applyFill="1" applyBorder="1" applyAlignment="1" applyProtection="1">
      <alignment horizontal="right" vertical="center"/>
      <protection/>
    </xf>
    <xf numFmtId="190" fontId="7" fillId="0" borderId="10" xfId="69" applyNumberFormat="1" applyFont="1" applyFill="1" applyBorder="1" applyAlignment="1" applyProtection="1">
      <alignment horizontal="right" vertical="center"/>
      <protection/>
    </xf>
    <xf numFmtId="184" fontId="3" fillId="0" borderId="10" xfId="69" applyNumberFormat="1" applyFont="1" applyFill="1" applyBorder="1" applyAlignment="1" applyProtection="1">
      <alignment horizontal="right" vertical="center"/>
      <protection/>
    </xf>
    <xf numFmtId="184" fontId="3" fillId="0" borderId="10" xfId="69" applyNumberFormat="1" applyFont="1" applyFill="1" applyBorder="1" applyAlignment="1" applyProtection="1">
      <alignment horizontal="right"/>
      <protection/>
    </xf>
    <xf numFmtId="49" fontId="3" fillId="0" borderId="11" xfId="59" applyNumberFormat="1" applyFont="1" applyBorder="1" applyAlignment="1">
      <alignment horizontal="center"/>
      <protection/>
    </xf>
    <xf numFmtId="49" fontId="7" fillId="0" borderId="11" xfId="58" applyNumberFormat="1" applyFont="1" applyBorder="1" applyAlignment="1">
      <alignment horizontal="center"/>
      <protection/>
    </xf>
    <xf numFmtId="0" fontId="24" fillId="0" borderId="0" xfId="60" applyFont="1">
      <alignment/>
      <protection/>
    </xf>
    <xf numFmtId="0" fontId="25" fillId="0" borderId="0" xfId="60" applyFont="1">
      <alignment/>
      <protection/>
    </xf>
    <xf numFmtId="184" fontId="3" fillId="33" borderId="10" xfId="69" applyNumberFormat="1" applyFont="1" applyFill="1" applyBorder="1" applyAlignment="1" applyProtection="1">
      <alignment horizontal="right" vertical="top" shrinkToFit="1"/>
      <protection/>
    </xf>
    <xf numFmtId="172" fontId="3" fillId="0" borderId="10" xfId="53" applyNumberFormat="1" applyFont="1" applyFill="1" applyBorder="1" applyAlignment="1">
      <alignment horizontal="right" vertical="center"/>
      <protection/>
    </xf>
    <xf numFmtId="192" fontId="3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Border="1" applyAlignment="1">
      <alignment/>
      <protection/>
    </xf>
    <xf numFmtId="2" fontId="3" fillId="0" borderId="10" xfId="62" applyNumberFormat="1" applyFont="1" applyFill="1" applyBorder="1" applyAlignment="1">
      <alignment horizontal="right" vertical="center"/>
      <protection/>
    </xf>
    <xf numFmtId="174" fontId="7" fillId="0" borderId="0" xfId="60" applyNumberFormat="1" applyFont="1">
      <alignment/>
      <protection/>
    </xf>
    <xf numFmtId="177" fontId="7" fillId="0" borderId="18" xfId="62" applyNumberFormat="1" applyFont="1" applyBorder="1" applyAlignment="1">
      <alignment horizontal="right" vertical="center"/>
      <protection/>
    </xf>
    <xf numFmtId="0" fontId="7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wrapText="1"/>
      <protection/>
    </xf>
    <xf numFmtId="172" fontId="7" fillId="33" borderId="10" xfId="55" applyNumberFormat="1" applyFont="1" applyFill="1" applyBorder="1" applyAlignment="1">
      <alignment horizontal="right" vertical="center" shrinkToFit="1"/>
      <protection/>
    </xf>
    <xf numFmtId="187" fontId="7" fillId="0" borderId="10" xfId="57" applyNumberFormat="1" applyFont="1" applyBorder="1" applyAlignment="1">
      <alignment horizontal="right" vertical="center"/>
      <protection/>
    </xf>
    <xf numFmtId="189" fontId="8" fillId="0" borderId="0" xfId="59" applyNumberFormat="1" applyFont="1">
      <alignment/>
      <protection/>
    </xf>
    <xf numFmtId="172" fontId="3" fillId="33" borderId="10" xfId="33" applyNumberFormat="1" applyFont="1" applyFill="1" applyBorder="1" applyAlignment="1">
      <alignment horizontal="right" vertical="center" shrinkToFit="1"/>
      <protection/>
    </xf>
    <xf numFmtId="174" fontId="7" fillId="0" borderId="10" xfId="62" applyNumberFormat="1" applyFont="1" applyFill="1" applyBorder="1" applyAlignment="1">
      <alignment horizontal="right" vertical="center"/>
      <protection/>
    </xf>
    <xf numFmtId="174" fontId="3" fillId="0" borderId="10" xfId="33" applyNumberFormat="1" applyFont="1" applyBorder="1" applyAlignment="1">
      <alignment horizontal="right" vertical="center"/>
      <protection/>
    </xf>
    <xf numFmtId="174" fontId="26" fillId="0" borderId="10" xfId="62" applyNumberFormat="1" applyFont="1" applyBorder="1" applyAlignment="1">
      <alignment horizontal="right" vertical="center"/>
      <protection/>
    </xf>
    <xf numFmtId="189" fontId="3" fillId="0" borderId="0" xfId="60" applyNumberFormat="1" applyFont="1" applyAlignment="1">
      <alignment horizontal="center"/>
      <protection/>
    </xf>
    <xf numFmtId="0" fontId="7" fillId="0" borderId="10" xfId="62" applyFont="1" applyBorder="1" applyAlignment="1">
      <alignment horizontal="center" vertical="top"/>
      <protection/>
    </xf>
    <xf numFmtId="0" fontId="7" fillId="0" borderId="10" xfId="62" applyFont="1" applyBorder="1" applyAlignment="1">
      <alignment vertical="top" wrapText="1"/>
      <protection/>
    </xf>
    <xf numFmtId="0" fontId="6" fillId="0" borderId="10" xfId="62" applyFont="1" applyBorder="1">
      <alignment/>
      <protection/>
    </xf>
    <xf numFmtId="0" fontId="27" fillId="0" borderId="10" xfId="62" applyFont="1" applyBorder="1">
      <alignment/>
      <protection/>
    </xf>
    <xf numFmtId="177" fontId="7" fillId="33" borderId="10" xfId="62" applyNumberFormat="1" applyFont="1" applyFill="1" applyBorder="1" applyAlignment="1">
      <alignment horizontal="right" vertical="center"/>
      <protection/>
    </xf>
    <xf numFmtId="184" fontId="7" fillId="33" borderId="10" xfId="57" applyNumberFormat="1" applyFont="1" applyFill="1" applyBorder="1" applyAlignment="1">
      <alignment horizontal="right" vertical="center"/>
      <protection/>
    </xf>
    <xf numFmtId="184" fontId="3" fillId="33" borderId="10" xfId="57" applyNumberFormat="1" applyFont="1" applyFill="1" applyBorder="1" applyAlignment="1">
      <alignment horizontal="right" vertical="center"/>
      <protection/>
    </xf>
    <xf numFmtId="187" fontId="3" fillId="33" borderId="10" xfId="57" applyNumberFormat="1" applyFont="1" applyFill="1" applyBorder="1" applyAlignment="1">
      <alignment horizontal="right" vertical="center"/>
      <protection/>
    </xf>
    <xf numFmtId="187" fontId="3" fillId="33" borderId="10" xfId="60" applyNumberFormat="1" applyFont="1" applyFill="1" applyBorder="1" applyAlignment="1">
      <alignment horizontal="right" vertical="center"/>
      <protection/>
    </xf>
    <xf numFmtId="0" fontId="3" fillId="0" borderId="0" xfId="59" applyFont="1" applyAlignment="1">
      <alignment horizontal="left"/>
      <protection/>
    </xf>
    <xf numFmtId="193" fontId="3" fillId="0" borderId="0" xfId="59" applyNumberFormat="1" applyFont="1">
      <alignment/>
      <protection/>
    </xf>
    <xf numFmtId="188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/>
      <protection/>
    </xf>
    <xf numFmtId="185" fontId="3" fillId="0" borderId="0" xfId="59" applyNumberFormat="1" applyFont="1">
      <alignment/>
      <protection/>
    </xf>
    <xf numFmtId="0" fontId="0" fillId="0" borderId="0" xfId="33">
      <alignment/>
      <protection/>
    </xf>
    <xf numFmtId="0" fontId="8" fillId="0" borderId="0" xfId="62" applyFont="1" applyAlignment="1">
      <alignment horizontal="center"/>
      <protection/>
    </xf>
    <xf numFmtId="0" fontId="4" fillId="0" borderId="0" xfId="60" applyFont="1">
      <alignment/>
      <protection/>
    </xf>
    <xf numFmtId="0" fontId="8" fillId="0" borderId="10" xfId="62" applyFont="1" applyBorder="1" applyAlignment="1">
      <alignment horizontal="center" vertical="center" wrapText="1"/>
      <protection/>
    </xf>
    <xf numFmtId="172" fontId="8" fillId="0" borderId="10" xfId="62" applyNumberFormat="1" applyFont="1" applyBorder="1" applyAlignment="1">
      <alignment horizontal="center" vertical="center" wrapText="1"/>
      <protection/>
    </xf>
    <xf numFmtId="172" fontId="8" fillId="0" borderId="10" xfId="62" applyNumberFormat="1" applyFont="1" applyFill="1" applyBorder="1" applyAlignment="1">
      <alignment horizontal="center" vertical="center" wrapText="1"/>
      <protection/>
    </xf>
    <xf numFmtId="172" fontId="8" fillId="0" borderId="10" xfId="62" applyNumberFormat="1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/>
      <protection/>
    </xf>
    <xf numFmtId="0" fontId="8" fillId="0" borderId="10" xfId="62" applyFont="1" applyBorder="1">
      <alignment/>
      <protection/>
    </xf>
    <xf numFmtId="172" fontId="8" fillId="0" borderId="10" xfId="62" applyNumberFormat="1" applyFont="1" applyBorder="1" applyAlignment="1">
      <alignment horizontal="right" vertical="center"/>
      <protection/>
    </xf>
    <xf numFmtId="0" fontId="8" fillId="0" borderId="0" xfId="60" applyFont="1">
      <alignment/>
      <protection/>
    </xf>
    <xf numFmtId="0" fontId="4" fillId="0" borderId="10" xfId="62" applyFont="1" applyBorder="1" applyAlignment="1">
      <alignment horizontal="center"/>
      <protection/>
    </xf>
    <xf numFmtId="0" fontId="4" fillId="0" borderId="10" xfId="62" applyFont="1" applyBorder="1" applyAlignment="1">
      <alignment wrapText="1"/>
      <protection/>
    </xf>
    <xf numFmtId="172" fontId="4" fillId="0" borderId="10" xfId="62" applyNumberFormat="1" applyFont="1" applyBorder="1" applyAlignment="1">
      <alignment horizontal="right" vertical="center"/>
      <protection/>
    </xf>
    <xf numFmtId="172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62" applyFont="1" applyBorder="1" applyAlignment="1">
      <alignment wrapText="1"/>
      <protection/>
    </xf>
    <xf numFmtId="0" fontId="4" fillId="0" borderId="10" xfId="62" applyFont="1" applyBorder="1">
      <alignment/>
      <protection/>
    </xf>
    <xf numFmtId="172" fontId="4" fillId="0" borderId="10" xfId="33" applyNumberFormat="1" applyFont="1" applyBorder="1" applyAlignment="1">
      <alignment horizontal="right" vertical="center"/>
      <protection/>
    </xf>
    <xf numFmtId="0" fontId="4" fillId="0" borderId="0" xfId="60" applyFont="1" applyFill="1">
      <alignment/>
      <protection/>
    </xf>
    <xf numFmtId="0" fontId="4" fillId="0" borderId="10" xfId="62" applyFont="1" applyFill="1" applyBorder="1" applyAlignment="1">
      <alignment horizontal="center"/>
      <protection/>
    </xf>
    <xf numFmtId="0" fontId="4" fillId="0" borderId="10" xfId="62" applyFont="1" applyFill="1" applyBorder="1">
      <alignment/>
      <protection/>
    </xf>
    <xf numFmtId="172" fontId="4" fillId="33" borderId="10" xfId="33" applyNumberFormat="1" applyFont="1" applyFill="1" applyBorder="1" applyAlignment="1">
      <alignment horizontal="right" vertical="center"/>
      <protection/>
    </xf>
    <xf numFmtId="172" fontId="8" fillId="0" borderId="10" xfId="33" applyNumberFormat="1" applyFont="1" applyBorder="1" applyAlignment="1">
      <alignment horizontal="right" vertical="center"/>
      <protection/>
    </xf>
    <xf numFmtId="1" fontId="8" fillId="0" borderId="10" xfId="62" applyNumberFormat="1" applyFont="1" applyBorder="1" applyAlignment="1">
      <alignment horizontal="center"/>
      <protection/>
    </xf>
    <xf numFmtId="172" fontId="8" fillId="0" borderId="10" xfId="62" applyNumberFormat="1" applyFont="1" applyBorder="1" applyAlignment="1">
      <alignment wrapText="1"/>
      <protection/>
    </xf>
    <xf numFmtId="172" fontId="4" fillId="0" borderId="0" xfId="60" applyNumberFormat="1" applyFont="1" applyFill="1">
      <alignment/>
      <protection/>
    </xf>
    <xf numFmtId="0" fontId="8" fillId="0" borderId="10" xfId="62" applyFont="1" applyBorder="1" applyAlignment="1">
      <alignment horizontal="center" vertical="top"/>
      <protection/>
    </xf>
    <xf numFmtId="0" fontId="8" fillId="0" borderId="10" xfId="62" applyFont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center"/>
      <protection/>
    </xf>
    <xf numFmtId="0" fontId="4" fillId="0" borderId="10" xfId="62" applyFont="1" applyFill="1" applyBorder="1" applyAlignment="1">
      <alignment wrapText="1"/>
      <protection/>
    </xf>
    <xf numFmtId="49" fontId="4" fillId="0" borderId="10" xfId="62" applyNumberFormat="1" applyFont="1" applyBorder="1" applyAlignment="1">
      <alignment horizontal="center"/>
      <protection/>
    </xf>
    <xf numFmtId="175" fontId="4" fillId="0" borderId="0" xfId="60" applyNumberFormat="1" applyFont="1">
      <alignment/>
      <protection/>
    </xf>
    <xf numFmtId="172" fontId="4" fillId="33" borderId="10" xfId="69" applyNumberFormat="1" applyFont="1" applyFill="1" applyBorder="1" applyAlignment="1" applyProtection="1">
      <alignment horizontal="right" vertical="center"/>
      <protection/>
    </xf>
    <xf numFmtId="172" fontId="4" fillId="33" borderId="10" xfId="62" applyNumberFormat="1" applyFont="1" applyFill="1" applyBorder="1" applyAlignment="1">
      <alignment horizontal="right" vertical="center"/>
      <protection/>
    </xf>
    <xf numFmtId="172" fontId="8" fillId="33" borderId="10" xfId="43" applyNumberFormat="1" applyFont="1" applyFill="1" applyBorder="1" applyAlignment="1" applyProtection="1">
      <alignment horizontal="right" vertical="center"/>
      <protection/>
    </xf>
    <xf numFmtId="173" fontId="8" fillId="0" borderId="0" xfId="60" applyNumberFormat="1" applyFont="1">
      <alignment/>
      <protection/>
    </xf>
    <xf numFmtId="172" fontId="4" fillId="33" borderId="10" xfId="53" applyNumberFormat="1" applyFont="1" applyFill="1" applyBorder="1" applyAlignment="1">
      <alignment horizontal="right" vertical="center" shrinkToFit="1"/>
      <protection/>
    </xf>
    <xf numFmtId="172" fontId="4" fillId="33" borderId="10" xfId="54" applyNumberFormat="1" applyFont="1" applyFill="1" applyBorder="1" applyAlignment="1">
      <alignment horizontal="right" vertical="center" shrinkToFit="1"/>
      <protection/>
    </xf>
    <xf numFmtId="172" fontId="4" fillId="33" borderId="10" xfId="55" applyNumberFormat="1" applyFont="1" applyFill="1" applyBorder="1" applyAlignment="1">
      <alignment horizontal="right" vertical="center" shrinkToFit="1"/>
      <protection/>
    </xf>
    <xf numFmtId="172" fontId="8" fillId="0" borderId="10" xfId="62" applyNumberFormat="1" applyFont="1" applyFill="1" applyBorder="1" applyAlignment="1">
      <alignment horizontal="right" vertical="center"/>
      <protection/>
    </xf>
    <xf numFmtId="173" fontId="8" fillId="33" borderId="10" xfId="69" applyNumberFormat="1" applyFont="1" applyFill="1" applyBorder="1" applyAlignment="1" applyProtection="1">
      <alignment horizontal="right" vertical="center"/>
      <protection/>
    </xf>
    <xf numFmtId="2" fontId="8" fillId="0" borderId="0" xfId="60" applyNumberFormat="1" applyFont="1">
      <alignment/>
      <protection/>
    </xf>
    <xf numFmtId="0" fontId="8" fillId="0" borderId="10" xfId="62" applyFont="1" applyFill="1" applyBorder="1">
      <alignment/>
      <protection/>
    </xf>
    <xf numFmtId="172" fontId="8" fillId="33" borderId="10" xfId="62" applyNumberFormat="1" applyFont="1" applyFill="1" applyBorder="1" applyAlignment="1">
      <alignment horizontal="right" vertical="center"/>
      <protection/>
    </xf>
    <xf numFmtId="172" fontId="8" fillId="0" borderId="10" xfId="60" applyNumberFormat="1" applyFont="1" applyBorder="1" applyAlignment="1">
      <alignment horizontal="right" vertical="center"/>
      <protection/>
    </xf>
    <xf numFmtId="0" fontId="8" fillId="0" borderId="18" xfId="62" applyFont="1" applyBorder="1" applyAlignment="1">
      <alignment horizontal="center"/>
      <protection/>
    </xf>
    <xf numFmtId="0" fontId="8" fillId="0" borderId="18" xfId="62" applyFont="1" applyFill="1" applyBorder="1">
      <alignment/>
      <protection/>
    </xf>
    <xf numFmtId="172" fontId="8" fillId="0" borderId="18" xfId="62" applyNumberFormat="1" applyFont="1" applyBorder="1" applyAlignment="1">
      <alignment horizontal="right" vertical="center"/>
      <protection/>
    </xf>
    <xf numFmtId="172" fontId="4" fillId="0" borderId="0" xfId="60" applyNumberFormat="1" applyFont="1" applyAlignment="1">
      <alignment horizontal="right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1" fontId="8" fillId="0" borderId="10" xfId="60" applyNumberFormat="1" applyFont="1" applyBorder="1" applyAlignment="1">
      <alignment horizontal="center" vertical="center" wrapText="1"/>
      <protection/>
    </xf>
    <xf numFmtId="172" fontId="8" fillId="0" borderId="10" xfId="60" applyNumberFormat="1" applyFont="1" applyBorder="1" applyAlignment="1">
      <alignment horizontal="center" vertical="center" wrapText="1"/>
      <protection/>
    </xf>
    <xf numFmtId="49" fontId="8" fillId="0" borderId="10" xfId="60" applyNumberFormat="1" applyFont="1" applyBorder="1" applyAlignment="1">
      <alignment horizontal="center"/>
      <protection/>
    </xf>
    <xf numFmtId="0" fontId="8" fillId="33" borderId="10" xfId="60" applyFont="1" applyFill="1" applyBorder="1" applyAlignment="1">
      <alignment wrapText="1"/>
      <protection/>
    </xf>
    <xf numFmtId="172" fontId="8" fillId="0" borderId="10" xfId="57" applyNumberFormat="1" applyFont="1" applyBorder="1" applyAlignment="1">
      <alignment horizontal="right"/>
      <protection/>
    </xf>
    <xf numFmtId="49" fontId="4" fillId="0" borderId="10" xfId="60" applyNumberFormat="1" applyFont="1" applyBorder="1" applyAlignment="1">
      <alignment horizontal="center"/>
      <protection/>
    </xf>
    <xf numFmtId="0" fontId="4" fillId="33" borderId="10" xfId="60" applyFont="1" applyFill="1" applyBorder="1" applyAlignment="1">
      <alignment wrapText="1"/>
      <protection/>
    </xf>
    <xf numFmtId="172" fontId="4" fillId="0" borderId="10" xfId="60" applyNumberFormat="1" applyFont="1" applyBorder="1" applyAlignment="1">
      <alignment horizontal="right" vertical="center"/>
      <protection/>
    </xf>
    <xf numFmtId="0" fontId="4" fillId="0" borderId="10" xfId="60" applyFont="1" applyBorder="1" applyAlignment="1">
      <alignment wrapText="1"/>
      <protection/>
    </xf>
    <xf numFmtId="172" fontId="4" fillId="0" borderId="10" xfId="57" applyNumberFormat="1" applyFont="1" applyBorder="1" applyAlignment="1">
      <alignment horizontal="right"/>
      <protection/>
    </xf>
    <xf numFmtId="172" fontId="4" fillId="0" borderId="10" xfId="60" applyNumberFormat="1" applyFont="1" applyBorder="1" applyAlignment="1">
      <alignment horizontal="right"/>
      <protection/>
    </xf>
    <xf numFmtId="49" fontId="8" fillId="0" borderId="11" xfId="59" applyNumberFormat="1" applyFont="1" applyBorder="1" applyAlignment="1">
      <alignment horizontal="center"/>
      <protection/>
    </xf>
    <xf numFmtId="0" fontId="8" fillId="33" borderId="10" xfId="59" applyFont="1" applyFill="1" applyBorder="1" applyAlignment="1">
      <alignment wrapText="1"/>
      <protection/>
    </xf>
    <xf numFmtId="49" fontId="4" fillId="0" borderId="10" xfId="59" applyNumberFormat="1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49" fontId="4" fillId="0" borderId="11" xfId="60" applyNumberFormat="1" applyFont="1" applyBorder="1" applyAlignment="1">
      <alignment horizontal="center"/>
      <protection/>
    </xf>
    <xf numFmtId="49" fontId="4" fillId="0" borderId="11" xfId="58" applyNumberFormat="1" applyFont="1" applyBorder="1" applyAlignment="1">
      <alignment horizontal="center"/>
      <protection/>
    </xf>
    <xf numFmtId="0" fontId="28" fillId="0" borderId="10" xfId="58" applyFont="1" applyBorder="1" applyAlignment="1">
      <alignment wrapText="1"/>
      <protection/>
    </xf>
    <xf numFmtId="172" fontId="4" fillId="0" borderId="10" xfId="60" applyNumberFormat="1" applyFont="1" applyBorder="1" applyAlignment="1">
      <alignment horizontal="right" vertical="center" wrapText="1"/>
      <protection/>
    </xf>
    <xf numFmtId="172" fontId="8" fillId="0" borderId="10" xfId="57" applyNumberFormat="1" applyFont="1" applyBorder="1" applyAlignment="1">
      <alignment horizontal="right" vertical="center"/>
      <protection/>
    </xf>
    <xf numFmtId="172" fontId="4" fillId="0" borderId="10" xfId="57" applyNumberFormat="1" applyFont="1" applyBorder="1" applyAlignment="1">
      <alignment horizontal="right" vertical="center"/>
      <protection/>
    </xf>
    <xf numFmtId="183" fontId="8" fillId="0" borderId="0" xfId="60" applyNumberFormat="1" applyFont="1">
      <alignment/>
      <protection/>
    </xf>
    <xf numFmtId="0" fontId="4" fillId="0" borderId="10" xfId="60" applyFont="1" applyBorder="1" applyAlignment="1">
      <alignment horizontal="left" wrapText="1"/>
      <protection/>
    </xf>
    <xf numFmtId="0" fontId="8" fillId="33" borderId="10" xfId="60" applyFont="1" applyFill="1" applyBorder="1" applyAlignment="1">
      <alignment horizontal="left" wrapText="1"/>
      <protection/>
    </xf>
    <xf numFmtId="0" fontId="8" fillId="0" borderId="10" xfId="60" applyFont="1" applyBorder="1" applyAlignment="1">
      <alignment horizontal="center"/>
      <protection/>
    </xf>
    <xf numFmtId="172" fontId="8" fillId="33" borderId="10" xfId="60" applyNumberFormat="1" applyFont="1" applyFill="1" applyBorder="1" applyAlignment="1">
      <alignment horizontal="right" vertic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Fill="1" applyBorder="1" applyAlignment="1">
      <alignment wrapText="1"/>
      <protection/>
    </xf>
    <xf numFmtId="172" fontId="4" fillId="33" borderId="10" xfId="56" applyNumberFormat="1" applyFont="1" applyFill="1" applyBorder="1" applyAlignment="1">
      <alignment horizontal="right" vertical="top" shrinkToFit="1"/>
      <protection/>
    </xf>
    <xf numFmtId="172" fontId="8" fillId="0" borderId="10" xfId="69" applyNumberFormat="1" applyFont="1" applyFill="1" applyBorder="1" applyAlignment="1" applyProtection="1">
      <alignment horizontal="right" vertical="center"/>
      <protection/>
    </xf>
    <xf numFmtId="172" fontId="8" fillId="0" borderId="10" xfId="60" applyNumberFormat="1" applyFont="1" applyBorder="1" applyAlignment="1">
      <alignment horizontal="right"/>
      <protection/>
    </xf>
    <xf numFmtId="0" fontId="8" fillId="0" borderId="10" xfId="60" applyFont="1" applyFill="1" applyBorder="1" applyAlignment="1">
      <alignment wrapText="1"/>
      <protection/>
    </xf>
    <xf numFmtId="0" fontId="8" fillId="0" borderId="10" xfId="60" applyFont="1" applyFill="1" applyBorder="1" applyAlignment="1">
      <alignment horizontal="center" wrapText="1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wrapText="1"/>
      <protection/>
    </xf>
    <xf numFmtId="172" fontId="8" fillId="0" borderId="0" xfId="60" applyNumberFormat="1" applyFont="1" applyAlignment="1">
      <alignment horizontal="right"/>
      <protection/>
    </xf>
    <xf numFmtId="173" fontId="8" fillId="0" borderId="0" xfId="60" applyNumberFormat="1" applyFont="1" applyAlignment="1">
      <alignment horizontal="right" vertical="center"/>
      <protection/>
    </xf>
    <xf numFmtId="172" fontId="4" fillId="0" borderId="0" xfId="60" applyNumberFormat="1" applyFont="1" applyAlignment="1">
      <alignment horizontal="center"/>
      <protection/>
    </xf>
    <xf numFmtId="2" fontId="8" fillId="0" borderId="10" xfId="62" applyNumberFormat="1" applyFont="1" applyBorder="1" applyAlignment="1">
      <alignment horizontal="right" vertical="center"/>
      <protection/>
    </xf>
    <xf numFmtId="174" fontId="7" fillId="33" borderId="10" xfId="69" applyNumberFormat="1" applyFont="1" applyFill="1" applyBorder="1" applyAlignment="1" applyProtection="1">
      <alignment horizontal="right" vertical="center"/>
      <protection/>
    </xf>
    <xf numFmtId="174" fontId="7" fillId="0" borderId="10" xfId="69" applyNumberFormat="1" applyFont="1" applyFill="1" applyBorder="1" applyAlignment="1" applyProtection="1">
      <alignment horizontal="right" vertical="center"/>
      <protection/>
    </xf>
    <xf numFmtId="173" fontId="8" fillId="0" borderId="10" xfId="57" applyNumberFormat="1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10" fillId="33" borderId="0" xfId="33" applyFont="1" applyFill="1" applyBorder="1" applyAlignment="1">
      <alignment horizontal="center"/>
      <protection/>
    </xf>
    <xf numFmtId="0" fontId="10" fillId="33" borderId="0" xfId="33" applyFont="1" applyFill="1" applyBorder="1" applyAlignment="1">
      <alignment horizontal="left"/>
      <protection/>
    </xf>
    <xf numFmtId="0" fontId="11" fillId="33" borderId="0" xfId="33" applyFont="1" applyFill="1" applyBorder="1" applyAlignment="1">
      <alignment horizontal="left" vertical="center" wrapText="1"/>
      <protection/>
    </xf>
    <xf numFmtId="0" fontId="10" fillId="33" borderId="0" xfId="33" applyFont="1" applyFill="1" applyBorder="1" applyAlignment="1">
      <alignment horizontal="left" vertical="center" wrapText="1"/>
      <protection/>
    </xf>
    <xf numFmtId="0" fontId="12" fillId="33" borderId="0" xfId="33" applyFont="1" applyFill="1" applyBorder="1" applyAlignment="1">
      <alignment horizontal="center" vertical="center"/>
      <protection/>
    </xf>
    <xf numFmtId="0" fontId="12" fillId="33" borderId="0" xfId="33" applyFont="1" applyFill="1" applyBorder="1" applyAlignment="1" applyProtection="1">
      <alignment horizontal="center" vertical="center" wrapText="1"/>
      <protection locked="0"/>
    </xf>
    <xf numFmtId="0" fontId="14" fillId="33" borderId="15" xfId="33" applyFont="1" applyFill="1" applyBorder="1" applyAlignment="1">
      <alignment horizontal="center" vertical="center" wrapText="1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15" fillId="33" borderId="19" xfId="33" applyFont="1" applyFill="1" applyBorder="1" applyAlignment="1">
      <alignment horizontal="center" vertical="center" wrapText="1"/>
      <protection/>
    </xf>
    <xf numFmtId="0" fontId="15" fillId="33" borderId="16" xfId="33" applyFont="1" applyFill="1" applyBorder="1" applyAlignment="1">
      <alignment horizontal="center" vertical="center" wrapText="1"/>
      <protection/>
    </xf>
    <xf numFmtId="0" fontId="15" fillId="33" borderId="16" xfId="33" applyFont="1" applyFill="1" applyBorder="1" applyAlignment="1">
      <alignment horizontal="left" vertical="center" wrapText="1"/>
      <protection/>
    </xf>
    <xf numFmtId="0" fontId="15" fillId="33" borderId="17" xfId="33" applyFont="1" applyFill="1" applyBorder="1" applyAlignment="1">
      <alignment horizontal="center" vertical="center" wrapText="1"/>
      <protection/>
    </xf>
    <xf numFmtId="0" fontId="15" fillId="33" borderId="18" xfId="33" applyFont="1" applyFill="1" applyBorder="1" applyAlignment="1">
      <alignment horizontal="center" vertical="center" wrapText="1"/>
      <protection/>
    </xf>
    <xf numFmtId="49" fontId="15" fillId="33" borderId="10" xfId="33" applyNumberFormat="1" applyFont="1" applyFill="1" applyBorder="1" applyAlignment="1">
      <alignment horizontal="center" vertical="center" wrapText="1"/>
      <protection/>
    </xf>
    <xf numFmtId="4" fontId="20" fillId="33" borderId="10" xfId="61" applyNumberFormat="1" applyFont="1" applyFill="1" applyBorder="1" applyAlignment="1">
      <alignment horizontal="center" vertical="center" wrapText="1"/>
      <protection/>
    </xf>
    <xf numFmtId="49" fontId="15" fillId="33" borderId="16" xfId="33" applyNumberFormat="1" applyFont="1" applyFill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Обычный 6" xfId="55"/>
    <cellStyle name="Обычный 7" xfId="56"/>
    <cellStyle name="Обычный_Алек 2" xfId="57"/>
    <cellStyle name="Обычный_Анализ Кадикас. на 1.03.08" xfId="58"/>
    <cellStyle name="Обычный_Анализ Моргаш. на 1.03.08" xfId="59"/>
    <cellStyle name="Обычный_Анализ район на 1.03.08" xfId="60"/>
    <cellStyle name="Обычный_Лист1 2" xfId="61"/>
    <cellStyle name="Обычный_Лист3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80" zoomScaleSheetLayoutView="80" zoomScalePageLayoutView="0" workbookViewId="0" topLeftCell="A14">
      <selection activeCell="I24" sqref="I24"/>
    </sheetView>
  </sheetViews>
  <sheetFormatPr defaultColWidth="9.140625" defaultRowHeight="12.75"/>
  <cols>
    <col min="1" max="1" width="41.28125" style="1" customWidth="1"/>
    <col min="2" max="2" width="10.00390625" style="2" customWidth="1"/>
    <col min="3" max="3" width="25.421875" style="3" customWidth="1"/>
    <col min="4" max="4" width="19.00390625" style="3" customWidth="1"/>
    <col min="5" max="5" width="13.57421875" style="3" customWidth="1"/>
    <col min="6" max="6" width="20.421875" style="3" customWidth="1"/>
    <col min="7" max="7" width="21.421875" style="3" customWidth="1"/>
    <col min="8" max="8" width="13.57421875" style="3" customWidth="1"/>
    <col min="9" max="9" width="17.8515625" style="3" customWidth="1"/>
    <col min="10" max="10" width="18.140625" style="3" customWidth="1"/>
    <col min="11" max="11" width="13.00390625" style="3" customWidth="1"/>
    <col min="12" max="12" width="23.57421875" style="3" customWidth="1"/>
    <col min="13" max="13" width="12.00390625" style="3" customWidth="1"/>
    <col min="14" max="16384" width="9.140625" style="3" customWidth="1"/>
  </cols>
  <sheetData>
    <row r="1" spans="1:15" ht="26.25" customHeight="1">
      <c r="A1" s="449" t="s">
        <v>445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"/>
      <c r="M1" s="4"/>
      <c r="N1" s="4"/>
      <c r="O1" s="4"/>
    </row>
    <row r="2" spans="1:11" ht="33.75" customHeight="1">
      <c r="A2" s="450" t="s">
        <v>0</v>
      </c>
      <c r="B2" s="451" t="s">
        <v>1</v>
      </c>
      <c r="C2" s="452" t="s">
        <v>2</v>
      </c>
      <c r="D2" s="452"/>
      <c r="E2" s="452"/>
      <c r="F2" s="452" t="s">
        <v>3</v>
      </c>
      <c r="G2" s="452"/>
      <c r="H2" s="452"/>
      <c r="I2" s="450" t="s">
        <v>4</v>
      </c>
      <c r="J2" s="450"/>
      <c r="K2" s="450"/>
    </row>
    <row r="3" spans="1:11" ht="53.25" customHeight="1">
      <c r="A3" s="450"/>
      <c r="B3" s="451"/>
      <c r="C3" s="7" t="s">
        <v>5</v>
      </c>
      <c r="D3" s="7" t="s">
        <v>443</v>
      </c>
      <c r="E3" s="8" t="s">
        <v>6</v>
      </c>
      <c r="F3" s="7" t="s">
        <v>5</v>
      </c>
      <c r="G3" s="7" t="s">
        <v>443</v>
      </c>
      <c r="H3" s="8" t="s">
        <v>6</v>
      </c>
      <c r="I3" s="7" t="s">
        <v>5</v>
      </c>
      <c r="J3" s="7" t="s">
        <v>443</v>
      </c>
      <c r="K3" s="7" t="s">
        <v>6</v>
      </c>
    </row>
    <row r="4" spans="1:11" s="11" customFormat="1" ht="30.75" customHeight="1">
      <c r="A4" s="9" t="s">
        <v>7</v>
      </c>
      <c r="B4" s="5"/>
      <c r="C4" s="10">
        <f>SUM(C5:C13)</f>
        <v>202911.28564000002</v>
      </c>
      <c r="D4" s="10">
        <f>SUM(D5:D13)</f>
        <v>210653.75747000004</v>
      </c>
      <c r="E4" s="10">
        <f aca="true" t="shared" si="0" ref="E4:E12">D4/C4*100</f>
        <v>103.81569305304019</v>
      </c>
      <c r="F4" s="10">
        <f>SUM(F5:F13)</f>
        <v>164970.98839</v>
      </c>
      <c r="G4" s="10">
        <f>SUM(G5:G13)</f>
        <v>171220.06541</v>
      </c>
      <c r="H4" s="10">
        <f>G4/F4*100</f>
        <v>103.78798543973492</v>
      </c>
      <c r="I4" s="10">
        <f>I5+I7+I6+I8+I10+I11+I12+I13</f>
        <v>37940.29725</v>
      </c>
      <c r="J4" s="10">
        <f>J5+J6+J7+J8+J10+J11+J12+J13</f>
        <v>39433.69206</v>
      </c>
      <c r="K4" s="10">
        <f>J4/I4*100</f>
        <v>103.93617055807331</v>
      </c>
    </row>
    <row r="5" spans="1:11" ht="27" customHeight="1">
      <c r="A5" s="12" t="s">
        <v>8</v>
      </c>
      <c r="B5" s="6">
        <v>10102</v>
      </c>
      <c r="C5" s="13">
        <f aca="true" t="shared" si="1" ref="C5:C13">F5+I5</f>
        <v>139614.60641</v>
      </c>
      <c r="D5" s="13">
        <f aca="true" t="shared" si="2" ref="D5:D13">G5+J5</f>
        <v>144639.76701</v>
      </c>
      <c r="E5" s="10">
        <f t="shared" si="0"/>
        <v>103.59930864629081</v>
      </c>
      <c r="F5" s="13">
        <f>район!C5</f>
        <v>133506</v>
      </c>
      <c r="G5" s="13">
        <f>район!D5</f>
        <v>138042.84536</v>
      </c>
      <c r="H5" s="14">
        <f>G5/F5*100</f>
        <v>103.39823330786632</v>
      </c>
      <c r="I5" s="13">
        <f>Справка!I31</f>
        <v>6108.606409999999</v>
      </c>
      <c r="J5" s="13">
        <f>Справка!J31</f>
        <v>6596.92165</v>
      </c>
      <c r="K5" s="14">
        <f>J5/I5*100</f>
        <v>107.99388939514276</v>
      </c>
    </row>
    <row r="6" spans="1:11" ht="41.25" customHeight="1">
      <c r="A6" s="12" t="s">
        <v>9</v>
      </c>
      <c r="B6" s="6">
        <v>10300</v>
      </c>
      <c r="C6" s="13">
        <f t="shared" si="1"/>
        <v>14726.65743</v>
      </c>
      <c r="D6" s="13">
        <f t="shared" si="2"/>
        <v>15939.412970000001</v>
      </c>
      <c r="E6" s="10">
        <f t="shared" si="0"/>
        <v>108.23510389757196</v>
      </c>
      <c r="F6" s="13">
        <f>район!C7</f>
        <v>5592.95743</v>
      </c>
      <c r="G6" s="13">
        <f>район!D7</f>
        <v>5805.74645</v>
      </c>
      <c r="H6" s="14">
        <f>G6/F6*100</f>
        <v>103.80458858597103</v>
      </c>
      <c r="I6" s="13">
        <f>Справка!L31+Справка!R31+Справка!O31</f>
        <v>9133.699999999999</v>
      </c>
      <c r="J6" s="13">
        <f>Справка!M31+Справка!S31+Справка!P31+Справка!V31</f>
        <v>10133.66652</v>
      </c>
      <c r="K6" s="14">
        <f>J6/I6*100</f>
        <v>110.94809901792266</v>
      </c>
    </row>
    <row r="7" spans="1:11" ht="19.5" customHeight="1">
      <c r="A7" s="12" t="s">
        <v>10</v>
      </c>
      <c r="B7" s="6">
        <v>10500</v>
      </c>
      <c r="C7" s="13">
        <f t="shared" si="1"/>
        <v>18347.7</v>
      </c>
      <c r="D7" s="13">
        <f t="shared" si="2"/>
        <v>19292.354320000002</v>
      </c>
      <c r="E7" s="10">
        <f t="shared" si="0"/>
        <v>105.14862527728272</v>
      </c>
      <c r="F7" s="13">
        <f>район!C12</f>
        <v>17627.9</v>
      </c>
      <c r="G7" s="13">
        <f>район!D12</f>
        <v>18785.30941</v>
      </c>
      <c r="H7" s="14">
        <f>G7/F7*100</f>
        <v>106.56578157352831</v>
      </c>
      <c r="I7" s="13">
        <f>Справка!X31</f>
        <v>719.8</v>
      </c>
      <c r="J7" s="13">
        <f>Справка!Y31</f>
        <v>507.04491</v>
      </c>
      <c r="K7" s="14">
        <f>J7/I7*100</f>
        <v>70.44247151986663</v>
      </c>
    </row>
    <row r="8" spans="1:11" ht="19.5" customHeight="1">
      <c r="A8" s="12" t="s">
        <v>11</v>
      </c>
      <c r="B8" s="6">
        <v>10601</v>
      </c>
      <c r="C8" s="13">
        <f t="shared" si="1"/>
        <v>5603.19084</v>
      </c>
      <c r="D8" s="13">
        <f t="shared" si="2"/>
        <v>5596.260470000001</v>
      </c>
      <c r="E8" s="10">
        <f t="shared" si="0"/>
        <v>99.87631386833151</v>
      </c>
      <c r="F8" s="13"/>
      <c r="G8" s="13"/>
      <c r="H8" s="14"/>
      <c r="I8" s="13">
        <f>Справка!AA31</f>
        <v>5603.19084</v>
      </c>
      <c r="J8" s="13">
        <f>Справка!AB31</f>
        <v>5596.260470000001</v>
      </c>
      <c r="K8" s="14">
        <f>J8/I8*100</f>
        <v>99.87631386833151</v>
      </c>
    </row>
    <row r="9" spans="1:11" ht="19.5" customHeight="1">
      <c r="A9" s="12" t="s">
        <v>12</v>
      </c>
      <c r="B9" s="6">
        <v>10604</v>
      </c>
      <c r="C9" s="13">
        <f t="shared" si="1"/>
        <v>2482.13096</v>
      </c>
      <c r="D9" s="13">
        <f t="shared" si="2"/>
        <v>2875.13111</v>
      </c>
      <c r="E9" s="10">
        <f t="shared" si="0"/>
        <v>115.83317545823608</v>
      </c>
      <c r="F9" s="13">
        <f>район!C17</f>
        <v>2482.13096</v>
      </c>
      <c r="G9" s="13">
        <f>район!D20</f>
        <v>2875.13111</v>
      </c>
      <c r="H9" s="14">
        <f>G9/F9*100</f>
        <v>115.83317545823608</v>
      </c>
      <c r="I9" s="13"/>
      <c r="J9" s="13"/>
      <c r="K9" s="14"/>
    </row>
    <row r="10" spans="1:11" ht="19.5" customHeight="1">
      <c r="A10" s="12" t="s">
        <v>13</v>
      </c>
      <c r="B10" s="6">
        <v>10606</v>
      </c>
      <c r="C10" s="13">
        <f t="shared" si="1"/>
        <v>16257</v>
      </c>
      <c r="D10" s="13">
        <f t="shared" si="2"/>
        <v>16538.533509999997</v>
      </c>
      <c r="E10" s="10">
        <f t="shared" si="0"/>
        <v>101.73176791535951</v>
      </c>
      <c r="F10" s="13"/>
      <c r="G10" s="13"/>
      <c r="H10" s="14">
        <v>0</v>
      </c>
      <c r="I10" s="13">
        <f>Справка!AD31</f>
        <v>16257</v>
      </c>
      <c r="J10" s="13">
        <f>Справка!AE31</f>
        <v>16538.533509999997</v>
      </c>
      <c r="K10" s="14">
        <f>J10/I10*100</f>
        <v>101.73176791535951</v>
      </c>
    </row>
    <row r="11" spans="1:11" ht="33.75" customHeight="1">
      <c r="A11" s="12" t="s">
        <v>14</v>
      </c>
      <c r="B11" s="6">
        <v>10701</v>
      </c>
      <c r="C11" s="13">
        <f t="shared" si="1"/>
        <v>3200</v>
      </c>
      <c r="D11" s="13">
        <f t="shared" si="2"/>
        <v>3210.3273</v>
      </c>
      <c r="E11" s="10">
        <f t="shared" si="0"/>
        <v>100.322728125</v>
      </c>
      <c r="F11" s="13">
        <f>район!C22</f>
        <v>3200</v>
      </c>
      <c r="G11" s="13">
        <f>район!D22</f>
        <v>3210.3273</v>
      </c>
      <c r="H11" s="14">
        <f>G11/F11*100</f>
        <v>100.322728125</v>
      </c>
      <c r="I11" s="13"/>
      <c r="J11" s="13"/>
      <c r="K11" s="14">
        <v>0</v>
      </c>
    </row>
    <row r="12" spans="1:11" ht="19.5" customHeight="1">
      <c r="A12" s="12" t="s">
        <v>15</v>
      </c>
      <c r="B12" s="6">
        <v>10800</v>
      </c>
      <c r="C12" s="13">
        <f t="shared" si="1"/>
        <v>2680</v>
      </c>
      <c r="D12" s="13">
        <f t="shared" si="2"/>
        <v>2561.9036</v>
      </c>
      <c r="E12" s="10">
        <f t="shared" si="0"/>
        <v>95.59341791044777</v>
      </c>
      <c r="F12" s="13">
        <f>район!C24</f>
        <v>2562</v>
      </c>
      <c r="G12" s="13">
        <f>район!D24</f>
        <v>2500.6386</v>
      </c>
      <c r="H12" s="14">
        <f>G12/F12*100</f>
        <v>97.60494145199064</v>
      </c>
      <c r="I12" s="13">
        <f>Справка!AG31</f>
        <v>118</v>
      </c>
      <c r="J12" s="13">
        <f>Справка!AH31</f>
        <v>61.265</v>
      </c>
      <c r="K12" s="14">
        <f>J12/I12*100</f>
        <v>51.91949152542373</v>
      </c>
    </row>
    <row r="13" spans="1:11" ht="19.5" customHeight="1">
      <c r="A13" s="12" t="s">
        <v>16</v>
      </c>
      <c r="B13" s="6">
        <v>10900</v>
      </c>
      <c r="C13" s="13">
        <f t="shared" si="1"/>
        <v>0</v>
      </c>
      <c r="D13" s="13">
        <f t="shared" si="2"/>
        <v>0.06718</v>
      </c>
      <c r="E13" s="10"/>
      <c r="F13" s="13">
        <f>район!C28</f>
        <v>0</v>
      </c>
      <c r="G13" s="13">
        <f>район!D28</f>
        <v>0.06718</v>
      </c>
      <c r="H13" s="14"/>
      <c r="I13" s="13">
        <f>Справка!AJ31</f>
        <v>0</v>
      </c>
      <c r="J13" s="13">
        <f>Справка!AK31</f>
        <v>0</v>
      </c>
      <c r="K13" s="14"/>
    </row>
    <row r="14" spans="1:11" s="11" customFormat="1" ht="20.25" customHeight="1">
      <c r="A14" s="9" t="s">
        <v>17</v>
      </c>
      <c r="B14" s="5"/>
      <c r="C14" s="10">
        <f>SUM(C15:C21)</f>
        <v>21956.85564</v>
      </c>
      <c r="D14" s="10">
        <f>SUM(D15:D21)</f>
        <v>25104.3419</v>
      </c>
      <c r="E14" s="10">
        <f>D14/C14*100</f>
        <v>114.33486794104549</v>
      </c>
      <c r="F14" s="10">
        <f>F15+F16+F17+F18+F20+F21+F19</f>
        <v>17976</v>
      </c>
      <c r="G14" s="10">
        <f>G15+G16+G17+G18+G20+G21+G19</f>
        <v>18940.33526</v>
      </c>
      <c r="H14" s="10">
        <f>G14/F14*100</f>
        <v>105.36457087227413</v>
      </c>
      <c r="I14" s="15">
        <f>I15+I16+I17+I18+I20+I21+I26</f>
        <v>3980.8556399999998</v>
      </c>
      <c r="J14" s="15">
        <f>J15+J16+J17+J18+J20+J21</f>
        <v>6164.00664</v>
      </c>
      <c r="K14" s="10">
        <f>J14/I14*100</f>
        <v>154.84125015897337</v>
      </c>
    </row>
    <row r="15" spans="1:11" ht="52.5" customHeight="1">
      <c r="A15" s="12" t="s">
        <v>18</v>
      </c>
      <c r="B15" s="6">
        <v>11100</v>
      </c>
      <c r="C15" s="13">
        <f aca="true" t="shared" si="3" ref="C15:D22">F15+I15</f>
        <v>11019.2</v>
      </c>
      <c r="D15" s="13">
        <f t="shared" si="3"/>
        <v>12607.50945</v>
      </c>
      <c r="E15" s="10">
        <f>D15/C15*100</f>
        <v>114.41401780528531</v>
      </c>
      <c r="F15" s="13">
        <f>район!C34</f>
        <v>8143</v>
      </c>
      <c r="G15" s="13">
        <f>район!D34</f>
        <v>8625.488809999999</v>
      </c>
      <c r="H15" s="13">
        <f>G15/F15*100</f>
        <v>105.92519722461009</v>
      </c>
      <c r="I15" s="13">
        <f>Справка!AP31+Справка!AS31+Справка!AM31</f>
        <v>2876.2</v>
      </c>
      <c r="J15" s="13">
        <f>Справка!AQ31+Справка!AT31+Справка!AN31</f>
        <v>3982.02064</v>
      </c>
      <c r="K15" s="14">
        <f>J15/I15*100</f>
        <v>138.4472790487449</v>
      </c>
    </row>
    <row r="16" spans="1:11" ht="33" customHeight="1">
      <c r="A16" s="12" t="s">
        <v>19</v>
      </c>
      <c r="B16" s="6">
        <v>11200</v>
      </c>
      <c r="C16" s="13">
        <f t="shared" si="3"/>
        <v>1300</v>
      </c>
      <c r="D16" s="13">
        <f t="shared" si="3"/>
        <v>1234.23926</v>
      </c>
      <c r="E16" s="10">
        <f>D16/C16*100</f>
        <v>94.94148153846155</v>
      </c>
      <c r="F16" s="13">
        <f>район!C43</f>
        <v>1300</v>
      </c>
      <c r="G16" s="13">
        <f>район!D43</f>
        <v>1234.23926</v>
      </c>
      <c r="H16" s="13">
        <f>G16/F16*100</f>
        <v>94.94148153846155</v>
      </c>
      <c r="I16" s="13">
        <v>0</v>
      </c>
      <c r="J16" s="13">
        <v>0</v>
      </c>
      <c r="K16" s="14">
        <v>0</v>
      </c>
    </row>
    <row r="17" spans="1:11" ht="33" customHeight="1">
      <c r="A17" s="12" t="s">
        <v>20</v>
      </c>
      <c r="B17" s="6">
        <v>11300</v>
      </c>
      <c r="C17" s="13">
        <f t="shared" si="3"/>
        <v>1008</v>
      </c>
      <c r="D17" s="13">
        <f t="shared" si="3"/>
        <v>1389.10634</v>
      </c>
      <c r="E17" s="10">
        <f>D17/C17*100</f>
        <v>137.80816865079368</v>
      </c>
      <c r="F17" s="13">
        <f>район!C45</f>
        <v>83</v>
      </c>
      <c r="G17" s="13">
        <f>район!D45</f>
        <v>82.56103</v>
      </c>
      <c r="H17" s="13">
        <f>G17/F17*100</f>
        <v>99.47112048192771</v>
      </c>
      <c r="I17" s="13">
        <f>Справка!AY31</f>
        <v>925</v>
      </c>
      <c r="J17" s="13">
        <f>Справка!AZ31</f>
        <v>1306.54531</v>
      </c>
      <c r="K17" s="14"/>
    </row>
    <row r="18" spans="1:11" ht="33" customHeight="1">
      <c r="A18" s="12" t="s">
        <v>21</v>
      </c>
      <c r="B18" s="6">
        <v>11400</v>
      </c>
      <c r="C18" s="13">
        <f t="shared" si="3"/>
        <v>6829.65564</v>
      </c>
      <c r="D18" s="13">
        <f t="shared" si="3"/>
        <v>7160.76354</v>
      </c>
      <c r="E18" s="10">
        <f>D18/C18*100</f>
        <v>104.84809070110013</v>
      </c>
      <c r="F18" s="13">
        <f>район!C48</f>
        <v>6650</v>
      </c>
      <c r="G18" s="13">
        <f>район!D48</f>
        <v>6666.5747</v>
      </c>
      <c r="H18" s="13">
        <f>G18/F18*100</f>
        <v>100.24924360902257</v>
      </c>
      <c r="I18" s="13">
        <f>Справка!BE31</f>
        <v>179.65564</v>
      </c>
      <c r="J18" s="13">
        <f>Справка!BF31</f>
        <v>494.18884</v>
      </c>
      <c r="K18" s="14"/>
    </row>
    <row r="19" spans="1:11" ht="23.25" customHeight="1">
      <c r="A19" s="12" t="s">
        <v>22</v>
      </c>
      <c r="B19" s="6">
        <v>11500</v>
      </c>
      <c r="C19" s="13">
        <f t="shared" si="3"/>
        <v>0</v>
      </c>
      <c r="D19" s="13">
        <f t="shared" si="3"/>
        <v>0</v>
      </c>
      <c r="E19" s="10"/>
      <c r="F19" s="13">
        <f>район!C51</f>
        <v>0</v>
      </c>
      <c r="G19" s="13">
        <f>район!D51</f>
        <v>0</v>
      </c>
      <c r="H19" s="13"/>
      <c r="I19" s="13"/>
      <c r="J19" s="13"/>
      <c r="K19" s="14"/>
    </row>
    <row r="20" spans="1:11" ht="22.5" customHeight="1">
      <c r="A20" s="12" t="s">
        <v>23</v>
      </c>
      <c r="B20" s="6">
        <v>11600</v>
      </c>
      <c r="C20" s="13">
        <f t="shared" si="3"/>
        <v>1800</v>
      </c>
      <c r="D20" s="13">
        <f t="shared" si="3"/>
        <v>2720.2084600000003</v>
      </c>
      <c r="E20" s="10">
        <f>D20/C20*100</f>
        <v>151.12269222222224</v>
      </c>
      <c r="F20" s="13">
        <f>район!C53</f>
        <v>1800</v>
      </c>
      <c r="G20" s="13">
        <f>район!D53</f>
        <v>2331.47146</v>
      </c>
      <c r="H20" s="13">
        <f>G20/F20*100</f>
        <v>129.52619222222225</v>
      </c>
      <c r="I20" s="13">
        <f>Справка!BN31</f>
        <v>0</v>
      </c>
      <c r="J20" s="13">
        <f>Справка!BO31</f>
        <v>388.737</v>
      </c>
      <c r="K20" s="14">
        <v>0</v>
      </c>
    </row>
    <row r="21" spans="1:11" ht="49.5" customHeight="1">
      <c r="A21" s="12" t="s">
        <v>24</v>
      </c>
      <c r="B21" s="6">
        <v>11700</v>
      </c>
      <c r="C21" s="13">
        <f t="shared" si="3"/>
        <v>0</v>
      </c>
      <c r="D21" s="13">
        <f t="shared" si="3"/>
        <v>-7.485150000000001</v>
      </c>
      <c r="E21" s="10"/>
      <c r="F21" s="13">
        <f>район!C58</f>
        <v>0</v>
      </c>
      <c r="G21" s="13">
        <f>район!D58</f>
        <v>0</v>
      </c>
      <c r="H21" s="13"/>
      <c r="I21" s="13">
        <f>Справка!BQ31</f>
        <v>0</v>
      </c>
      <c r="J21" s="13">
        <f>Справка!BR31</f>
        <v>-7.485150000000001</v>
      </c>
      <c r="K21" s="14">
        <v>0</v>
      </c>
    </row>
    <row r="22" spans="1:11" ht="0.75" customHeight="1" hidden="1">
      <c r="A22" s="9" t="s">
        <v>25</v>
      </c>
      <c r="B22" s="5">
        <v>30000</v>
      </c>
      <c r="C22" s="13">
        <f t="shared" si="3"/>
        <v>0</v>
      </c>
      <c r="D22" s="10">
        <f t="shared" si="3"/>
        <v>0</v>
      </c>
      <c r="E22" s="10" t="e">
        <f>D22/C22*100</f>
        <v>#DIV/0!</v>
      </c>
      <c r="F22" s="10">
        <v>0</v>
      </c>
      <c r="G22" s="10">
        <v>0</v>
      </c>
      <c r="H22" s="10"/>
      <c r="I22" s="10">
        <v>0</v>
      </c>
      <c r="J22" s="10">
        <v>0</v>
      </c>
      <c r="K22" s="10"/>
    </row>
    <row r="23" spans="1:11" ht="29.25" customHeight="1">
      <c r="A23" s="9" t="s">
        <v>26</v>
      </c>
      <c r="B23" s="5">
        <v>10000</v>
      </c>
      <c r="C23" s="15">
        <f>SUM(C4,C14,C22)</f>
        <v>224868.14128</v>
      </c>
      <c r="D23" s="15">
        <f>SUM(D4,D14)</f>
        <v>235758.09937000004</v>
      </c>
      <c r="E23" s="10">
        <f>D23/C23*100</f>
        <v>104.8428194532191</v>
      </c>
      <c r="F23" s="15">
        <f>SUM(F4,F14)</f>
        <v>182946.98839</v>
      </c>
      <c r="G23" s="15">
        <f>SUM(G4,G14,G22)</f>
        <v>190160.40067</v>
      </c>
      <c r="H23" s="10">
        <f>G23/F23*100</f>
        <v>103.94289752648056</v>
      </c>
      <c r="I23" s="15">
        <f>I4+I14</f>
        <v>41921.152890000005</v>
      </c>
      <c r="J23" s="15">
        <f>J4+J14</f>
        <v>45597.6987</v>
      </c>
      <c r="K23" s="10">
        <f>J23/I23*100</f>
        <v>108.77014479932639</v>
      </c>
    </row>
    <row r="24" spans="1:11" ht="32.25" customHeight="1">
      <c r="A24" s="9" t="s">
        <v>27</v>
      </c>
      <c r="B24" s="5">
        <v>20200</v>
      </c>
      <c r="C24" s="16">
        <v>901258.14671</v>
      </c>
      <c r="D24" s="16">
        <v>895468.45636</v>
      </c>
      <c r="E24" s="10">
        <f>D24/C24*100</f>
        <v>99.35759911062829</v>
      </c>
      <c r="F24" s="15">
        <f>район!C62</f>
        <v>905531.85662</v>
      </c>
      <c r="G24" s="15">
        <f>район!D62</f>
        <v>899875.7719</v>
      </c>
      <c r="H24" s="10">
        <f>G24/F24*100</f>
        <v>99.37538534081928</v>
      </c>
      <c r="I24" s="15">
        <f>Справка!BZ31</f>
        <v>191272.60457999996</v>
      </c>
      <c r="J24" s="16">
        <v>173085.29628</v>
      </c>
      <c r="K24" s="10">
        <f>J24/I24*100</f>
        <v>90.49142016969132</v>
      </c>
    </row>
    <row r="25" spans="1:11" ht="33" customHeight="1">
      <c r="A25" s="9" t="s">
        <v>28</v>
      </c>
      <c r="B25" s="5">
        <v>20700</v>
      </c>
      <c r="C25" s="17">
        <f>F25+I25</f>
        <v>4695.118050000001</v>
      </c>
      <c r="D25" s="17">
        <f>SUM(J25+G25)</f>
        <v>4363.794040000001</v>
      </c>
      <c r="E25" s="15"/>
      <c r="F25" s="15"/>
      <c r="G25" s="15"/>
      <c r="H25" s="10"/>
      <c r="I25" s="15">
        <f>Справка!CR31</f>
        <v>4695.118050000001</v>
      </c>
      <c r="J25" s="15">
        <f>Справка!CS31</f>
        <v>4363.794040000001</v>
      </c>
      <c r="K25" s="10"/>
    </row>
    <row r="26" spans="1:12" ht="33" customHeight="1">
      <c r="A26" s="9" t="s">
        <v>29</v>
      </c>
      <c r="B26" s="6">
        <v>21900</v>
      </c>
      <c r="C26" s="17">
        <f>F26+I26</f>
        <v>-19738.97309</v>
      </c>
      <c r="D26" s="17">
        <v>-19749.99593</v>
      </c>
      <c r="E26" s="15"/>
      <c r="F26" s="14">
        <f>район!C70</f>
        <v>-19738.97309</v>
      </c>
      <c r="G26" s="14">
        <f>район!D70</f>
        <v>-19749.99593</v>
      </c>
      <c r="H26" s="10"/>
      <c r="I26" s="14">
        <v>0</v>
      </c>
      <c r="J26" s="14">
        <f>SUM(Справка!CV31)</f>
        <v>-470.61146999999994</v>
      </c>
      <c r="K26" s="14">
        <v>0</v>
      </c>
      <c r="L26" s="18"/>
    </row>
    <row r="27" spans="1:13" ht="29.25" customHeight="1">
      <c r="A27" s="5" t="s">
        <v>30</v>
      </c>
      <c r="B27" s="5"/>
      <c r="C27" s="15">
        <f>C24+C23+C26+C25</f>
        <v>1111082.43295</v>
      </c>
      <c r="D27" s="15">
        <f>D24+D23+D26+D25</f>
        <v>1115840.35384</v>
      </c>
      <c r="E27" s="15">
        <f aca="true" t="shared" si="4" ref="E27:E39">D27/C27*100</f>
        <v>100.42822393270743</v>
      </c>
      <c r="F27" s="15">
        <f>F24+F23</f>
        <v>1088478.84501</v>
      </c>
      <c r="G27" s="15">
        <f>G24+G23</f>
        <v>1090036.17257</v>
      </c>
      <c r="H27" s="15">
        <f aca="true" t="shared" si="5" ref="H27:H39">G27/F27*100</f>
        <v>100.14307375537332</v>
      </c>
      <c r="I27" s="15">
        <f>I24+I23</f>
        <v>233193.75746999995</v>
      </c>
      <c r="J27" s="15">
        <f>SUM(J23+J24+J25+J26)</f>
        <v>222576.17755000002</v>
      </c>
      <c r="K27" s="19">
        <f aca="true" t="shared" si="6" ref="K27:K33">J27/I27*100</f>
        <v>95.44688501304934</v>
      </c>
      <c r="L27" s="20"/>
      <c r="M27" s="18"/>
    </row>
    <row r="28" spans="1:12" ht="29.25" customHeight="1">
      <c r="A28" s="5" t="s">
        <v>31</v>
      </c>
      <c r="B28" s="5"/>
      <c r="C28" s="15">
        <f>C29+C30+C31+C32+C33+C34+C35+C36+C37+C41+C38+C39+C40</f>
        <v>1157462.19463</v>
      </c>
      <c r="D28" s="15">
        <f>SUM(D29:D41)</f>
        <v>1113885.1094599997</v>
      </c>
      <c r="E28" s="15">
        <f t="shared" si="4"/>
        <v>96.23511805636724</v>
      </c>
      <c r="F28" s="15">
        <f>SUM(F29+F30+F31+F32+F33+F34+F35+F36+F37+F38+F39+F40+F41)</f>
        <v>1127117.47588</v>
      </c>
      <c r="G28" s="15">
        <f>SUM(G29:G41)</f>
        <v>1091767.65227</v>
      </c>
      <c r="H28" s="15">
        <f t="shared" si="5"/>
        <v>96.8636966095836</v>
      </c>
      <c r="I28" s="15">
        <f>I29+I30+I31+I32+I33+I34+I35+I36+I37+I38+I39+I40+I41</f>
        <v>240934.90528</v>
      </c>
      <c r="J28" s="15">
        <f>J29+J30+J31+J32+J33+J34+J35+J36+J37+J38+J39+J40+J41</f>
        <v>218889.45347</v>
      </c>
      <c r="K28" s="19">
        <f t="shared" si="6"/>
        <v>90.85003819418357</v>
      </c>
      <c r="L28" s="20"/>
    </row>
    <row r="29" spans="1:11" ht="30.75" customHeight="1">
      <c r="A29" s="12" t="s">
        <v>32</v>
      </c>
      <c r="B29" s="21" t="s">
        <v>33</v>
      </c>
      <c r="C29" s="13">
        <f>F29+I29</f>
        <v>84502.74276</v>
      </c>
      <c r="D29" s="13">
        <f>G29+J29</f>
        <v>73851.46157</v>
      </c>
      <c r="E29" s="22">
        <f t="shared" si="4"/>
        <v>87.39534263372826</v>
      </c>
      <c r="F29" s="13">
        <f>район!C77</f>
        <v>54196.1029</v>
      </c>
      <c r="G29" s="22">
        <f>район!D77</f>
        <v>44832.67133</v>
      </c>
      <c r="H29" s="23">
        <f t="shared" si="5"/>
        <v>82.72305374562274</v>
      </c>
      <c r="I29" s="23">
        <f>Справка!DJ31</f>
        <v>30306.639860000003</v>
      </c>
      <c r="J29" s="23">
        <f>Справка!DK31</f>
        <v>29018.790240000002</v>
      </c>
      <c r="K29" s="23">
        <f t="shared" si="6"/>
        <v>95.7506024226072</v>
      </c>
    </row>
    <row r="30" spans="1:11" ht="30.75" customHeight="1">
      <c r="A30" s="12" t="s">
        <v>34</v>
      </c>
      <c r="B30" s="21" t="s">
        <v>35</v>
      </c>
      <c r="C30" s="17">
        <f>I30</f>
        <v>2384.6</v>
      </c>
      <c r="D30" s="17">
        <f>J30</f>
        <v>2384.6</v>
      </c>
      <c r="E30" s="22">
        <f t="shared" si="4"/>
        <v>100</v>
      </c>
      <c r="F30" s="13">
        <f>район!C85</f>
        <v>2384.6</v>
      </c>
      <c r="G30" s="22">
        <f>район!D85</f>
        <v>2384.6</v>
      </c>
      <c r="H30" s="23">
        <f t="shared" si="5"/>
        <v>100</v>
      </c>
      <c r="I30" s="23">
        <f>Справка!DY31</f>
        <v>2384.6</v>
      </c>
      <c r="J30" s="23">
        <f>Справка!DZ31</f>
        <v>2384.6</v>
      </c>
      <c r="K30" s="23">
        <f t="shared" si="6"/>
        <v>100</v>
      </c>
    </row>
    <row r="31" spans="1:11" ht="33" customHeight="1">
      <c r="A31" s="12" t="s">
        <v>36</v>
      </c>
      <c r="B31" s="21" t="s">
        <v>37</v>
      </c>
      <c r="C31" s="13">
        <f>F31+I31</f>
        <v>6768.94251</v>
      </c>
      <c r="D31" s="13">
        <f>G31+J31</f>
        <v>6670.38758</v>
      </c>
      <c r="E31" s="22">
        <f t="shared" si="4"/>
        <v>98.54401289633644</v>
      </c>
      <c r="F31" s="13">
        <f>район!C87</f>
        <v>6246.4464</v>
      </c>
      <c r="G31" s="22">
        <f>район!D87</f>
        <v>6246.4425599999995</v>
      </c>
      <c r="H31" s="23">
        <f t="shared" si="5"/>
        <v>99.99993852504682</v>
      </c>
      <c r="I31" s="23">
        <f>Справка!EB31</f>
        <v>522.49611</v>
      </c>
      <c r="J31" s="23">
        <f>Справка!EC31</f>
        <v>423.94501999999994</v>
      </c>
      <c r="K31" s="23">
        <f t="shared" si="6"/>
        <v>81.13840694431197</v>
      </c>
    </row>
    <row r="32" spans="1:11" ht="30" customHeight="1">
      <c r="A32" s="12" t="s">
        <v>38</v>
      </c>
      <c r="B32" s="21" t="s">
        <v>39</v>
      </c>
      <c r="C32" s="24">
        <v>100849.79386</v>
      </c>
      <c r="D32" s="24">
        <v>96266.57693</v>
      </c>
      <c r="E32" s="22">
        <f t="shared" si="4"/>
        <v>95.45540277815297</v>
      </c>
      <c r="F32" s="13">
        <f>район!C93</f>
        <v>80328.51499999998</v>
      </c>
      <c r="G32" s="22">
        <f>район!D93</f>
        <v>77875.66146</v>
      </c>
      <c r="H32" s="23">
        <f t="shared" si="5"/>
        <v>96.94647219608132</v>
      </c>
      <c r="I32" s="23">
        <f>Справка!EE31</f>
        <v>47177.37410000001</v>
      </c>
      <c r="J32" s="23">
        <f>Справка!EF31</f>
        <v>44501.36464</v>
      </c>
      <c r="K32" s="23">
        <f t="shared" si="6"/>
        <v>94.32776937875394</v>
      </c>
    </row>
    <row r="33" spans="1:11" ht="30" customHeight="1">
      <c r="A33" s="12" t="s">
        <v>40</v>
      </c>
      <c r="B33" s="21" t="s">
        <v>41</v>
      </c>
      <c r="C33" s="24">
        <v>140173.49346</v>
      </c>
      <c r="D33" s="24">
        <v>122120.76092</v>
      </c>
      <c r="E33" s="22">
        <f t="shared" si="4"/>
        <v>87.12115101479472</v>
      </c>
      <c r="F33" s="13">
        <f>район!C100</f>
        <v>86250.79034</v>
      </c>
      <c r="G33" s="22">
        <f>район!D100</f>
        <v>73085.06206</v>
      </c>
      <c r="H33" s="23">
        <f t="shared" si="5"/>
        <v>84.73552737534253</v>
      </c>
      <c r="I33" s="23">
        <f>Справка!EH31</f>
        <v>129645.73046</v>
      </c>
      <c r="J33" s="23">
        <f>Справка!EI31</f>
        <v>112711.52609</v>
      </c>
      <c r="K33" s="23">
        <f t="shared" si="6"/>
        <v>86.93809328705602</v>
      </c>
    </row>
    <row r="34" spans="1:11" ht="30" customHeight="1">
      <c r="A34" s="12" t="s">
        <v>42</v>
      </c>
      <c r="B34" s="21" t="s">
        <v>43</v>
      </c>
      <c r="C34" s="17">
        <f>F34</f>
        <v>50</v>
      </c>
      <c r="D34" s="17">
        <f>G34</f>
        <v>50</v>
      </c>
      <c r="E34" s="22">
        <f t="shared" si="4"/>
        <v>100</v>
      </c>
      <c r="F34" s="13">
        <f>район!C104</f>
        <v>50</v>
      </c>
      <c r="G34" s="22">
        <f>район!D104</f>
        <v>50</v>
      </c>
      <c r="H34" s="23">
        <f t="shared" si="5"/>
        <v>100</v>
      </c>
      <c r="I34" s="22"/>
      <c r="J34" s="22"/>
      <c r="K34" s="23">
        <v>0</v>
      </c>
    </row>
    <row r="35" spans="1:11" ht="30" customHeight="1">
      <c r="A35" s="12" t="s">
        <v>44</v>
      </c>
      <c r="B35" s="21" t="s">
        <v>45</v>
      </c>
      <c r="C35" s="17">
        <f>F35</f>
        <v>711371.44951</v>
      </c>
      <c r="D35" s="17">
        <f>G35</f>
        <v>704486.9755899999</v>
      </c>
      <c r="E35" s="22">
        <f t="shared" si="4"/>
        <v>99.03222515821487</v>
      </c>
      <c r="F35" s="13">
        <f>район!C106</f>
        <v>711371.44951</v>
      </c>
      <c r="G35" s="22">
        <f>район!D106</f>
        <v>704486.9755899999</v>
      </c>
      <c r="H35" s="23">
        <f t="shared" si="5"/>
        <v>99.03222515821487</v>
      </c>
      <c r="I35" s="22"/>
      <c r="J35" s="22"/>
      <c r="K35" s="23">
        <v>0</v>
      </c>
    </row>
    <row r="36" spans="1:12" ht="30" customHeight="1">
      <c r="A36" s="12" t="s">
        <v>46</v>
      </c>
      <c r="B36" s="21" t="s">
        <v>47</v>
      </c>
      <c r="C36" s="24">
        <v>60824.81077</v>
      </c>
      <c r="D36" s="24">
        <v>59021.9311</v>
      </c>
      <c r="E36" s="22">
        <f t="shared" si="4"/>
        <v>97.03594693156167</v>
      </c>
      <c r="F36" s="13">
        <f>район!C112</f>
        <v>53560.858</v>
      </c>
      <c r="G36" s="22">
        <f>район!D112</f>
        <v>52370.74562</v>
      </c>
      <c r="H36" s="23">
        <f t="shared" si="5"/>
        <v>97.77801845519353</v>
      </c>
      <c r="I36" s="23">
        <f>Справка!EK31</f>
        <v>30576.652769999997</v>
      </c>
      <c r="J36" s="23">
        <f>Справка!EL31</f>
        <v>29637.885480000004</v>
      </c>
      <c r="K36" s="23">
        <f>J36/I36*100</f>
        <v>96.92979052657766</v>
      </c>
      <c r="L36" s="18"/>
    </row>
    <row r="37" spans="1:11" ht="30" customHeight="1">
      <c r="A37" s="12" t="s">
        <v>48</v>
      </c>
      <c r="B37" s="21" t="s">
        <v>49</v>
      </c>
      <c r="C37" s="24">
        <v>41896.62178</v>
      </c>
      <c r="D37" s="24">
        <v>40505.71577</v>
      </c>
      <c r="E37" s="22">
        <f t="shared" si="4"/>
        <v>96.68014758492063</v>
      </c>
      <c r="F37" s="13">
        <f>район!C115</f>
        <v>41886.62178</v>
      </c>
      <c r="G37" s="22">
        <f>район!D115</f>
        <v>40495.71577</v>
      </c>
      <c r="H37" s="23">
        <f t="shared" si="5"/>
        <v>96.6793550043128</v>
      </c>
      <c r="I37" s="23">
        <f>Справка!EN31</f>
        <v>10</v>
      </c>
      <c r="J37" s="23">
        <f>Справка!EO31</f>
        <v>10</v>
      </c>
      <c r="K37" s="23"/>
    </row>
    <row r="38" spans="1:11" ht="30" customHeight="1">
      <c r="A38" s="12" t="s">
        <v>50</v>
      </c>
      <c r="B38" s="21" t="s">
        <v>51</v>
      </c>
      <c r="C38" s="24">
        <v>8594.73998</v>
      </c>
      <c r="D38" s="24">
        <v>8484.67</v>
      </c>
      <c r="E38" s="22">
        <f t="shared" si="4"/>
        <v>98.71933321710566</v>
      </c>
      <c r="F38" s="13">
        <f>район!C120</f>
        <v>8283.328000000001</v>
      </c>
      <c r="G38" s="22">
        <f>район!D120</f>
        <v>8283.328000000001</v>
      </c>
      <c r="H38" s="23">
        <f t="shared" si="5"/>
        <v>100</v>
      </c>
      <c r="I38" s="23">
        <f>Справка!EQ31</f>
        <v>311.41197999999997</v>
      </c>
      <c r="J38" s="23">
        <f>Справка!ER31</f>
        <v>201.34200000000004</v>
      </c>
      <c r="K38" s="23">
        <f>J38/I38*100</f>
        <v>64.65454540316658</v>
      </c>
    </row>
    <row r="39" spans="1:11" ht="30" customHeight="1">
      <c r="A39" s="12" t="s">
        <v>52</v>
      </c>
      <c r="B39" s="21" t="s">
        <v>53</v>
      </c>
      <c r="C39" s="13">
        <f>F39</f>
        <v>45</v>
      </c>
      <c r="D39" s="25">
        <f>G39</f>
        <v>42.03</v>
      </c>
      <c r="E39" s="22">
        <f t="shared" si="4"/>
        <v>93.4</v>
      </c>
      <c r="F39" s="13">
        <f>район!C126</f>
        <v>45</v>
      </c>
      <c r="G39" s="22">
        <f>район!D126</f>
        <v>42.03</v>
      </c>
      <c r="H39" s="23">
        <f t="shared" si="5"/>
        <v>93.4</v>
      </c>
      <c r="I39" s="23"/>
      <c r="J39" s="23"/>
      <c r="K39" s="23">
        <v>0</v>
      </c>
    </row>
    <row r="40" spans="1:11" ht="34.5" customHeight="1">
      <c r="A40" s="12" t="s">
        <v>54</v>
      </c>
      <c r="B40" s="21" t="s">
        <v>55</v>
      </c>
      <c r="C40" s="13">
        <f>F40</f>
        <v>0</v>
      </c>
      <c r="D40" s="25">
        <f>G40</f>
        <v>0</v>
      </c>
      <c r="E40" s="22"/>
      <c r="F40" s="13">
        <f>район!C128</f>
        <v>0</v>
      </c>
      <c r="G40" s="22">
        <f>район!D128</f>
        <v>0</v>
      </c>
      <c r="H40" s="23">
        <v>0</v>
      </c>
      <c r="I40" s="23"/>
      <c r="J40" s="26"/>
      <c r="K40" s="23">
        <v>0</v>
      </c>
    </row>
    <row r="41" spans="1:11" ht="30" customHeight="1">
      <c r="A41" s="12" t="s">
        <v>56</v>
      </c>
      <c r="B41" s="21" t="s">
        <v>57</v>
      </c>
      <c r="C41" s="13">
        <v>0</v>
      </c>
      <c r="D41" s="25"/>
      <c r="E41" s="22">
        <v>0</v>
      </c>
      <c r="F41" s="13">
        <f>район!C130</f>
        <v>82513.76395</v>
      </c>
      <c r="G41" s="22">
        <f>район!D130</f>
        <v>81614.41988</v>
      </c>
      <c r="H41" s="23">
        <f>G41/F41*100</f>
        <v>98.91006781541931</v>
      </c>
      <c r="I41" s="23">
        <f>Справка!ET31</f>
        <v>0</v>
      </c>
      <c r="J41" s="26">
        <f>Справка!EU31</f>
        <v>0</v>
      </c>
      <c r="K41" s="23"/>
    </row>
    <row r="42" spans="1:11" ht="15.75">
      <c r="A42" s="27"/>
      <c r="B42" s="28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5.75" hidden="1">
      <c r="A43" s="27"/>
      <c r="B43" s="28"/>
      <c r="C43" s="29">
        <f>C27-C28</f>
        <v>-46379.761679999996</v>
      </c>
      <c r="D43" s="29">
        <f>D27-D28</f>
        <v>1955.2443800002802</v>
      </c>
      <c r="E43" s="29"/>
      <c r="F43" s="29">
        <f>F27-F28</f>
        <v>-38638.63086999999</v>
      </c>
      <c r="G43" s="29">
        <f>G27-G28</f>
        <v>-1731.4797000000253</v>
      </c>
      <c r="H43" s="29"/>
      <c r="I43" s="29">
        <f>I27-I28</f>
        <v>-7741.147810000053</v>
      </c>
      <c r="J43" s="29">
        <f>J27-J28</f>
        <v>3686.7240800000145</v>
      </c>
      <c r="K43" s="29"/>
    </row>
    <row r="44" spans="1:11" ht="15.75" hidden="1">
      <c r="A44" s="27"/>
      <c r="B44" s="28"/>
      <c r="C44" s="29">
        <f>C43-F44</f>
        <v>0.01700000005075708</v>
      </c>
      <c r="D44" s="29">
        <f>D43-G44</f>
        <v>2.9103830456733704E-10</v>
      </c>
      <c r="E44" s="29"/>
      <c r="F44" s="29">
        <f>F43+I43</f>
        <v>-46379.77868000005</v>
      </c>
      <c r="G44" s="29">
        <f>G43+J43</f>
        <v>1955.2443799999892</v>
      </c>
      <c r="H44" s="29"/>
      <c r="I44" s="29"/>
      <c r="J44" s="29"/>
      <c r="K44" s="29"/>
    </row>
    <row r="45" spans="1:11" ht="20.25" customHeight="1" hidden="1">
      <c r="A45" s="27"/>
      <c r="B45" s="28"/>
      <c r="C45" s="30"/>
      <c r="D45" s="30"/>
      <c r="E45" s="31"/>
      <c r="F45" s="31">
        <f>C28+F44-C23-C26</f>
        <v>905953.24776</v>
      </c>
      <c r="G45" s="31">
        <f>D28+G44-D23-D26</f>
        <v>899832.2503999997</v>
      </c>
      <c r="H45" s="32"/>
      <c r="I45" s="32"/>
      <c r="J45" s="32"/>
      <c r="K45" s="29"/>
    </row>
    <row r="46" spans="1:11" ht="15.75">
      <c r="A46" s="27"/>
      <c r="B46" s="28"/>
      <c r="C46" s="33"/>
      <c r="D46" s="29"/>
      <c r="E46" s="29"/>
      <c r="F46" s="29"/>
      <c r="G46" s="29"/>
      <c r="H46" s="29"/>
      <c r="I46" s="29"/>
      <c r="J46" s="29"/>
      <c r="K46" s="29"/>
    </row>
    <row r="47" spans="1:11" ht="15.75">
      <c r="A47" s="27"/>
      <c r="B47" s="28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5.75">
      <c r="A48" s="27"/>
      <c r="B48" s="28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5.75">
      <c r="A49" s="27" t="s">
        <v>58</v>
      </c>
      <c r="B49" s="28"/>
      <c r="C49" s="30"/>
      <c r="D49" s="30"/>
      <c r="E49" s="31"/>
      <c r="F49" s="31"/>
      <c r="G49" s="31"/>
      <c r="H49" s="32"/>
      <c r="I49" s="32"/>
      <c r="J49" s="32"/>
      <c r="K49" s="32"/>
    </row>
    <row r="50" spans="1:11" ht="32.25" customHeight="1">
      <c r="A50" s="27" t="s">
        <v>59</v>
      </c>
      <c r="B50" s="28"/>
      <c r="C50" s="34"/>
      <c r="D50" s="448" t="s">
        <v>60</v>
      </c>
      <c r="E50" s="448"/>
      <c r="F50" s="35"/>
      <c r="G50" s="31"/>
      <c r="H50" s="32"/>
      <c r="I50" s="32"/>
      <c r="J50" s="32"/>
      <c r="K50" s="32"/>
    </row>
    <row r="51" spans="3:7" ht="15.75">
      <c r="C51" s="36"/>
      <c r="D51" s="36"/>
      <c r="F51" s="18"/>
      <c r="G51" s="18"/>
    </row>
    <row r="52" spans="3:10" ht="15.75">
      <c r="C52" s="37"/>
      <c r="D52" s="37"/>
      <c r="F52" s="18"/>
      <c r="G52" s="18"/>
      <c r="I52" s="18"/>
      <c r="J52" s="18"/>
    </row>
    <row r="53" spans="3:7" ht="15.75">
      <c r="C53" s="38"/>
      <c r="D53" s="18"/>
      <c r="F53" s="18"/>
      <c r="G53" s="18"/>
    </row>
    <row r="54" spans="3:4" ht="15.75">
      <c r="C54" s="38"/>
      <c r="D54" s="18"/>
    </row>
  </sheetData>
  <sheetProtection selectLockedCells="1" selectUnlockedCells="1"/>
  <mergeCells count="7">
    <mergeCell ref="D50:E50"/>
    <mergeCell ref="A1:K1"/>
    <mergeCell ref="A2:A3"/>
    <mergeCell ref="B2:B3"/>
    <mergeCell ref="C2:E2"/>
    <mergeCell ref="F2:H2"/>
    <mergeCell ref="I2:K2"/>
  </mergeCells>
  <printOptions/>
  <pageMargins left="0.7083333333333334" right="0.7083333333333334" top="0.3402777777777778" bottom="0.7479166666666667" header="0.5118055555555555" footer="0.5118055555555555"/>
  <pageSetup horizontalDpi="300" verticalDpi="300" orientation="landscape" paperSize="9" scale="60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view="pageBreakPreview" zoomScale="70" zoomScaleSheetLayoutView="70" zoomScalePageLayoutView="0" workbookViewId="0" topLeftCell="A18">
      <selection activeCell="C90" sqref="C90"/>
    </sheetView>
  </sheetViews>
  <sheetFormatPr defaultColWidth="9.140625" defaultRowHeight="12.75"/>
  <cols>
    <col min="1" max="1" width="14.7109375" style="135" customWidth="1"/>
    <col min="2" max="2" width="57.57421875" style="136" customWidth="1"/>
    <col min="3" max="3" width="17.00390625" style="137" customWidth="1"/>
    <col min="4" max="4" width="15.00390625" style="137" customWidth="1"/>
    <col min="5" max="5" width="14.140625" style="137" customWidth="1"/>
    <col min="6" max="6" width="10.00390625" style="137" customWidth="1"/>
    <col min="7" max="7" width="15.421875" style="138" customWidth="1"/>
    <col min="8" max="16384" width="9.140625" style="138" customWidth="1"/>
  </cols>
  <sheetData>
    <row r="1" spans="1:6" ht="12.75" customHeight="1">
      <c r="A1" s="469" t="s">
        <v>433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6.75" customHeight="1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C5+C12+C14+C17+C7</f>
        <v>2500.12</v>
      </c>
      <c r="D4" s="150">
        <f>D5+D12+D14+D17+D7</f>
        <v>2360.06474</v>
      </c>
      <c r="E4" s="150">
        <f aca="true" t="shared" si="0" ref="E4:E48">SUM(D4/C4*100)</f>
        <v>94.39805849319232</v>
      </c>
      <c r="F4" s="150">
        <f aca="true" t="shared" si="1" ref="F4:F51">SUM(D4-C4)</f>
        <v>-140.0552600000001</v>
      </c>
    </row>
    <row r="5" spans="1:6" s="139" customFormat="1" ht="15.75">
      <c r="A5" s="151">
        <v>1010000000</v>
      </c>
      <c r="B5" s="152" t="s">
        <v>146</v>
      </c>
      <c r="C5" s="150">
        <f>C6</f>
        <v>277.4</v>
      </c>
      <c r="D5" s="150">
        <f>D6</f>
        <v>275.61882</v>
      </c>
      <c r="E5" s="150">
        <f t="shared" si="0"/>
        <v>99.35790194664746</v>
      </c>
      <c r="F5" s="150">
        <f t="shared" si="1"/>
        <v>-1.7811799999999494</v>
      </c>
    </row>
    <row r="6" spans="1:6" ht="15.75">
      <c r="A6" s="153">
        <v>1010200001</v>
      </c>
      <c r="B6" s="154" t="s">
        <v>147</v>
      </c>
      <c r="C6" s="155">
        <v>277.4</v>
      </c>
      <c r="D6" s="156">
        <v>275.61882</v>
      </c>
      <c r="E6" s="155">
        <f t="shared" si="0"/>
        <v>99.35790194664746</v>
      </c>
      <c r="F6" s="155">
        <f t="shared" si="1"/>
        <v>-1.7811799999999494</v>
      </c>
    </row>
    <row r="7" spans="1:6" ht="31.5">
      <c r="A7" s="148">
        <v>1030000000</v>
      </c>
      <c r="B7" s="157" t="s">
        <v>148</v>
      </c>
      <c r="C7" s="150">
        <f>C8+C10+C9</f>
        <v>479.72</v>
      </c>
      <c r="D7" s="150">
        <f>D8+D9+D10+D11</f>
        <v>538.9066</v>
      </c>
      <c r="E7" s="155">
        <f t="shared" si="0"/>
        <v>112.33773868089717</v>
      </c>
      <c r="F7" s="155">
        <f t="shared" si="1"/>
        <v>59.1866</v>
      </c>
    </row>
    <row r="8" spans="1:6" ht="15.75">
      <c r="A8" s="153">
        <v>1030223001</v>
      </c>
      <c r="B8" s="154" t="s">
        <v>149</v>
      </c>
      <c r="C8" s="155">
        <v>178.94</v>
      </c>
      <c r="D8" s="156">
        <v>248.79139</v>
      </c>
      <c r="E8" s="155">
        <f t="shared" si="0"/>
        <v>139.03620766737455</v>
      </c>
      <c r="F8" s="155">
        <f t="shared" si="1"/>
        <v>69.85139000000001</v>
      </c>
    </row>
    <row r="9" spans="1:6" ht="15.75">
      <c r="A9" s="153">
        <v>1030224001</v>
      </c>
      <c r="B9" s="154" t="s">
        <v>150</v>
      </c>
      <c r="C9" s="155">
        <v>1.92</v>
      </c>
      <c r="D9" s="156">
        <v>1.74968</v>
      </c>
      <c r="E9" s="155">
        <f t="shared" si="0"/>
        <v>91.12916666666666</v>
      </c>
      <c r="F9" s="155">
        <f t="shared" si="1"/>
        <v>-0.17032000000000003</v>
      </c>
    </row>
    <row r="10" spans="1:6" ht="15.75">
      <c r="A10" s="153">
        <v>1030225001</v>
      </c>
      <c r="B10" s="154" t="s">
        <v>151</v>
      </c>
      <c r="C10" s="155">
        <v>298.86</v>
      </c>
      <c r="D10" s="156">
        <v>330.79083</v>
      </c>
      <c r="E10" s="155">
        <f t="shared" si="0"/>
        <v>110.68420999799238</v>
      </c>
      <c r="F10" s="155">
        <f t="shared" si="1"/>
        <v>31.930830000000014</v>
      </c>
    </row>
    <row r="11" spans="1:6" ht="15.75">
      <c r="A11" s="153">
        <v>1030265001</v>
      </c>
      <c r="B11" s="154" t="s">
        <v>152</v>
      </c>
      <c r="C11" s="155">
        <v>0</v>
      </c>
      <c r="D11" s="156">
        <v>-42.4253</v>
      </c>
      <c r="E11" s="155" t="e">
        <f t="shared" si="0"/>
        <v>#DIV/0!</v>
      </c>
      <c r="F11" s="155">
        <f t="shared" si="1"/>
        <v>-42.4253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15</v>
      </c>
      <c r="D12" s="150">
        <f>SUM(D13:D13)</f>
        <v>5.87145</v>
      </c>
      <c r="E12" s="150">
        <f t="shared" si="0"/>
        <v>39.143</v>
      </c>
      <c r="F12" s="150">
        <f t="shared" si="1"/>
        <v>-9.12855</v>
      </c>
    </row>
    <row r="13" spans="1:6" ht="15.75" customHeight="1">
      <c r="A13" s="153">
        <v>1050300000</v>
      </c>
      <c r="B13" s="158" t="s">
        <v>156</v>
      </c>
      <c r="C13" s="159">
        <v>15</v>
      </c>
      <c r="D13" s="156">
        <v>5.87145</v>
      </c>
      <c r="E13" s="155">
        <f t="shared" si="0"/>
        <v>39.143</v>
      </c>
      <c r="F13" s="155">
        <f t="shared" si="1"/>
        <v>-9.12855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1720</v>
      </c>
      <c r="D14" s="150">
        <f>D15+D16</f>
        <v>1536.06787</v>
      </c>
      <c r="E14" s="150">
        <f t="shared" si="0"/>
        <v>89.30627151162791</v>
      </c>
      <c r="F14" s="150">
        <f t="shared" si="1"/>
        <v>-183.93212999999992</v>
      </c>
    </row>
    <row r="15" spans="1:6" s="139" customFormat="1" ht="15.75" customHeight="1">
      <c r="A15" s="153">
        <v>1060100000</v>
      </c>
      <c r="B15" s="158" t="s">
        <v>159</v>
      </c>
      <c r="C15" s="155">
        <v>350</v>
      </c>
      <c r="D15" s="156">
        <v>280.24088</v>
      </c>
      <c r="E15" s="155">
        <f t="shared" si="0"/>
        <v>80.06882285714286</v>
      </c>
      <c r="F15" s="155">
        <f t="shared" si="1"/>
        <v>-69.75912</v>
      </c>
    </row>
    <row r="16" spans="1:6" ht="15.75" customHeight="1">
      <c r="A16" s="153">
        <v>1060600000</v>
      </c>
      <c r="B16" s="158" t="s">
        <v>162</v>
      </c>
      <c r="C16" s="155">
        <v>1370</v>
      </c>
      <c r="D16" s="156">
        <v>1255.82699</v>
      </c>
      <c r="E16" s="155">
        <f t="shared" si="0"/>
        <v>91.66620364963504</v>
      </c>
      <c r="F16" s="155">
        <f t="shared" si="1"/>
        <v>-114.17300999999998</v>
      </c>
    </row>
    <row r="17" spans="1:6" s="139" customFormat="1" ht="15.75">
      <c r="A17" s="148">
        <v>1080000000</v>
      </c>
      <c r="B17" s="149" t="s">
        <v>165</v>
      </c>
      <c r="C17" s="150">
        <f>C18</f>
        <v>8</v>
      </c>
      <c r="D17" s="150">
        <f>D18</f>
        <v>3.6</v>
      </c>
      <c r="E17" s="150">
        <f t="shared" si="0"/>
        <v>45</v>
      </c>
      <c r="F17" s="150">
        <f t="shared" si="1"/>
        <v>-4.4</v>
      </c>
    </row>
    <row r="18" spans="1:6" ht="18" customHeight="1">
      <c r="A18" s="153">
        <v>1080400001</v>
      </c>
      <c r="B18" s="154" t="s">
        <v>167</v>
      </c>
      <c r="C18" s="155">
        <v>8</v>
      </c>
      <c r="D18" s="155">
        <v>3.6</v>
      </c>
      <c r="E18" s="155">
        <f t="shared" si="0"/>
        <v>45</v>
      </c>
      <c r="F18" s="155">
        <f t="shared" si="1"/>
        <v>-4.4</v>
      </c>
    </row>
    <row r="19" spans="1:6" ht="47.2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29.25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15.75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15.75" hidden="1">
      <c r="A22" s="153">
        <v>1090400000</v>
      </c>
      <c r="B22" s="154" t="s">
        <v>171</v>
      </c>
      <c r="C22" s="150"/>
      <c r="D22" s="161"/>
      <c r="E22" s="155" t="e">
        <f t="shared" si="0"/>
        <v>#DIV/0!</v>
      </c>
      <c r="F22" s="155">
        <f t="shared" si="1"/>
        <v>0</v>
      </c>
    </row>
    <row r="23" spans="1:6" s="140" customFormat="1" ht="15.75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15.75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5" customHeight="1">
      <c r="A25" s="148"/>
      <c r="B25" s="149" t="s">
        <v>17</v>
      </c>
      <c r="C25" s="150">
        <f>C26+C29+C31+C36</f>
        <v>239</v>
      </c>
      <c r="D25" s="150">
        <f>D26+D29+D31+D36+D34</f>
        <v>328.36971000000005</v>
      </c>
      <c r="E25" s="150">
        <f t="shared" si="0"/>
        <v>137.39318410041844</v>
      </c>
      <c r="F25" s="150">
        <f t="shared" si="1"/>
        <v>89.36971000000005</v>
      </c>
    </row>
    <row r="26" spans="1:6" s="139" customFormat="1" ht="30" customHeight="1">
      <c r="A26" s="151">
        <v>1110000000</v>
      </c>
      <c r="B26" s="160" t="s">
        <v>174</v>
      </c>
      <c r="C26" s="150">
        <f>C27+C28</f>
        <v>189</v>
      </c>
      <c r="D26" s="150">
        <f>D27+D28</f>
        <v>214.96096</v>
      </c>
      <c r="E26" s="150">
        <f t="shared" si="0"/>
        <v>113.73595767195768</v>
      </c>
      <c r="F26" s="150">
        <f t="shared" si="1"/>
        <v>25.96096</v>
      </c>
    </row>
    <row r="27" spans="1:6" ht="15.75" customHeight="1">
      <c r="A27" s="162">
        <v>1110502510</v>
      </c>
      <c r="B27" s="163" t="s">
        <v>177</v>
      </c>
      <c r="C27" s="159">
        <v>135</v>
      </c>
      <c r="D27" s="159">
        <v>149.21396</v>
      </c>
      <c r="E27" s="155">
        <f t="shared" si="0"/>
        <v>110.52885925925924</v>
      </c>
      <c r="F27" s="155">
        <f t="shared" si="1"/>
        <v>14.213959999999986</v>
      </c>
    </row>
    <row r="28" spans="1:6" ht="17.25" customHeight="1">
      <c r="A28" s="153">
        <v>1110503510</v>
      </c>
      <c r="B28" s="158" t="s">
        <v>178</v>
      </c>
      <c r="C28" s="159">
        <v>54</v>
      </c>
      <c r="D28" s="156">
        <v>65.747</v>
      </c>
      <c r="E28" s="155">
        <f t="shared" si="0"/>
        <v>121.7537037037037</v>
      </c>
      <c r="F28" s="155">
        <f t="shared" si="1"/>
        <v>11.747</v>
      </c>
    </row>
    <row r="29" spans="1:6" s="140" customFormat="1" ht="15" customHeight="1">
      <c r="A29" s="151">
        <v>1130000000</v>
      </c>
      <c r="B29" s="160" t="s">
        <v>185</v>
      </c>
      <c r="C29" s="150">
        <f>C30</f>
        <v>50</v>
      </c>
      <c r="D29" s="150">
        <f>D30</f>
        <v>69.10365</v>
      </c>
      <c r="E29" s="150">
        <f t="shared" si="0"/>
        <v>138.2073</v>
      </c>
      <c r="F29" s="150">
        <f t="shared" si="1"/>
        <v>19.103650000000002</v>
      </c>
    </row>
    <row r="30" spans="1:6" ht="15.75" customHeight="1">
      <c r="A30" s="153">
        <v>1130206005</v>
      </c>
      <c r="B30" s="154" t="s">
        <v>187</v>
      </c>
      <c r="C30" s="155">
        <v>50</v>
      </c>
      <c r="D30" s="156">
        <v>69.10365</v>
      </c>
      <c r="E30" s="155">
        <f t="shared" si="0"/>
        <v>138.2073</v>
      </c>
      <c r="F30" s="155">
        <f t="shared" si="1"/>
        <v>19.103650000000002</v>
      </c>
    </row>
    <row r="31" spans="1:6" ht="15.75" customHeight="1" hidden="1">
      <c r="A31" s="164">
        <v>1140000000</v>
      </c>
      <c r="B31" s="165" t="s">
        <v>188</v>
      </c>
      <c r="C31" s="150">
        <f>C32+C33</f>
        <v>0</v>
      </c>
      <c r="D31" s="150">
        <f>D32+D33</f>
        <v>0</v>
      </c>
      <c r="E31" s="150" t="e">
        <f t="shared" si="0"/>
        <v>#DIV/0!</v>
      </c>
      <c r="F31" s="150">
        <f t="shared" si="1"/>
        <v>0</v>
      </c>
    </row>
    <row r="32" spans="1:6" ht="0.75" customHeight="1" hidden="1">
      <c r="A32" s="162">
        <v>1140200000</v>
      </c>
      <c r="B32" s="166" t="s">
        <v>324</v>
      </c>
      <c r="C32" s="155"/>
      <c r="D32" s="156"/>
      <c r="E32" s="155" t="e">
        <f t="shared" si="0"/>
        <v>#DIV/0!</v>
      </c>
      <c r="F32" s="155">
        <f t="shared" si="1"/>
        <v>0</v>
      </c>
    </row>
    <row r="33" spans="1:6" ht="22.5" customHeight="1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22.5" customHeight="1">
      <c r="A34" s="153">
        <v>1160000000</v>
      </c>
      <c r="B34" s="157" t="s">
        <v>352</v>
      </c>
      <c r="C34" s="155">
        <v>0</v>
      </c>
      <c r="D34" s="161">
        <f>SUM(D35)</f>
        <v>48.9551</v>
      </c>
      <c r="E34" s="155" t="e">
        <f t="shared" si="0"/>
        <v>#DIV/0!</v>
      </c>
      <c r="F34" s="155">
        <f t="shared" si="1"/>
        <v>48.9551</v>
      </c>
    </row>
    <row r="35" spans="1:6" ht="20.25" customHeight="1">
      <c r="A35" s="153">
        <v>1160701010</v>
      </c>
      <c r="B35" s="154" t="s">
        <v>422</v>
      </c>
      <c r="C35" s="155">
        <v>0</v>
      </c>
      <c r="D35" s="156">
        <v>48.9551</v>
      </c>
      <c r="E35" s="155" t="e">
        <f t="shared" si="0"/>
        <v>#DIV/0!</v>
      </c>
      <c r="F35" s="155">
        <f t="shared" si="1"/>
        <v>48.9551</v>
      </c>
    </row>
    <row r="36" spans="1:6" ht="19.5" customHeight="1">
      <c r="A36" s="148">
        <v>1170000000</v>
      </c>
      <c r="B36" s="157" t="s">
        <v>198</v>
      </c>
      <c r="C36" s="150">
        <f>C37+C38</f>
        <v>0</v>
      </c>
      <c r="D36" s="150">
        <f>D37+D38</f>
        <v>-4.65</v>
      </c>
      <c r="E36" s="150" t="e">
        <f t="shared" si="0"/>
        <v>#DIV/0!</v>
      </c>
      <c r="F36" s="150">
        <f t="shared" si="1"/>
        <v>-4.65</v>
      </c>
    </row>
    <row r="37" spans="1:6" ht="15.75" customHeight="1">
      <c r="A37" s="153">
        <v>1170105005</v>
      </c>
      <c r="B37" s="154" t="s">
        <v>199</v>
      </c>
      <c r="C37" s="155">
        <v>0</v>
      </c>
      <c r="D37" s="155">
        <v>-4.65</v>
      </c>
      <c r="E37" s="155" t="e">
        <f t="shared" si="0"/>
        <v>#DIV/0!</v>
      </c>
      <c r="F37" s="155">
        <f t="shared" si="1"/>
        <v>-4.65</v>
      </c>
    </row>
    <row r="38" spans="1:6" ht="18.75" customHeight="1">
      <c r="A38" s="153">
        <v>1170505005</v>
      </c>
      <c r="B38" s="158" t="s">
        <v>200</v>
      </c>
      <c r="C38" s="155">
        <v>0</v>
      </c>
      <c r="D38" s="156">
        <v>0</v>
      </c>
      <c r="E38" s="155" t="e">
        <f t="shared" si="0"/>
        <v>#DIV/0!</v>
      </c>
      <c r="F38" s="155">
        <f t="shared" si="1"/>
        <v>0</v>
      </c>
    </row>
    <row r="39" spans="1:6" s="139" customFormat="1" ht="20.25" customHeight="1">
      <c r="A39" s="148">
        <v>1000000000</v>
      </c>
      <c r="B39" s="149" t="s">
        <v>26</v>
      </c>
      <c r="C39" s="301">
        <f>SUM(C4,C25)</f>
        <v>2739.12</v>
      </c>
      <c r="D39" s="301">
        <f>SUM(D4,D25)</f>
        <v>2688.4344499999997</v>
      </c>
      <c r="E39" s="150">
        <f t="shared" si="0"/>
        <v>98.14956810946582</v>
      </c>
      <c r="F39" s="150">
        <f t="shared" si="1"/>
        <v>-50.68555000000015</v>
      </c>
    </row>
    <row r="40" spans="1:7" s="139" customFormat="1" ht="15.75">
      <c r="A40" s="148">
        <v>2000000000</v>
      </c>
      <c r="B40" s="149" t="s">
        <v>201</v>
      </c>
      <c r="C40" s="150">
        <f>C41+C43+C45+C46+C48+C49+C47+C42+C44</f>
        <v>14386.4121</v>
      </c>
      <c r="D40" s="302">
        <f>D41+D43+D45+D46+D48+D49+D42+D47</f>
        <v>14218.442980000002</v>
      </c>
      <c r="E40" s="150">
        <f t="shared" si="0"/>
        <v>98.83244606902372</v>
      </c>
      <c r="F40" s="150">
        <f t="shared" si="1"/>
        <v>-167.96911999999793</v>
      </c>
      <c r="G40" s="170"/>
    </row>
    <row r="41" spans="1:6" ht="15.75">
      <c r="A41" s="162">
        <v>2021000000</v>
      </c>
      <c r="B41" s="163" t="s">
        <v>202</v>
      </c>
      <c r="C41" s="235">
        <v>3226.8</v>
      </c>
      <c r="D41" s="172">
        <v>3226.8</v>
      </c>
      <c r="E41" s="155">
        <f t="shared" si="0"/>
        <v>100</v>
      </c>
      <c r="F41" s="155">
        <f t="shared" si="1"/>
        <v>0</v>
      </c>
    </row>
    <row r="42" spans="1:6" ht="17.25" customHeight="1">
      <c r="A42" s="162">
        <v>2021500200</v>
      </c>
      <c r="B42" s="163" t="s">
        <v>205</v>
      </c>
      <c r="C42" s="159"/>
      <c r="D42" s="172">
        <v>0</v>
      </c>
      <c r="E42" s="155" t="e">
        <f t="shared" si="0"/>
        <v>#DIV/0!</v>
      </c>
      <c r="F42" s="155">
        <f t="shared" si="1"/>
        <v>0</v>
      </c>
    </row>
    <row r="43" spans="1:6" ht="19.5" customHeight="1">
      <c r="A43" s="162">
        <v>2022000000</v>
      </c>
      <c r="B43" s="163" t="s">
        <v>206</v>
      </c>
      <c r="C43" s="159">
        <v>9628.309</v>
      </c>
      <c r="D43" s="156">
        <v>9628.30898</v>
      </c>
      <c r="E43" s="155">
        <f t="shared" si="0"/>
        <v>99.99999979227921</v>
      </c>
      <c r="F43" s="155">
        <f t="shared" si="1"/>
        <v>-1.9999999494757503E-05</v>
      </c>
    </row>
    <row r="44" spans="1:6" ht="15.75" hidden="1">
      <c r="A44" s="162">
        <v>2022999910</v>
      </c>
      <c r="B44" s="166" t="s">
        <v>327</v>
      </c>
      <c r="C44" s="159">
        <v>0</v>
      </c>
      <c r="D44" s="156">
        <v>0</v>
      </c>
      <c r="E44" s="155" t="e">
        <f t="shared" si="0"/>
        <v>#DIV/0!</v>
      </c>
      <c r="F44" s="155">
        <f t="shared" si="1"/>
        <v>0</v>
      </c>
    </row>
    <row r="45" spans="1:6" ht="17.25" customHeight="1">
      <c r="A45" s="162">
        <v>2023000000</v>
      </c>
      <c r="B45" s="163" t="s">
        <v>207</v>
      </c>
      <c r="C45" s="159">
        <v>206.767</v>
      </c>
      <c r="D45" s="174">
        <v>206.767</v>
      </c>
      <c r="E45" s="155">
        <f t="shared" si="0"/>
        <v>100</v>
      </c>
      <c r="F45" s="155">
        <f t="shared" si="1"/>
        <v>0</v>
      </c>
    </row>
    <row r="46" spans="1:6" ht="20.25" customHeight="1">
      <c r="A46" s="162">
        <v>2020400000</v>
      </c>
      <c r="B46" s="163" t="s">
        <v>102</v>
      </c>
      <c r="C46" s="159">
        <v>933.867</v>
      </c>
      <c r="D46" s="175">
        <v>842.967</v>
      </c>
      <c r="E46" s="155">
        <f t="shared" si="0"/>
        <v>90.26627988782128</v>
      </c>
      <c r="F46" s="155">
        <f t="shared" si="1"/>
        <v>-90.89999999999998</v>
      </c>
    </row>
    <row r="47" spans="1:6" ht="20.25" customHeight="1">
      <c r="A47" s="153">
        <v>2070500010</v>
      </c>
      <c r="B47" s="166" t="s">
        <v>344</v>
      </c>
      <c r="C47" s="159">
        <v>390.6691</v>
      </c>
      <c r="D47" s="175">
        <v>313.6</v>
      </c>
      <c r="E47" s="155">
        <f t="shared" si="0"/>
        <v>80.27253755160058</v>
      </c>
      <c r="F47" s="155">
        <f t="shared" si="1"/>
        <v>-77.06909999999999</v>
      </c>
    </row>
    <row r="48" spans="1:6" ht="19.5" customHeight="1" hidden="1">
      <c r="A48" s="162">
        <v>2020900000</v>
      </c>
      <c r="B48" s="166" t="s">
        <v>343</v>
      </c>
      <c r="C48" s="159"/>
      <c r="D48" s="175"/>
      <c r="E48" s="155" t="e">
        <f t="shared" si="0"/>
        <v>#DIV/0!</v>
      </c>
      <c r="F48" s="155">
        <f t="shared" si="1"/>
        <v>0</v>
      </c>
    </row>
    <row r="49" spans="1:6" ht="0.75" customHeight="1" hidden="1">
      <c r="A49" s="153">
        <v>2190500005</v>
      </c>
      <c r="B49" s="158" t="s">
        <v>209</v>
      </c>
      <c r="C49" s="161"/>
      <c r="D49" s="161"/>
      <c r="E49" s="150"/>
      <c r="F49" s="150">
        <f t="shared" si="1"/>
        <v>0</v>
      </c>
    </row>
    <row r="50" spans="1:6" s="139" customFormat="1" ht="3" customHeight="1" hidden="1">
      <c r="A50" s="148">
        <v>3000000000</v>
      </c>
      <c r="B50" s="157" t="s">
        <v>210</v>
      </c>
      <c r="C50" s="303">
        <v>0</v>
      </c>
      <c r="D50" s="161">
        <v>0</v>
      </c>
      <c r="E50" s="150" t="e">
        <f>SUM(D50/C50*100)</f>
        <v>#DIV/0!</v>
      </c>
      <c r="F50" s="150">
        <f t="shared" si="1"/>
        <v>0</v>
      </c>
    </row>
    <row r="51" spans="1:7" s="139" customFormat="1" ht="17.25" customHeight="1">
      <c r="A51" s="148"/>
      <c r="B51" s="149" t="s">
        <v>211</v>
      </c>
      <c r="C51" s="288">
        <f>C39+C40</f>
        <v>17125.5321</v>
      </c>
      <c r="D51" s="279">
        <f>D39+D40</f>
        <v>16906.87743</v>
      </c>
      <c r="E51" s="150">
        <f>SUM(D51/C51*100)</f>
        <v>98.72322408014405</v>
      </c>
      <c r="F51" s="150">
        <f t="shared" si="1"/>
        <v>-218.6546699999999</v>
      </c>
      <c r="G51" s="186"/>
    </row>
    <row r="52" spans="1:6" s="139" customFormat="1" ht="15.75">
      <c r="A52" s="148"/>
      <c r="B52" s="188" t="s">
        <v>212</v>
      </c>
      <c r="C52" s="270">
        <f>C51-C99</f>
        <v>-1028.964100000001</v>
      </c>
      <c r="D52" s="270">
        <f>D51-D99</f>
        <v>-551.1222599999965</v>
      </c>
      <c r="E52" s="190"/>
      <c r="F52" s="190"/>
    </row>
    <row r="53" spans="1:6" ht="23.25" customHeight="1">
      <c r="A53" s="191"/>
      <c r="B53" s="192"/>
      <c r="C53" s="304"/>
      <c r="D53" s="304"/>
      <c r="E53" s="249"/>
      <c r="F53" s="195"/>
    </row>
    <row r="54" spans="1:6" ht="65.25" customHeight="1">
      <c r="A54" s="196" t="s">
        <v>141</v>
      </c>
      <c r="B54" s="196" t="s">
        <v>213</v>
      </c>
      <c r="C54" s="145" t="s">
        <v>143</v>
      </c>
      <c r="D54" s="146" t="s">
        <v>426</v>
      </c>
      <c r="E54" s="145" t="s">
        <v>144</v>
      </c>
      <c r="F54" s="147" t="s">
        <v>145</v>
      </c>
    </row>
    <row r="55" spans="1:6" ht="19.5" customHeight="1">
      <c r="A55" s="245">
        <v>1</v>
      </c>
      <c r="B55" s="196">
        <v>2</v>
      </c>
      <c r="C55" s="199">
        <v>3</v>
      </c>
      <c r="D55" s="199">
        <v>4</v>
      </c>
      <c r="E55" s="199">
        <v>5</v>
      </c>
      <c r="F55" s="199">
        <v>6</v>
      </c>
    </row>
    <row r="56" spans="1:6" s="139" customFormat="1" ht="15.75">
      <c r="A56" s="200" t="s">
        <v>33</v>
      </c>
      <c r="B56" s="201" t="s">
        <v>214</v>
      </c>
      <c r="C56" s="281">
        <f>C57+C58+C59+C60+C61+C63+C62</f>
        <v>1986.818</v>
      </c>
      <c r="D56" s="290">
        <f>D57+D58+D59+D60+D61+D63+D62</f>
        <v>1787.85817</v>
      </c>
      <c r="E56" s="202">
        <f>SUM(D56/C56*100)</f>
        <v>89.98600626730783</v>
      </c>
      <c r="F56" s="202">
        <f>SUM(D56-C56)</f>
        <v>-198.95983</v>
      </c>
    </row>
    <row r="57" spans="1:6" s="139" customFormat="1" ht="0.75" customHeight="1" hidden="1">
      <c r="A57" s="203" t="s">
        <v>215</v>
      </c>
      <c r="B57" s="204" t="s">
        <v>216</v>
      </c>
      <c r="C57" s="283"/>
      <c r="D57" s="283"/>
      <c r="E57" s="205"/>
      <c r="F57" s="205"/>
    </row>
    <row r="58" spans="1:6" ht="18" customHeight="1">
      <c r="A58" s="203" t="s">
        <v>217</v>
      </c>
      <c r="B58" s="206" t="s">
        <v>218</v>
      </c>
      <c r="C58" s="283">
        <v>1856.132</v>
      </c>
      <c r="D58" s="283">
        <v>1757.17217</v>
      </c>
      <c r="E58" s="205">
        <f>SUM(D58/C58*100)</f>
        <v>94.66849178829953</v>
      </c>
      <c r="F58" s="205">
        <f aca="true" t="shared" si="2" ref="F58:F70">SUM(D58-C58)</f>
        <v>-98.95983000000001</v>
      </c>
    </row>
    <row r="59" spans="1:6" ht="16.5" customHeight="1" hidden="1">
      <c r="A59" s="203" t="s">
        <v>219</v>
      </c>
      <c r="B59" s="206" t="s">
        <v>220</v>
      </c>
      <c r="C59" s="283"/>
      <c r="D59" s="283"/>
      <c r="E59" s="205"/>
      <c r="F59" s="205">
        <f t="shared" si="2"/>
        <v>0</v>
      </c>
    </row>
    <row r="60" spans="1:6" ht="31.5" customHeight="1" hidden="1">
      <c r="A60" s="203" t="s">
        <v>221</v>
      </c>
      <c r="B60" s="206" t="s">
        <v>222</v>
      </c>
      <c r="C60" s="283"/>
      <c r="D60" s="283"/>
      <c r="E60" s="205" t="e">
        <f aca="true" t="shared" si="3" ref="E60:E70">SUM(D60/C60*100)</f>
        <v>#DIV/0!</v>
      </c>
      <c r="F60" s="205">
        <f t="shared" si="2"/>
        <v>0</v>
      </c>
    </row>
    <row r="61" spans="1:6" ht="18" customHeight="1">
      <c r="A61" s="203" t="s">
        <v>223</v>
      </c>
      <c r="B61" s="206" t="s">
        <v>224</v>
      </c>
      <c r="C61" s="283"/>
      <c r="D61" s="283">
        <v>0</v>
      </c>
      <c r="E61" s="205" t="e">
        <f t="shared" si="3"/>
        <v>#DIV/0!</v>
      </c>
      <c r="F61" s="205">
        <f t="shared" si="2"/>
        <v>0</v>
      </c>
    </row>
    <row r="62" spans="1:6" ht="15.75" customHeight="1">
      <c r="A62" s="203" t="s">
        <v>225</v>
      </c>
      <c r="B62" s="206" t="s">
        <v>226</v>
      </c>
      <c r="C62" s="293">
        <v>100</v>
      </c>
      <c r="D62" s="293">
        <v>0</v>
      </c>
      <c r="E62" s="205">
        <f t="shared" si="3"/>
        <v>0</v>
      </c>
      <c r="F62" s="205">
        <f t="shared" si="2"/>
        <v>-100</v>
      </c>
    </row>
    <row r="63" spans="1:6" ht="18" customHeight="1">
      <c r="A63" s="203" t="s">
        <v>227</v>
      </c>
      <c r="B63" s="206" t="s">
        <v>228</v>
      </c>
      <c r="C63" s="283">
        <v>30.686</v>
      </c>
      <c r="D63" s="283">
        <v>30.686</v>
      </c>
      <c r="E63" s="205">
        <f t="shared" si="3"/>
        <v>100</v>
      </c>
      <c r="F63" s="205">
        <f t="shared" si="2"/>
        <v>0</v>
      </c>
    </row>
    <row r="64" spans="1:6" s="139" customFormat="1" ht="15.75">
      <c r="A64" s="208" t="s">
        <v>35</v>
      </c>
      <c r="B64" s="209" t="s">
        <v>229</v>
      </c>
      <c r="C64" s="281">
        <f>C65</f>
        <v>206.767</v>
      </c>
      <c r="D64" s="281">
        <f>D65</f>
        <v>206.767</v>
      </c>
      <c r="E64" s="202">
        <f t="shared" si="3"/>
        <v>100</v>
      </c>
      <c r="F64" s="202">
        <f t="shared" si="2"/>
        <v>0</v>
      </c>
    </row>
    <row r="65" spans="1:6" ht="15.75">
      <c r="A65" s="210" t="s">
        <v>230</v>
      </c>
      <c r="B65" s="211" t="s">
        <v>231</v>
      </c>
      <c r="C65" s="283">
        <v>206.767</v>
      </c>
      <c r="D65" s="283">
        <v>206.767</v>
      </c>
      <c r="E65" s="205">
        <f t="shared" si="3"/>
        <v>100</v>
      </c>
      <c r="F65" s="205">
        <f t="shared" si="2"/>
        <v>0</v>
      </c>
    </row>
    <row r="66" spans="1:6" s="139" customFormat="1" ht="18.75" customHeight="1">
      <c r="A66" s="200" t="s">
        <v>37</v>
      </c>
      <c r="B66" s="201" t="s">
        <v>232</v>
      </c>
      <c r="C66" s="281">
        <f>C70+C69+C68+C67+C71</f>
        <v>18.5</v>
      </c>
      <c r="D66" s="281">
        <f>SUM(D69+D70+D71)</f>
        <v>18.31148</v>
      </c>
      <c r="E66" s="202">
        <f t="shared" si="3"/>
        <v>98.98097297297296</v>
      </c>
      <c r="F66" s="202">
        <f t="shared" si="2"/>
        <v>-0.18852000000000046</v>
      </c>
    </row>
    <row r="67" spans="1:6" ht="15.75" hidden="1">
      <c r="A67" s="203" t="s">
        <v>233</v>
      </c>
      <c r="B67" s="206" t="s">
        <v>234</v>
      </c>
      <c r="C67" s="283"/>
      <c r="D67" s="283"/>
      <c r="E67" s="205" t="e">
        <f t="shared" si="3"/>
        <v>#DIV/0!</v>
      </c>
      <c r="F67" s="205">
        <f t="shared" si="2"/>
        <v>0</v>
      </c>
    </row>
    <row r="68" spans="1:6" ht="15.75" hidden="1">
      <c r="A68" s="212" t="s">
        <v>235</v>
      </c>
      <c r="B68" s="206" t="s">
        <v>317</v>
      </c>
      <c r="C68" s="283"/>
      <c r="D68" s="283"/>
      <c r="E68" s="205" t="e">
        <f t="shared" si="3"/>
        <v>#DIV/0!</v>
      </c>
      <c r="F68" s="205">
        <f t="shared" si="2"/>
        <v>0</v>
      </c>
    </row>
    <row r="69" spans="1:6" ht="15.75" customHeight="1">
      <c r="A69" s="213" t="s">
        <v>237</v>
      </c>
      <c r="B69" s="214" t="s">
        <v>238</v>
      </c>
      <c r="C69" s="283">
        <v>3</v>
      </c>
      <c r="D69" s="283">
        <v>2.81148</v>
      </c>
      <c r="E69" s="205">
        <f t="shared" si="3"/>
        <v>93.716</v>
      </c>
      <c r="F69" s="205">
        <f t="shared" si="2"/>
        <v>-0.18852000000000002</v>
      </c>
    </row>
    <row r="70" spans="1:6" ht="15.75" customHeight="1">
      <c r="A70" s="213" t="s">
        <v>239</v>
      </c>
      <c r="B70" s="214" t="s">
        <v>240</v>
      </c>
      <c r="C70" s="283">
        <v>13.5</v>
      </c>
      <c r="D70" s="283">
        <v>13.5</v>
      </c>
      <c r="E70" s="205">
        <f t="shared" si="3"/>
        <v>100</v>
      </c>
      <c r="F70" s="205">
        <f t="shared" si="2"/>
        <v>0</v>
      </c>
    </row>
    <row r="71" spans="1:6" ht="15.75" customHeight="1">
      <c r="A71" s="213" t="s">
        <v>241</v>
      </c>
      <c r="B71" s="214" t="s">
        <v>345</v>
      </c>
      <c r="C71" s="283">
        <v>2</v>
      </c>
      <c r="D71" s="283">
        <v>2</v>
      </c>
      <c r="E71" s="205"/>
      <c r="F71" s="205"/>
    </row>
    <row r="72" spans="1:6" s="139" customFormat="1" ht="15.75">
      <c r="A72" s="200" t="s">
        <v>39</v>
      </c>
      <c r="B72" s="201" t="s">
        <v>243</v>
      </c>
      <c r="C72" s="251">
        <f>SUM(C73:C76)</f>
        <v>3047.5731</v>
      </c>
      <c r="D72" s="251">
        <f>SUM(D73:D76)</f>
        <v>3038.0631</v>
      </c>
      <c r="E72" s="202">
        <f aca="true" t="shared" si="4" ref="E72:E87">SUM(D72/C72*100)</f>
        <v>99.68794842033485</v>
      </c>
      <c r="F72" s="202">
        <f aca="true" t="shared" si="5" ref="F72:F88">SUM(D72-C72)</f>
        <v>-9.510000000000218</v>
      </c>
    </row>
    <row r="73" spans="1:6" ht="17.25" customHeight="1">
      <c r="A73" s="203" t="s">
        <v>246</v>
      </c>
      <c r="B73" s="206" t="s">
        <v>319</v>
      </c>
      <c r="C73" s="284"/>
      <c r="D73" s="283">
        <v>0</v>
      </c>
      <c r="E73" s="205" t="e">
        <f t="shared" si="4"/>
        <v>#DIV/0!</v>
      </c>
      <c r="F73" s="205">
        <f t="shared" si="5"/>
        <v>0</v>
      </c>
    </row>
    <row r="74" spans="1:7" s="139" customFormat="1" ht="17.25" customHeight="1">
      <c r="A74" s="203" t="s">
        <v>248</v>
      </c>
      <c r="B74" s="206" t="s">
        <v>320</v>
      </c>
      <c r="C74" s="284"/>
      <c r="D74" s="283">
        <v>0</v>
      </c>
      <c r="E74" s="205" t="e">
        <f t="shared" si="4"/>
        <v>#DIV/0!</v>
      </c>
      <c r="F74" s="205">
        <f t="shared" si="5"/>
        <v>0</v>
      </c>
      <c r="G74" s="142"/>
    </row>
    <row r="75" spans="1:6" ht="15.75">
      <c r="A75" s="203" t="s">
        <v>250</v>
      </c>
      <c r="B75" s="206" t="s">
        <v>251</v>
      </c>
      <c r="C75" s="284">
        <v>2861.4881</v>
      </c>
      <c r="D75" s="283">
        <v>2861.3631</v>
      </c>
      <c r="E75" s="205">
        <f t="shared" si="4"/>
        <v>99.99563164354939</v>
      </c>
      <c r="F75" s="205">
        <f t="shared" si="5"/>
        <v>-0.125</v>
      </c>
    </row>
    <row r="76" spans="1:6" ht="15.75">
      <c r="A76" s="203" t="s">
        <v>252</v>
      </c>
      <c r="B76" s="206" t="s">
        <v>253</v>
      </c>
      <c r="C76" s="284">
        <v>186.085</v>
      </c>
      <c r="D76" s="283">
        <v>176.7</v>
      </c>
      <c r="E76" s="205">
        <f t="shared" si="4"/>
        <v>94.95660585216432</v>
      </c>
      <c r="F76" s="205">
        <f t="shared" si="5"/>
        <v>-9.38500000000002</v>
      </c>
    </row>
    <row r="77" spans="1:6" s="139" customFormat="1" ht="18" customHeight="1">
      <c r="A77" s="200" t="s">
        <v>41</v>
      </c>
      <c r="B77" s="201" t="s">
        <v>254</v>
      </c>
      <c r="C77" s="281">
        <f>SUM(C78:C81)</f>
        <v>11051.9431</v>
      </c>
      <c r="D77" s="281">
        <f>SUM(D78:D81)</f>
        <v>10564.11594</v>
      </c>
      <c r="E77" s="202">
        <f t="shared" si="4"/>
        <v>95.58605074613531</v>
      </c>
      <c r="F77" s="202">
        <f t="shared" si="5"/>
        <v>-487.82716000000073</v>
      </c>
    </row>
    <row r="78" spans="1:6" ht="15.75" hidden="1">
      <c r="A78" s="203" t="s">
        <v>255</v>
      </c>
      <c r="B78" s="217" t="s">
        <v>256</v>
      </c>
      <c r="C78" s="283"/>
      <c r="D78" s="283"/>
      <c r="E78" s="205" t="e">
        <f t="shared" si="4"/>
        <v>#DIV/0!</v>
      </c>
      <c r="F78" s="205">
        <f t="shared" si="5"/>
        <v>0</v>
      </c>
    </row>
    <row r="79" spans="1:6" ht="18" customHeight="1">
      <c r="A79" s="203" t="s">
        <v>257</v>
      </c>
      <c r="B79" s="217" t="s">
        <v>258</v>
      </c>
      <c r="C79" s="283">
        <v>2258.25647</v>
      </c>
      <c r="D79" s="283">
        <v>1883.17351</v>
      </c>
      <c r="E79" s="205">
        <f t="shared" si="4"/>
        <v>83.39059513466157</v>
      </c>
      <c r="F79" s="205">
        <f t="shared" si="5"/>
        <v>-375.08295999999973</v>
      </c>
    </row>
    <row r="80" spans="1:6" ht="16.5" customHeight="1">
      <c r="A80" s="203" t="s">
        <v>259</v>
      </c>
      <c r="B80" s="206" t="s">
        <v>260</v>
      </c>
      <c r="C80" s="283">
        <v>8793.68663</v>
      </c>
      <c r="D80" s="283">
        <v>8680.94243</v>
      </c>
      <c r="E80" s="205">
        <f t="shared" si="4"/>
        <v>98.71789609132341</v>
      </c>
      <c r="F80" s="205">
        <f t="shared" si="5"/>
        <v>-112.744200000001</v>
      </c>
    </row>
    <row r="81" spans="1:6" ht="31.5" hidden="1">
      <c r="A81" s="203" t="s">
        <v>330</v>
      </c>
      <c r="B81" s="206" t="s">
        <v>353</v>
      </c>
      <c r="C81" s="283">
        <v>0</v>
      </c>
      <c r="D81" s="283">
        <v>0</v>
      </c>
      <c r="E81" s="205" t="e">
        <f t="shared" si="4"/>
        <v>#DIV/0!</v>
      </c>
      <c r="F81" s="205">
        <f t="shared" si="5"/>
        <v>0</v>
      </c>
    </row>
    <row r="82" spans="1:6" s="139" customFormat="1" ht="15.75">
      <c r="A82" s="200" t="s">
        <v>47</v>
      </c>
      <c r="B82" s="201" t="s">
        <v>275</v>
      </c>
      <c r="C82" s="281">
        <f>C83</f>
        <v>1815.825</v>
      </c>
      <c r="D82" s="281">
        <f>SUM(D83)</f>
        <v>1815.814</v>
      </c>
      <c r="E82" s="202">
        <f t="shared" si="4"/>
        <v>99.99939421475086</v>
      </c>
      <c r="F82" s="202">
        <f t="shared" si="5"/>
        <v>-0.010999999999967258</v>
      </c>
    </row>
    <row r="83" spans="1:6" ht="16.5" customHeight="1">
      <c r="A83" s="203" t="s">
        <v>276</v>
      </c>
      <c r="B83" s="206" t="s">
        <v>277</v>
      </c>
      <c r="C83" s="283">
        <v>1815.825</v>
      </c>
      <c r="D83" s="283">
        <v>1815.814</v>
      </c>
      <c r="E83" s="205">
        <f t="shared" si="4"/>
        <v>99.99939421475086</v>
      </c>
      <c r="F83" s="205">
        <f t="shared" si="5"/>
        <v>-0.010999999999967258</v>
      </c>
    </row>
    <row r="84" spans="1:6" s="139" customFormat="1" ht="18" customHeight="1" hidden="1">
      <c r="A84" s="218">
        <v>1000</v>
      </c>
      <c r="B84" s="201" t="s">
        <v>280</v>
      </c>
      <c r="C84" s="281">
        <f>SUM(C85:C88)</f>
        <v>0</v>
      </c>
      <c r="D84" s="281">
        <f>SUM(D85:D88)</f>
        <v>0</v>
      </c>
      <c r="E84" s="202" t="e">
        <f t="shared" si="4"/>
        <v>#DIV/0!</v>
      </c>
      <c r="F84" s="202">
        <f t="shared" si="5"/>
        <v>0</v>
      </c>
    </row>
    <row r="85" spans="1:6" ht="0.75" customHeight="1" hidden="1">
      <c r="A85" s="219">
        <v>1001</v>
      </c>
      <c r="B85" s="220" t="s">
        <v>281</v>
      </c>
      <c r="C85" s="283"/>
      <c r="D85" s="281">
        <v>0</v>
      </c>
      <c r="E85" s="205" t="e">
        <f t="shared" si="4"/>
        <v>#DIV/0!</v>
      </c>
      <c r="F85" s="205">
        <f t="shared" si="5"/>
        <v>0</v>
      </c>
    </row>
    <row r="86" spans="1:6" ht="18.75" customHeight="1" hidden="1">
      <c r="A86" s="219">
        <v>1003</v>
      </c>
      <c r="B86" s="220" t="s">
        <v>282</v>
      </c>
      <c r="C86" s="283">
        <v>0</v>
      </c>
      <c r="D86" s="281">
        <v>0</v>
      </c>
      <c r="E86" s="205" t="e">
        <f t="shared" si="4"/>
        <v>#DIV/0!</v>
      </c>
      <c r="F86" s="205">
        <f t="shared" si="5"/>
        <v>0</v>
      </c>
    </row>
    <row r="87" spans="1:6" ht="19.5" customHeight="1" hidden="1">
      <c r="A87" s="219">
        <v>1004</v>
      </c>
      <c r="B87" s="220" t="s">
        <v>283</v>
      </c>
      <c r="C87" s="283">
        <v>0</v>
      </c>
      <c r="D87" s="281">
        <v>0</v>
      </c>
      <c r="E87" s="205" t="e">
        <f t="shared" si="4"/>
        <v>#DIV/0!</v>
      </c>
      <c r="F87" s="205">
        <f t="shared" si="5"/>
        <v>0</v>
      </c>
    </row>
    <row r="88" spans="1:6" ht="18" customHeight="1" hidden="1">
      <c r="A88" s="203" t="s">
        <v>284</v>
      </c>
      <c r="B88" s="206" t="s">
        <v>285</v>
      </c>
      <c r="C88" s="283">
        <v>0</v>
      </c>
      <c r="D88" s="283">
        <v>0</v>
      </c>
      <c r="E88" s="205"/>
      <c r="F88" s="205">
        <f t="shared" si="5"/>
        <v>0</v>
      </c>
    </row>
    <row r="89" spans="1:6" ht="15.75" customHeight="1">
      <c r="A89" s="200" t="s">
        <v>51</v>
      </c>
      <c r="B89" s="201" t="s">
        <v>286</v>
      </c>
      <c r="C89" s="281">
        <f>C90+C91+C92+C93+C94</f>
        <v>27.07</v>
      </c>
      <c r="D89" s="281">
        <f>D90+D91+D92+D93+D94</f>
        <v>27.07</v>
      </c>
      <c r="E89" s="205">
        <f aca="true" t="shared" si="6" ref="E89:E99">SUM(D89/C89*100)</f>
        <v>100</v>
      </c>
      <c r="F89" s="190">
        <f>F90+F91+F92+F93+F94</f>
        <v>0</v>
      </c>
    </row>
    <row r="90" spans="1:6" ht="19.5" customHeight="1">
      <c r="A90" s="203" t="s">
        <v>287</v>
      </c>
      <c r="B90" s="206" t="s">
        <v>288</v>
      </c>
      <c r="C90" s="283">
        <v>27.07</v>
      </c>
      <c r="D90" s="283">
        <v>27.07</v>
      </c>
      <c r="E90" s="205">
        <f t="shared" si="6"/>
        <v>100</v>
      </c>
      <c r="F90" s="205">
        <f>SUM(D90-C90)</f>
        <v>0</v>
      </c>
    </row>
    <row r="91" spans="1:6" ht="15" customHeight="1" hidden="1">
      <c r="A91" s="203" t="s">
        <v>289</v>
      </c>
      <c r="B91" s="206" t="s">
        <v>290</v>
      </c>
      <c r="C91" s="283"/>
      <c r="D91" s="283"/>
      <c r="E91" s="205" t="e">
        <f t="shared" si="6"/>
        <v>#DIV/0!</v>
      </c>
      <c r="F91" s="205">
        <f>SUM(D91-C91)</f>
        <v>0</v>
      </c>
    </row>
    <row r="92" spans="1:6" ht="15" customHeight="1" hidden="1">
      <c r="A92" s="203" t="s">
        <v>291</v>
      </c>
      <c r="B92" s="206" t="s">
        <v>292</v>
      </c>
      <c r="C92" s="283"/>
      <c r="D92" s="283"/>
      <c r="E92" s="205" t="e">
        <f t="shared" si="6"/>
        <v>#DIV/0!</v>
      </c>
      <c r="F92" s="205"/>
    </row>
    <row r="93" spans="1:6" ht="15" customHeight="1" hidden="1">
      <c r="A93" s="203" t="s">
        <v>293</v>
      </c>
      <c r="B93" s="206" t="s">
        <v>294</v>
      </c>
      <c r="C93" s="283"/>
      <c r="D93" s="283"/>
      <c r="E93" s="205" t="e">
        <f t="shared" si="6"/>
        <v>#DIV/0!</v>
      </c>
      <c r="F93" s="205"/>
    </row>
    <row r="94" spans="1:6" ht="13.5" customHeight="1" hidden="1">
      <c r="A94" s="203" t="s">
        <v>295</v>
      </c>
      <c r="B94" s="206" t="s">
        <v>296</v>
      </c>
      <c r="C94" s="283"/>
      <c r="D94" s="283"/>
      <c r="E94" s="205" t="e">
        <f t="shared" si="6"/>
        <v>#DIV/0!</v>
      </c>
      <c r="F94" s="205"/>
    </row>
    <row r="95" spans="1:6" s="139" customFormat="1" ht="0.75" customHeight="1" hidden="1">
      <c r="A95" s="218">
        <v>1400</v>
      </c>
      <c r="B95" s="222" t="s">
        <v>303</v>
      </c>
      <c r="C95" s="251">
        <f>C96+C97+C98</f>
        <v>0</v>
      </c>
      <c r="D95" s="251">
        <f>SUM(D96:D98)</f>
        <v>0</v>
      </c>
      <c r="E95" s="202" t="e">
        <f t="shared" si="6"/>
        <v>#DIV/0!</v>
      </c>
      <c r="F95" s="202">
        <f>SUM(D95-C95)</f>
        <v>0</v>
      </c>
    </row>
    <row r="96" spans="1:6" ht="15" customHeight="1" hidden="1">
      <c r="A96" s="219">
        <v>1401</v>
      </c>
      <c r="B96" s="220" t="s">
        <v>304</v>
      </c>
      <c r="C96" s="284"/>
      <c r="D96" s="283"/>
      <c r="E96" s="205" t="e">
        <f t="shared" si="6"/>
        <v>#DIV/0!</v>
      </c>
      <c r="F96" s="205">
        <f>SUM(D96-C96)</f>
        <v>0</v>
      </c>
    </row>
    <row r="97" spans="1:6" ht="57.75" customHeight="1" hidden="1">
      <c r="A97" s="219">
        <v>1402</v>
      </c>
      <c r="B97" s="220" t="s">
        <v>305</v>
      </c>
      <c r="C97" s="284"/>
      <c r="D97" s="283"/>
      <c r="E97" s="205" t="e">
        <f t="shared" si="6"/>
        <v>#DIV/0!</v>
      </c>
      <c r="F97" s="205">
        <f>SUM(D97-C97)</f>
        <v>0</v>
      </c>
    </row>
    <row r="98" spans="1:6" ht="15" customHeight="1" hidden="1">
      <c r="A98" s="219">
        <v>1403</v>
      </c>
      <c r="B98" s="220" t="s">
        <v>306</v>
      </c>
      <c r="C98" s="284">
        <v>0</v>
      </c>
      <c r="D98" s="283">
        <v>0</v>
      </c>
      <c r="E98" s="205" t="e">
        <f t="shared" si="6"/>
        <v>#DIV/0!</v>
      </c>
      <c r="F98" s="205">
        <f>SUM(D98-C98)</f>
        <v>0</v>
      </c>
    </row>
    <row r="99" spans="1:6" s="139" customFormat="1" ht="16.5" customHeight="1">
      <c r="A99" s="218"/>
      <c r="B99" s="223" t="s">
        <v>307</v>
      </c>
      <c r="C99" s="278">
        <f>C56+C64+C66+C72+C77+C82+C84+C89+C95</f>
        <v>18154.4962</v>
      </c>
      <c r="D99" s="278">
        <f>D56+D64+D66+D72+D77+D82+D84+D89+D95</f>
        <v>17457.999689999997</v>
      </c>
      <c r="E99" s="202">
        <f t="shared" si="6"/>
        <v>96.1635040580195</v>
      </c>
      <c r="F99" s="202">
        <f>SUM(D99-C99)</f>
        <v>-696.4965100000045</v>
      </c>
    </row>
    <row r="100" spans="3:4" ht="20.25" customHeight="1">
      <c r="C100" s="305"/>
      <c r="D100" s="306"/>
    </row>
    <row r="101" spans="1:4" s="143" customFormat="1" ht="13.5" customHeight="1">
      <c r="A101" s="228" t="s">
        <v>308</v>
      </c>
      <c r="B101" s="228"/>
      <c r="C101" s="254"/>
      <c r="D101" s="254"/>
    </row>
    <row r="102" spans="1:4" s="143" customFormat="1" ht="12.75">
      <c r="A102" s="230" t="s">
        <v>309</v>
      </c>
      <c r="B102" s="230"/>
      <c r="C102" s="298" t="s">
        <v>310</v>
      </c>
      <c r="D102" s="298"/>
    </row>
    <row r="103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view="pageBreakPreview" zoomScale="70" zoomScaleSheetLayoutView="70" zoomScalePageLayoutView="0" workbookViewId="0" topLeftCell="A18">
      <selection activeCell="D31" sqref="D31"/>
    </sheetView>
  </sheetViews>
  <sheetFormatPr defaultColWidth="9.140625" defaultRowHeight="12.75"/>
  <cols>
    <col min="1" max="1" width="18.00390625" style="135" customWidth="1"/>
    <col min="2" max="2" width="57.57421875" style="136" customWidth="1"/>
    <col min="3" max="3" width="16.57421875" style="137" customWidth="1"/>
    <col min="4" max="4" width="16.28125" style="137" customWidth="1"/>
    <col min="5" max="5" width="13.8515625" style="137" customWidth="1"/>
    <col min="6" max="6" width="12.57421875" style="137" customWidth="1"/>
    <col min="7" max="7" width="15.421875" style="138" customWidth="1"/>
    <col min="8" max="16384" width="9.140625" style="138" customWidth="1"/>
  </cols>
  <sheetData>
    <row r="1" spans="1:6" ht="12.75" customHeight="1">
      <c r="A1" s="469" t="s">
        <v>434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C5+C12+C14+C17+C7</f>
        <v>1943.65</v>
      </c>
      <c r="D4" s="150">
        <f>D5+D12+D14+D17+D7+D20</f>
        <v>1651.95146</v>
      </c>
      <c r="E4" s="150">
        <f aca="true" t="shared" si="0" ref="E4:E46">SUM(D4/C4*100)</f>
        <v>84.99222905358475</v>
      </c>
      <c r="F4" s="150">
        <f aca="true" t="shared" si="1" ref="F4:F49">SUM(D4-C4)</f>
        <v>-291.6985400000001</v>
      </c>
    </row>
    <row r="5" spans="1:6" s="139" customFormat="1" ht="15.75">
      <c r="A5" s="151">
        <v>1010000000</v>
      </c>
      <c r="B5" s="152" t="s">
        <v>146</v>
      </c>
      <c r="C5" s="150">
        <f>C6</f>
        <v>127.65</v>
      </c>
      <c r="D5" s="150">
        <f>D6</f>
        <v>162.09878</v>
      </c>
      <c r="E5" s="150">
        <f t="shared" si="0"/>
        <v>126.98690168429299</v>
      </c>
      <c r="F5" s="150">
        <f t="shared" si="1"/>
        <v>34.44878</v>
      </c>
    </row>
    <row r="6" spans="1:6" ht="15.75">
      <c r="A6" s="153">
        <v>1010200001</v>
      </c>
      <c r="B6" s="154" t="s">
        <v>147</v>
      </c>
      <c r="C6" s="155">
        <v>127.65</v>
      </c>
      <c r="D6" s="156">
        <v>162.09878</v>
      </c>
      <c r="E6" s="155">
        <f t="shared" si="0"/>
        <v>126.98690168429299</v>
      </c>
      <c r="F6" s="155">
        <f t="shared" si="1"/>
        <v>34.44878</v>
      </c>
    </row>
    <row r="7" spans="1:6" ht="31.5">
      <c r="A7" s="148">
        <v>1030000000</v>
      </c>
      <c r="B7" s="157" t="s">
        <v>148</v>
      </c>
      <c r="C7" s="150">
        <f>C8+C10+C9</f>
        <v>623</v>
      </c>
      <c r="D7" s="150">
        <f>D8+D10+D9+D11</f>
        <v>663.91072</v>
      </c>
      <c r="E7" s="155">
        <f t="shared" si="0"/>
        <v>106.56672873194222</v>
      </c>
      <c r="F7" s="155">
        <f t="shared" si="1"/>
        <v>40.91071999999997</v>
      </c>
    </row>
    <row r="8" spans="1:6" ht="15.75">
      <c r="A8" s="153">
        <v>1030223001</v>
      </c>
      <c r="B8" s="154" t="s">
        <v>149</v>
      </c>
      <c r="C8" s="155">
        <v>220.44</v>
      </c>
      <c r="D8" s="156">
        <v>306.50075</v>
      </c>
      <c r="E8" s="155">
        <f t="shared" si="0"/>
        <v>139.04044184358554</v>
      </c>
      <c r="F8" s="155">
        <f t="shared" si="1"/>
        <v>86.06074999999998</v>
      </c>
    </row>
    <row r="9" spans="1:6" ht="15.75">
      <c r="A9" s="153">
        <v>1030224001</v>
      </c>
      <c r="B9" s="154" t="s">
        <v>150</v>
      </c>
      <c r="C9" s="155">
        <v>2.36</v>
      </c>
      <c r="D9" s="156">
        <v>2.15554</v>
      </c>
      <c r="E9" s="155">
        <f t="shared" si="0"/>
        <v>91.3364406779661</v>
      </c>
      <c r="F9" s="155">
        <f t="shared" si="1"/>
        <v>-0.20446000000000009</v>
      </c>
    </row>
    <row r="10" spans="1:6" ht="15.75">
      <c r="A10" s="153">
        <v>1030225001</v>
      </c>
      <c r="B10" s="154" t="s">
        <v>151</v>
      </c>
      <c r="C10" s="155">
        <v>400.2</v>
      </c>
      <c r="D10" s="156">
        <v>407.52068</v>
      </c>
      <c r="E10" s="155">
        <f t="shared" si="0"/>
        <v>101.82925537231384</v>
      </c>
      <c r="F10" s="155">
        <f t="shared" si="1"/>
        <v>7.3206800000000385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-52.26625</v>
      </c>
      <c r="E11" s="155" t="e">
        <f t="shared" si="0"/>
        <v>#DIV/0!</v>
      </c>
      <c r="F11" s="155">
        <f t="shared" si="1"/>
        <v>-52.26625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90</v>
      </c>
      <c r="D12" s="150">
        <f>D13</f>
        <v>19.36608</v>
      </c>
      <c r="E12" s="150">
        <f t="shared" si="0"/>
        <v>21.517866666666666</v>
      </c>
      <c r="F12" s="150">
        <f t="shared" si="1"/>
        <v>-70.63392</v>
      </c>
    </row>
    <row r="13" spans="1:6" ht="15.75" customHeight="1">
      <c r="A13" s="153">
        <v>1050300000</v>
      </c>
      <c r="B13" s="158" t="s">
        <v>156</v>
      </c>
      <c r="C13" s="159">
        <v>90</v>
      </c>
      <c r="D13" s="156">
        <v>19.36608</v>
      </c>
      <c r="E13" s="155">
        <f t="shared" si="0"/>
        <v>21.517866666666666</v>
      </c>
      <c r="F13" s="155">
        <f t="shared" si="1"/>
        <v>-70.63392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1099</v>
      </c>
      <c r="D14" s="150">
        <f>D15+D16</f>
        <v>802.7508799999999</v>
      </c>
      <c r="E14" s="150">
        <f t="shared" si="0"/>
        <v>73.04375614194721</v>
      </c>
      <c r="F14" s="150">
        <f t="shared" si="1"/>
        <v>-296.24912000000006</v>
      </c>
    </row>
    <row r="15" spans="1:6" s="139" customFormat="1" ht="15.75" customHeight="1">
      <c r="A15" s="153">
        <v>1060100000</v>
      </c>
      <c r="B15" s="158" t="s">
        <v>159</v>
      </c>
      <c r="C15" s="155">
        <v>180</v>
      </c>
      <c r="D15" s="156">
        <v>177.77658</v>
      </c>
      <c r="E15" s="155">
        <f t="shared" si="0"/>
        <v>98.76476666666666</v>
      </c>
      <c r="F15" s="155">
        <f t="shared" si="1"/>
        <v>-2.2234200000000044</v>
      </c>
    </row>
    <row r="16" spans="1:6" ht="15.75" customHeight="1">
      <c r="A16" s="153">
        <v>1060600000</v>
      </c>
      <c r="B16" s="158" t="s">
        <v>162</v>
      </c>
      <c r="C16" s="155">
        <v>919</v>
      </c>
      <c r="D16" s="156">
        <v>624.9743</v>
      </c>
      <c r="E16" s="155">
        <f t="shared" si="0"/>
        <v>68.00590859630033</v>
      </c>
      <c r="F16" s="155">
        <f t="shared" si="1"/>
        <v>-294.02570000000003</v>
      </c>
    </row>
    <row r="17" spans="1:6" s="139" customFormat="1" ht="15.75">
      <c r="A17" s="148">
        <v>1080000000</v>
      </c>
      <c r="B17" s="149" t="s">
        <v>165</v>
      </c>
      <c r="C17" s="150">
        <f>C18+C19</f>
        <v>4</v>
      </c>
      <c r="D17" s="150">
        <f>D18+D19</f>
        <v>3.825</v>
      </c>
      <c r="E17" s="150">
        <f t="shared" si="0"/>
        <v>95.625</v>
      </c>
      <c r="F17" s="150">
        <f t="shared" si="1"/>
        <v>-0.17499999999999982</v>
      </c>
    </row>
    <row r="18" spans="1:6" ht="18" customHeight="1">
      <c r="A18" s="153">
        <v>1080400001</v>
      </c>
      <c r="B18" s="154" t="s">
        <v>167</v>
      </c>
      <c r="C18" s="155">
        <v>4</v>
      </c>
      <c r="D18" s="156">
        <v>3.825</v>
      </c>
      <c r="E18" s="155">
        <f t="shared" si="0"/>
        <v>95.625</v>
      </c>
      <c r="F18" s="155">
        <f t="shared" si="1"/>
        <v>-0.17499999999999982</v>
      </c>
    </row>
    <row r="19" spans="1:6" ht="36.7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32.25" customHeight="1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24.75" customHeight="1" hidden="1">
      <c r="A21" s="153">
        <v>1090100000</v>
      </c>
      <c r="B21" s="154" t="s">
        <v>170</v>
      </c>
      <c r="C21" s="155">
        <v>0</v>
      </c>
      <c r="D21" s="156">
        <v>0</v>
      </c>
      <c r="E21" s="155" t="e">
        <f t="shared" si="0"/>
        <v>#DIV/0!</v>
      </c>
      <c r="F21" s="155">
        <f t="shared" si="1"/>
        <v>0</v>
      </c>
    </row>
    <row r="22" spans="1:6" s="140" customFormat="1" ht="18.75" customHeight="1" hidden="1">
      <c r="A22" s="153">
        <v>1090400000</v>
      </c>
      <c r="B22" s="154" t="s">
        <v>171</v>
      </c>
      <c r="C22" s="155">
        <v>0</v>
      </c>
      <c r="D22" s="156">
        <v>0</v>
      </c>
      <c r="E22" s="155" t="e">
        <f t="shared" si="0"/>
        <v>#DIV/0!</v>
      </c>
      <c r="F22" s="155">
        <f t="shared" si="1"/>
        <v>0</v>
      </c>
    </row>
    <row r="23" spans="1:6" s="140" customFormat="1" ht="18" customHeight="1" hidden="1">
      <c r="A23" s="153">
        <v>1090600000</v>
      </c>
      <c r="B23" s="154" t="s">
        <v>172</v>
      </c>
      <c r="C23" s="155">
        <v>0</v>
      </c>
      <c r="D23" s="156">
        <v>0</v>
      </c>
      <c r="E23" s="155" t="e">
        <f t="shared" si="0"/>
        <v>#DIV/0!</v>
      </c>
      <c r="F23" s="155">
        <f t="shared" si="1"/>
        <v>0</v>
      </c>
    </row>
    <row r="24" spans="1:6" s="140" customFormat="1" ht="28.5" customHeight="1" hidden="1">
      <c r="A24" s="148">
        <v>1090700000</v>
      </c>
      <c r="B24" s="157" t="s">
        <v>173</v>
      </c>
      <c r="C24" s="150">
        <v>0</v>
      </c>
      <c r="D24" s="161">
        <v>0</v>
      </c>
      <c r="E24" s="155" t="e">
        <f t="shared" si="0"/>
        <v>#DIV/0!</v>
      </c>
      <c r="F24" s="155">
        <f t="shared" si="1"/>
        <v>0</v>
      </c>
    </row>
    <row r="25" spans="1:6" s="139" customFormat="1" ht="17.25" customHeight="1">
      <c r="A25" s="148"/>
      <c r="B25" s="149" t="s">
        <v>17</v>
      </c>
      <c r="C25" s="150">
        <f>C26+C29+C31+C36+C34</f>
        <v>259.5</v>
      </c>
      <c r="D25" s="150">
        <f>D26+D29+D31+D36+D34</f>
        <v>513.28633</v>
      </c>
      <c r="E25" s="150">
        <f t="shared" si="0"/>
        <v>197.79820038535647</v>
      </c>
      <c r="F25" s="150">
        <f t="shared" si="1"/>
        <v>253.78633000000002</v>
      </c>
    </row>
    <row r="26" spans="1:6" s="139" customFormat="1" ht="30" customHeight="1">
      <c r="A26" s="151">
        <v>1110000000</v>
      </c>
      <c r="B26" s="160" t="s">
        <v>174</v>
      </c>
      <c r="C26" s="150">
        <f>C27+C28</f>
        <v>249.5</v>
      </c>
      <c r="D26" s="167">
        <f>D27+D28</f>
        <v>250.49876</v>
      </c>
      <c r="E26" s="150">
        <f t="shared" si="0"/>
        <v>100.40030460921845</v>
      </c>
      <c r="F26" s="150">
        <f t="shared" si="1"/>
        <v>0.9987600000000043</v>
      </c>
    </row>
    <row r="27" spans="1:6" ht="15.75">
      <c r="A27" s="162">
        <v>1110502510</v>
      </c>
      <c r="B27" s="163" t="s">
        <v>177</v>
      </c>
      <c r="C27" s="159">
        <v>242.8</v>
      </c>
      <c r="D27" s="156">
        <v>224.21</v>
      </c>
      <c r="E27" s="155">
        <f t="shared" si="0"/>
        <v>92.34349258649094</v>
      </c>
      <c r="F27" s="155">
        <f t="shared" si="1"/>
        <v>-18.590000000000003</v>
      </c>
    </row>
    <row r="28" spans="1:6" ht="18" customHeight="1">
      <c r="A28" s="153">
        <v>1110503510</v>
      </c>
      <c r="B28" s="158" t="s">
        <v>178</v>
      </c>
      <c r="C28" s="159">
        <v>6.7</v>
      </c>
      <c r="D28" s="156">
        <v>26.28876</v>
      </c>
      <c r="E28" s="155">
        <f t="shared" si="0"/>
        <v>392.36955223880597</v>
      </c>
      <c r="F28" s="155">
        <f t="shared" si="1"/>
        <v>19.58876</v>
      </c>
    </row>
    <row r="29" spans="1:6" s="140" customFormat="1" ht="29.25">
      <c r="A29" s="151">
        <v>1130000000</v>
      </c>
      <c r="B29" s="160" t="s">
        <v>185</v>
      </c>
      <c r="C29" s="150">
        <f>C30</f>
        <v>10</v>
      </c>
      <c r="D29" s="150">
        <f>D30</f>
        <v>6.41759</v>
      </c>
      <c r="E29" s="150">
        <f t="shared" si="0"/>
        <v>64.1759</v>
      </c>
      <c r="F29" s="150">
        <f t="shared" si="1"/>
        <v>-3.5824100000000003</v>
      </c>
    </row>
    <row r="30" spans="1:6" ht="17.25" customHeight="1">
      <c r="A30" s="153">
        <v>1130206005</v>
      </c>
      <c r="B30" s="154" t="s">
        <v>187</v>
      </c>
      <c r="C30" s="155">
        <v>10</v>
      </c>
      <c r="D30" s="156">
        <v>6.41759</v>
      </c>
      <c r="E30" s="155">
        <f t="shared" si="0"/>
        <v>64.1759</v>
      </c>
      <c r="F30" s="155">
        <f t="shared" si="1"/>
        <v>-3.5824100000000003</v>
      </c>
    </row>
    <row r="31" spans="1:6" ht="23.25" customHeight="1">
      <c r="A31" s="164">
        <v>1140000000</v>
      </c>
      <c r="B31" s="165" t="s">
        <v>188</v>
      </c>
      <c r="C31" s="150">
        <f>C32+C33</f>
        <v>0</v>
      </c>
      <c r="D31" s="150">
        <f>D32+D33</f>
        <v>234.3118</v>
      </c>
      <c r="E31" s="150" t="e">
        <f t="shared" si="0"/>
        <v>#DIV/0!</v>
      </c>
      <c r="F31" s="150">
        <f t="shared" si="1"/>
        <v>234.3118</v>
      </c>
    </row>
    <row r="32" spans="1:6" ht="20.25" customHeight="1">
      <c r="A32" s="162">
        <v>1140200000</v>
      </c>
      <c r="B32" s="166" t="s">
        <v>189</v>
      </c>
      <c r="C32" s="155">
        <v>0</v>
      </c>
      <c r="D32" s="156">
        <v>234.3118</v>
      </c>
      <c r="E32" s="155" t="e">
        <f t="shared" si="0"/>
        <v>#DIV/0!</v>
      </c>
      <c r="F32" s="155">
        <f t="shared" si="1"/>
        <v>234.3118</v>
      </c>
    </row>
    <row r="33" spans="1:6" ht="20.25" customHeight="1" hidden="1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17.25" customHeight="1">
      <c r="A34" s="148">
        <v>1160000000</v>
      </c>
      <c r="B34" s="157" t="s">
        <v>325</v>
      </c>
      <c r="C34" s="150">
        <f>C35</f>
        <v>0</v>
      </c>
      <c r="D34" s="150">
        <f>D35</f>
        <v>22.05818</v>
      </c>
      <c r="E34" s="155" t="e">
        <f t="shared" si="0"/>
        <v>#DIV/0!</v>
      </c>
      <c r="F34" s="155">
        <f t="shared" si="1"/>
        <v>22.05818</v>
      </c>
    </row>
    <row r="35" spans="1:6" ht="37.5" customHeight="1">
      <c r="A35" s="153">
        <v>1160701010</v>
      </c>
      <c r="B35" s="154" t="s">
        <v>354</v>
      </c>
      <c r="C35" s="155">
        <v>0</v>
      </c>
      <c r="D35" s="156">
        <v>22.05818</v>
      </c>
      <c r="E35" s="155" t="e">
        <f t="shared" si="0"/>
        <v>#DIV/0!</v>
      </c>
      <c r="F35" s="155">
        <f t="shared" si="1"/>
        <v>22.05818</v>
      </c>
    </row>
    <row r="36" spans="1:6" ht="17.25" customHeight="1">
      <c r="A36" s="148">
        <v>1170000000</v>
      </c>
      <c r="B36" s="157" t="s">
        <v>198</v>
      </c>
      <c r="C36" s="150">
        <f>C37+C38</f>
        <v>0</v>
      </c>
      <c r="D36" s="150">
        <f>D37+D38</f>
        <v>0</v>
      </c>
      <c r="E36" s="150" t="e">
        <f t="shared" si="0"/>
        <v>#DIV/0!</v>
      </c>
      <c r="F36" s="150">
        <f t="shared" si="1"/>
        <v>0</v>
      </c>
    </row>
    <row r="37" spans="1:6" ht="17.25" customHeight="1">
      <c r="A37" s="153">
        <v>1170105005</v>
      </c>
      <c r="B37" s="154" t="s">
        <v>199</v>
      </c>
      <c r="C37" s="155">
        <f>C38</f>
        <v>0</v>
      </c>
      <c r="D37" s="155">
        <v>0</v>
      </c>
      <c r="E37" s="155" t="e">
        <f t="shared" si="0"/>
        <v>#DIV/0!</v>
      </c>
      <c r="F37" s="155">
        <f t="shared" si="1"/>
        <v>0</v>
      </c>
    </row>
    <row r="38" spans="1:6" ht="19.5" customHeight="1" hidden="1">
      <c r="A38" s="153">
        <v>1170505005</v>
      </c>
      <c r="B38" s="158" t="s">
        <v>200</v>
      </c>
      <c r="C38" s="155">
        <v>0</v>
      </c>
      <c r="D38" s="156">
        <v>0</v>
      </c>
      <c r="E38" s="155" t="e">
        <f t="shared" si="0"/>
        <v>#DIV/0!</v>
      </c>
      <c r="F38" s="155">
        <f t="shared" si="1"/>
        <v>0</v>
      </c>
    </row>
    <row r="39" spans="1:6" s="139" customFormat="1" ht="15" customHeight="1">
      <c r="A39" s="148">
        <v>1000000000</v>
      </c>
      <c r="B39" s="149" t="s">
        <v>26</v>
      </c>
      <c r="C39" s="168">
        <f>SUM(C4,C25)</f>
        <v>2203.15</v>
      </c>
      <c r="D39" s="168">
        <f>SUM(D4,D25)</f>
        <v>2165.23779</v>
      </c>
      <c r="E39" s="150">
        <f t="shared" si="0"/>
        <v>98.27918162630779</v>
      </c>
      <c r="F39" s="150">
        <f t="shared" si="1"/>
        <v>-37.91220999999996</v>
      </c>
    </row>
    <row r="40" spans="1:7" s="139" customFormat="1" ht="15.75">
      <c r="A40" s="148">
        <v>2000000000</v>
      </c>
      <c r="B40" s="149" t="s">
        <v>201</v>
      </c>
      <c r="C40" s="240">
        <f>C41+C42+C43+C44+C48+C49</f>
        <v>19416.87593</v>
      </c>
      <c r="D40" s="240">
        <f>D41+D42+D43+D44+D48+D49+D50</f>
        <v>19318.51098</v>
      </c>
      <c r="E40" s="150">
        <f t="shared" si="0"/>
        <v>99.49340485897619</v>
      </c>
      <c r="F40" s="150">
        <f t="shared" si="1"/>
        <v>-98.36494999999923</v>
      </c>
      <c r="G40" s="170"/>
    </row>
    <row r="41" spans="1:6" ht="15.75">
      <c r="A41" s="162">
        <v>2021000000</v>
      </c>
      <c r="B41" s="163" t="s">
        <v>202</v>
      </c>
      <c r="C41" s="159">
        <v>4637.7</v>
      </c>
      <c r="D41" s="172">
        <v>4637.7</v>
      </c>
      <c r="E41" s="155">
        <f t="shared" si="0"/>
        <v>100</v>
      </c>
      <c r="F41" s="155">
        <f t="shared" si="1"/>
        <v>0</v>
      </c>
    </row>
    <row r="42" spans="1:6" ht="17.25" customHeight="1">
      <c r="A42" s="162">
        <v>2021500200</v>
      </c>
      <c r="B42" s="163" t="s">
        <v>205</v>
      </c>
      <c r="C42" s="159">
        <v>0</v>
      </c>
      <c r="D42" s="172">
        <v>0</v>
      </c>
      <c r="E42" s="155" t="e">
        <f t="shared" si="0"/>
        <v>#DIV/0!</v>
      </c>
      <c r="F42" s="155">
        <f t="shared" si="1"/>
        <v>0</v>
      </c>
    </row>
    <row r="43" spans="1:6" ht="15.75">
      <c r="A43" s="162">
        <v>2022000000</v>
      </c>
      <c r="B43" s="163" t="s">
        <v>206</v>
      </c>
      <c r="C43" s="159">
        <v>12474.90703</v>
      </c>
      <c r="D43" s="156">
        <v>12461.25756</v>
      </c>
      <c r="E43" s="155">
        <f t="shared" si="0"/>
        <v>99.89058459540279</v>
      </c>
      <c r="F43" s="155">
        <f t="shared" si="1"/>
        <v>-13.649470000000292</v>
      </c>
    </row>
    <row r="44" spans="1:6" ht="18" customHeight="1">
      <c r="A44" s="162">
        <v>2023000000</v>
      </c>
      <c r="B44" s="163" t="s">
        <v>207</v>
      </c>
      <c r="C44" s="159">
        <v>206.767</v>
      </c>
      <c r="D44" s="174">
        <v>206.767</v>
      </c>
      <c r="E44" s="155">
        <f t="shared" si="0"/>
        <v>100</v>
      </c>
      <c r="F44" s="155">
        <f t="shared" si="1"/>
        <v>0</v>
      </c>
    </row>
    <row r="45" spans="1:6" ht="0.75" customHeight="1" hidden="1">
      <c r="A45" s="162">
        <v>2020400000</v>
      </c>
      <c r="B45" s="163" t="s">
        <v>102</v>
      </c>
      <c r="C45" s="159"/>
      <c r="D45" s="175"/>
      <c r="E45" s="155" t="e">
        <f t="shared" si="0"/>
        <v>#DIV/0!</v>
      </c>
      <c r="F45" s="155">
        <f t="shared" si="1"/>
        <v>0</v>
      </c>
    </row>
    <row r="46" spans="1:6" ht="18" customHeight="1" hidden="1">
      <c r="A46" s="162">
        <v>2020900000</v>
      </c>
      <c r="B46" s="166" t="s">
        <v>343</v>
      </c>
      <c r="C46" s="159"/>
      <c r="D46" s="175"/>
      <c r="E46" s="155" t="e">
        <f t="shared" si="0"/>
        <v>#DIV/0!</v>
      </c>
      <c r="F46" s="155">
        <f t="shared" si="1"/>
        <v>0</v>
      </c>
    </row>
    <row r="47" spans="1:6" ht="15.75" hidden="1">
      <c r="A47" s="153">
        <v>2190500005</v>
      </c>
      <c r="B47" s="158" t="s">
        <v>209</v>
      </c>
      <c r="C47" s="161"/>
      <c r="D47" s="161"/>
      <c r="E47" s="150"/>
      <c r="F47" s="150">
        <f t="shared" si="1"/>
        <v>0</v>
      </c>
    </row>
    <row r="48" spans="1:6" s="139" customFormat="1" ht="21.75" customHeight="1">
      <c r="A48" s="153">
        <v>2024000000</v>
      </c>
      <c r="B48" s="154" t="s">
        <v>102</v>
      </c>
      <c r="C48" s="159">
        <v>1890.728</v>
      </c>
      <c r="D48" s="156">
        <v>1806.01252</v>
      </c>
      <c r="E48" s="155">
        <f>SUM(D48/C48*100)</f>
        <v>95.5194253218866</v>
      </c>
      <c r="F48" s="155">
        <f t="shared" si="1"/>
        <v>-84.71548000000007</v>
      </c>
    </row>
    <row r="49" spans="1:6" s="139" customFormat="1" ht="18.75" customHeight="1">
      <c r="A49" s="153">
        <v>2070500010</v>
      </c>
      <c r="B49" s="154" t="s">
        <v>355</v>
      </c>
      <c r="C49" s="159">
        <v>206.7739</v>
      </c>
      <c r="D49" s="156">
        <v>206.7739</v>
      </c>
      <c r="E49" s="155">
        <f>SUM(D49/C49*100)</f>
        <v>100</v>
      </c>
      <c r="F49" s="155">
        <f t="shared" si="1"/>
        <v>0</v>
      </c>
    </row>
    <row r="50" spans="1:6" s="139" customFormat="1" ht="18.75" customHeight="1">
      <c r="A50" s="153">
        <v>2190500005</v>
      </c>
      <c r="B50" s="158" t="s">
        <v>209</v>
      </c>
      <c r="C50" s="159">
        <v>0</v>
      </c>
      <c r="D50" s="156">
        <v>0</v>
      </c>
      <c r="E50" s="155"/>
      <c r="F50" s="155"/>
    </row>
    <row r="51" spans="1:7" s="139" customFormat="1" ht="19.5" customHeight="1">
      <c r="A51" s="148"/>
      <c r="B51" s="149" t="s">
        <v>211</v>
      </c>
      <c r="C51" s="288">
        <f>C39+C40</f>
        <v>21620.02593</v>
      </c>
      <c r="D51" s="288">
        <f>SUM(D39,D40)</f>
        <v>21483.74877</v>
      </c>
      <c r="E51" s="150">
        <f>SUM(D51/C51*100)</f>
        <v>99.36967161630041</v>
      </c>
      <c r="F51" s="150">
        <f>SUM(D51-C51)</f>
        <v>-136.27716000000146</v>
      </c>
      <c r="G51" s="186"/>
    </row>
    <row r="52" spans="1:6" s="139" customFormat="1" ht="15.75">
      <c r="A52" s="148"/>
      <c r="B52" s="188" t="s">
        <v>212</v>
      </c>
      <c r="C52" s="288">
        <f>C51-C98</f>
        <v>131.80258999999933</v>
      </c>
      <c r="D52" s="288">
        <f>D51-D98</f>
        <v>533.9972299999972</v>
      </c>
      <c r="E52" s="190"/>
      <c r="F52" s="190"/>
    </row>
    <row r="53" spans="1:6" ht="15.75">
      <c r="A53" s="191"/>
      <c r="B53" s="192"/>
      <c r="C53" s="193"/>
      <c r="D53" s="193"/>
      <c r="E53" s="194"/>
      <c r="F53" s="195"/>
    </row>
    <row r="54" spans="1:6" ht="60" customHeight="1">
      <c r="A54" s="196" t="s">
        <v>141</v>
      </c>
      <c r="B54" s="196" t="s">
        <v>213</v>
      </c>
      <c r="C54" s="145" t="s">
        <v>143</v>
      </c>
      <c r="D54" s="146" t="s">
        <v>426</v>
      </c>
      <c r="E54" s="145" t="s">
        <v>144</v>
      </c>
      <c r="F54" s="147" t="s">
        <v>145</v>
      </c>
    </row>
    <row r="55" spans="1:6" ht="15.75">
      <c r="A55" s="245">
        <v>1</v>
      </c>
      <c r="B55" s="196">
        <v>2</v>
      </c>
      <c r="C55" s="199">
        <v>3</v>
      </c>
      <c r="D55" s="199">
        <v>4</v>
      </c>
      <c r="E55" s="199">
        <v>5</v>
      </c>
      <c r="F55" s="199">
        <v>6</v>
      </c>
    </row>
    <row r="56" spans="1:6" s="139" customFormat="1" ht="29.25" customHeight="1">
      <c r="A56" s="200" t="s">
        <v>33</v>
      </c>
      <c r="B56" s="201" t="s">
        <v>214</v>
      </c>
      <c r="C56" s="281">
        <f>C57+C58+C59+C60+C61+C63+C62</f>
        <v>1778.69698</v>
      </c>
      <c r="D56" s="299">
        <f>D57+D58+D59+D60+D61+D63+D62</f>
        <v>1718.14416</v>
      </c>
      <c r="E56" s="202">
        <f>SUM(D56/C56*100)</f>
        <v>96.5956640911371</v>
      </c>
      <c r="F56" s="202">
        <f>SUM(D56-C56)</f>
        <v>-60.55281999999988</v>
      </c>
    </row>
    <row r="57" spans="1:6" s="139" customFormat="1" ht="31.5" hidden="1">
      <c r="A57" s="203" t="s">
        <v>215</v>
      </c>
      <c r="B57" s="204" t="s">
        <v>216</v>
      </c>
      <c r="C57" s="283"/>
      <c r="D57" s="283"/>
      <c r="E57" s="205"/>
      <c r="F57" s="205"/>
    </row>
    <row r="58" spans="1:6" ht="15.75">
      <c r="A58" s="203" t="s">
        <v>217</v>
      </c>
      <c r="B58" s="206" t="s">
        <v>218</v>
      </c>
      <c r="C58" s="283">
        <v>1687.86098</v>
      </c>
      <c r="D58" s="283">
        <v>1677.30816</v>
      </c>
      <c r="E58" s="205">
        <f>SUM(D58/C58*100)</f>
        <v>99.37478144675163</v>
      </c>
      <c r="F58" s="205">
        <f aca="true" t="shared" si="2" ref="F58:F70">SUM(D58-C58)</f>
        <v>-10.552819999999883</v>
      </c>
    </row>
    <row r="59" spans="1:6" ht="0.75" customHeight="1" hidden="1">
      <c r="A59" s="203" t="s">
        <v>219</v>
      </c>
      <c r="B59" s="206" t="s">
        <v>220</v>
      </c>
      <c r="C59" s="283"/>
      <c r="D59" s="283"/>
      <c r="E59" s="205"/>
      <c r="F59" s="205">
        <f t="shared" si="2"/>
        <v>0</v>
      </c>
    </row>
    <row r="60" spans="1:6" ht="31.5" customHeight="1" hidden="1">
      <c r="A60" s="203" t="s">
        <v>221</v>
      </c>
      <c r="B60" s="206" t="s">
        <v>222</v>
      </c>
      <c r="C60" s="283"/>
      <c r="D60" s="283"/>
      <c r="E60" s="205" t="e">
        <f aca="true" t="shared" si="3" ref="E60:E70">SUM(D60/C60*100)</f>
        <v>#DIV/0!</v>
      </c>
      <c r="F60" s="205">
        <f t="shared" si="2"/>
        <v>0</v>
      </c>
    </row>
    <row r="61" spans="1:6" ht="15.75" customHeight="1">
      <c r="A61" s="203" t="s">
        <v>223</v>
      </c>
      <c r="B61" s="206" t="s">
        <v>224</v>
      </c>
      <c r="C61" s="283"/>
      <c r="D61" s="283">
        <v>0</v>
      </c>
      <c r="E61" s="205" t="e">
        <f t="shared" si="3"/>
        <v>#DIV/0!</v>
      </c>
      <c r="F61" s="205">
        <f t="shared" si="2"/>
        <v>0</v>
      </c>
    </row>
    <row r="62" spans="1:6" ht="15.75" customHeight="1">
      <c r="A62" s="203" t="s">
        <v>225</v>
      </c>
      <c r="B62" s="206" t="s">
        <v>226</v>
      </c>
      <c r="C62" s="293">
        <v>50</v>
      </c>
      <c r="D62" s="293">
        <v>0</v>
      </c>
      <c r="E62" s="205">
        <f t="shared" si="3"/>
        <v>0</v>
      </c>
      <c r="F62" s="205">
        <f t="shared" si="2"/>
        <v>-50</v>
      </c>
    </row>
    <row r="63" spans="1:6" ht="18.75" customHeight="1">
      <c r="A63" s="203" t="s">
        <v>227</v>
      </c>
      <c r="B63" s="206" t="s">
        <v>228</v>
      </c>
      <c r="C63" s="283">
        <v>40.836</v>
      </c>
      <c r="D63" s="283">
        <v>40.836</v>
      </c>
      <c r="E63" s="205">
        <f t="shared" si="3"/>
        <v>100</v>
      </c>
      <c r="F63" s="205">
        <f t="shared" si="2"/>
        <v>0</v>
      </c>
    </row>
    <row r="64" spans="1:6" s="139" customFormat="1" ht="15.75">
      <c r="A64" s="208" t="s">
        <v>35</v>
      </c>
      <c r="B64" s="209" t="s">
        <v>229</v>
      </c>
      <c r="C64" s="281">
        <f>C65</f>
        <v>206.767</v>
      </c>
      <c r="D64" s="281">
        <f>D65</f>
        <v>206.767</v>
      </c>
      <c r="E64" s="202">
        <f t="shared" si="3"/>
        <v>100</v>
      </c>
      <c r="F64" s="202">
        <f t="shared" si="2"/>
        <v>0</v>
      </c>
    </row>
    <row r="65" spans="1:6" ht="15.75">
      <c r="A65" s="210" t="s">
        <v>230</v>
      </c>
      <c r="B65" s="211" t="s">
        <v>231</v>
      </c>
      <c r="C65" s="283">
        <v>206.767</v>
      </c>
      <c r="D65" s="283">
        <v>206.767</v>
      </c>
      <c r="E65" s="202">
        <f t="shared" si="3"/>
        <v>100</v>
      </c>
      <c r="F65" s="205">
        <f t="shared" si="2"/>
        <v>0</v>
      </c>
    </row>
    <row r="66" spans="1:6" s="139" customFormat="1" ht="18" customHeight="1">
      <c r="A66" s="200" t="s">
        <v>37</v>
      </c>
      <c r="B66" s="201" t="s">
        <v>232</v>
      </c>
      <c r="C66" s="281">
        <f>C69+C70+C71</f>
        <v>80.31148</v>
      </c>
      <c r="D66" s="281">
        <f>D69+D70+D71</f>
        <v>80.31148</v>
      </c>
      <c r="E66" s="202">
        <f t="shared" si="3"/>
        <v>100</v>
      </c>
      <c r="F66" s="202">
        <f t="shared" si="2"/>
        <v>0</v>
      </c>
    </row>
    <row r="67" spans="1:6" ht="15.75" hidden="1">
      <c r="A67" s="203" t="s">
        <v>233</v>
      </c>
      <c r="B67" s="206" t="s">
        <v>234</v>
      </c>
      <c r="C67" s="283"/>
      <c r="D67" s="283"/>
      <c r="E67" s="202" t="e">
        <f t="shared" si="3"/>
        <v>#DIV/0!</v>
      </c>
      <c r="F67" s="202">
        <f t="shared" si="2"/>
        <v>0</v>
      </c>
    </row>
    <row r="68" spans="1:6" ht="15.75" hidden="1">
      <c r="A68" s="212" t="s">
        <v>235</v>
      </c>
      <c r="B68" s="206" t="s">
        <v>317</v>
      </c>
      <c r="C68" s="283"/>
      <c r="D68" s="283"/>
      <c r="E68" s="202" t="e">
        <f t="shared" si="3"/>
        <v>#DIV/0!</v>
      </c>
      <c r="F68" s="202">
        <f t="shared" si="2"/>
        <v>0</v>
      </c>
    </row>
    <row r="69" spans="1:6" ht="17.25" customHeight="1">
      <c r="A69" s="213" t="s">
        <v>237</v>
      </c>
      <c r="B69" s="214" t="s">
        <v>238</v>
      </c>
      <c r="C69" s="283">
        <v>2.81148</v>
      </c>
      <c r="D69" s="283">
        <v>2.81148</v>
      </c>
      <c r="E69" s="202">
        <f t="shared" si="3"/>
        <v>100</v>
      </c>
      <c r="F69" s="202">
        <f t="shared" si="2"/>
        <v>0</v>
      </c>
    </row>
    <row r="70" spans="1:6" ht="15.75" customHeight="1">
      <c r="A70" s="213" t="s">
        <v>239</v>
      </c>
      <c r="B70" s="214" t="s">
        <v>240</v>
      </c>
      <c r="C70" s="283">
        <v>75.5</v>
      </c>
      <c r="D70" s="283">
        <v>75.5</v>
      </c>
      <c r="E70" s="202">
        <f t="shared" si="3"/>
        <v>100</v>
      </c>
      <c r="F70" s="202">
        <f t="shared" si="2"/>
        <v>0</v>
      </c>
    </row>
    <row r="71" spans="1:6" ht="15.75" customHeight="1">
      <c r="A71" s="213" t="s">
        <v>241</v>
      </c>
      <c r="B71" s="214" t="s">
        <v>345</v>
      </c>
      <c r="C71" s="283">
        <v>2</v>
      </c>
      <c r="D71" s="283">
        <v>2</v>
      </c>
      <c r="E71" s="202"/>
      <c r="F71" s="202"/>
    </row>
    <row r="72" spans="1:6" s="139" customFormat="1" ht="16.5" customHeight="1">
      <c r="A72" s="200" t="s">
        <v>39</v>
      </c>
      <c r="B72" s="201" t="s">
        <v>243</v>
      </c>
      <c r="C72" s="251">
        <f>C73+C74+C75+C76</f>
        <v>4475.33805</v>
      </c>
      <c r="D72" s="251">
        <f>SUM(D73:D76)</f>
        <v>4285.23268</v>
      </c>
      <c r="E72" s="202">
        <f aca="true" t="shared" si="4" ref="E72:E86">SUM(D72/C72*100)</f>
        <v>95.75215619745194</v>
      </c>
      <c r="F72" s="202">
        <f aca="true" t="shared" si="5" ref="F72:F87">SUM(D72-C72)</f>
        <v>-190.10537000000022</v>
      </c>
    </row>
    <row r="73" spans="1:6" ht="15" customHeight="1">
      <c r="A73" s="203" t="s">
        <v>246</v>
      </c>
      <c r="B73" s="206" t="s">
        <v>319</v>
      </c>
      <c r="C73" s="284"/>
      <c r="D73" s="283">
        <v>0</v>
      </c>
      <c r="E73" s="205" t="e">
        <f t="shared" si="4"/>
        <v>#DIV/0!</v>
      </c>
      <c r="F73" s="205">
        <f t="shared" si="5"/>
        <v>0</v>
      </c>
    </row>
    <row r="74" spans="1:7" s="139" customFormat="1" ht="15" customHeight="1">
      <c r="A74" s="203" t="s">
        <v>248</v>
      </c>
      <c r="B74" s="206" t="s">
        <v>320</v>
      </c>
      <c r="C74" s="284"/>
      <c r="D74" s="283"/>
      <c r="E74" s="205" t="e">
        <f t="shared" si="4"/>
        <v>#DIV/0!</v>
      </c>
      <c r="F74" s="205">
        <f t="shared" si="5"/>
        <v>0</v>
      </c>
      <c r="G74" s="142"/>
    </row>
    <row r="75" spans="1:6" ht="15.75">
      <c r="A75" s="203" t="s">
        <v>250</v>
      </c>
      <c r="B75" s="206" t="s">
        <v>251</v>
      </c>
      <c r="C75" s="284">
        <v>3188.75973</v>
      </c>
      <c r="D75" s="283">
        <v>3159.16428</v>
      </c>
      <c r="E75" s="205">
        <f t="shared" si="4"/>
        <v>99.0718820950489</v>
      </c>
      <c r="F75" s="205">
        <f t="shared" si="5"/>
        <v>-29.595450000000255</v>
      </c>
    </row>
    <row r="76" spans="1:6" ht="15.75">
      <c r="A76" s="203" t="s">
        <v>252</v>
      </c>
      <c r="B76" s="206" t="s">
        <v>253</v>
      </c>
      <c r="C76" s="284">
        <v>1286.57832</v>
      </c>
      <c r="D76" s="283">
        <v>1126.0684</v>
      </c>
      <c r="E76" s="205">
        <f t="shared" si="4"/>
        <v>87.52427912822284</v>
      </c>
      <c r="F76" s="205">
        <f t="shared" si="5"/>
        <v>-160.50991999999997</v>
      </c>
    </row>
    <row r="77" spans="1:6" s="139" customFormat="1" ht="18" customHeight="1">
      <c r="A77" s="200" t="s">
        <v>41</v>
      </c>
      <c r="B77" s="201" t="s">
        <v>254</v>
      </c>
      <c r="C77" s="281">
        <f>SUM(C78:C80)</f>
        <v>12505.98813</v>
      </c>
      <c r="D77" s="281">
        <f>SUM(D78:D80)</f>
        <v>12237.089520000001</v>
      </c>
      <c r="E77" s="202">
        <f t="shared" si="4"/>
        <v>97.84984115445504</v>
      </c>
      <c r="F77" s="202">
        <f t="shared" si="5"/>
        <v>-268.89860999999837</v>
      </c>
    </row>
    <row r="78" spans="1:6" ht="14.25" customHeight="1" hidden="1">
      <c r="A78" s="203" t="s">
        <v>255</v>
      </c>
      <c r="B78" s="217" t="s">
        <v>256</v>
      </c>
      <c r="C78" s="283">
        <v>0</v>
      </c>
      <c r="D78" s="283">
        <v>0</v>
      </c>
      <c r="E78" s="202" t="e">
        <f t="shared" si="4"/>
        <v>#DIV/0!</v>
      </c>
      <c r="F78" s="202">
        <f t="shared" si="5"/>
        <v>0</v>
      </c>
    </row>
    <row r="79" spans="1:6" ht="15" customHeight="1">
      <c r="A79" s="203" t="s">
        <v>257</v>
      </c>
      <c r="B79" s="217" t="s">
        <v>258</v>
      </c>
      <c r="C79" s="283">
        <v>8310.45154</v>
      </c>
      <c r="D79" s="283">
        <v>8292.62319</v>
      </c>
      <c r="E79" s="202">
        <f t="shared" si="4"/>
        <v>99.78547074230337</v>
      </c>
      <c r="F79" s="202">
        <f t="shared" si="5"/>
        <v>-17.828349999999773</v>
      </c>
    </row>
    <row r="80" spans="1:6" ht="15.75">
      <c r="A80" s="203" t="s">
        <v>259</v>
      </c>
      <c r="B80" s="206" t="s">
        <v>260</v>
      </c>
      <c r="C80" s="283">
        <v>4195.53659</v>
      </c>
      <c r="D80" s="283">
        <v>3944.46633</v>
      </c>
      <c r="E80" s="205">
        <f t="shared" si="4"/>
        <v>94.01577713328918</v>
      </c>
      <c r="F80" s="205">
        <f t="shared" si="5"/>
        <v>-251.0702599999995</v>
      </c>
    </row>
    <row r="81" spans="1:6" s="139" customFormat="1" ht="15.75">
      <c r="A81" s="200" t="s">
        <v>47</v>
      </c>
      <c r="B81" s="201" t="s">
        <v>275</v>
      </c>
      <c r="C81" s="281">
        <f>C82</f>
        <v>2391.1217</v>
      </c>
      <c r="D81" s="281">
        <f>D82</f>
        <v>2391.1217</v>
      </c>
      <c r="E81" s="202">
        <f t="shared" si="4"/>
        <v>100</v>
      </c>
      <c r="F81" s="202">
        <f t="shared" si="5"/>
        <v>0</v>
      </c>
    </row>
    <row r="82" spans="1:6" ht="15.75" customHeight="1">
      <c r="A82" s="203" t="s">
        <v>276</v>
      </c>
      <c r="B82" s="206" t="s">
        <v>277</v>
      </c>
      <c r="C82" s="283">
        <v>2391.1217</v>
      </c>
      <c r="D82" s="283">
        <v>2391.1217</v>
      </c>
      <c r="E82" s="205">
        <f t="shared" si="4"/>
        <v>100</v>
      </c>
      <c r="F82" s="205">
        <f t="shared" si="5"/>
        <v>0</v>
      </c>
    </row>
    <row r="83" spans="1:6" s="139" customFormat="1" ht="1.5" customHeight="1" hidden="1">
      <c r="A83" s="218">
        <v>1000</v>
      </c>
      <c r="B83" s="201" t="s">
        <v>280</v>
      </c>
      <c r="C83" s="281">
        <f>SUM(C84:C87)</f>
        <v>0</v>
      </c>
      <c r="D83" s="281">
        <f>SUM(D84:D87)</f>
        <v>0</v>
      </c>
      <c r="E83" s="202" t="e">
        <f t="shared" si="4"/>
        <v>#DIV/0!</v>
      </c>
      <c r="F83" s="202">
        <f t="shared" si="5"/>
        <v>0</v>
      </c>
    </row>
    <row r="84" spans="1:6" ht="17.25" customHeight="1" hidden="1">
      <c r="A84" s="219">
        <v>1001</v>
      </c>
      <c r="B84" s="220" t="s">
        <v>281</v>
      </c>
      <c r="C84" s="283"/>
      <c r="D84" s="283"/>
      <c r="E84" s="205" t="e">
        <f t="shared" si="4"/>
        <v>#DIV/0!</v>
      </c>
      <c r="F84" s="205">
        <f t="shared" si="5"/>
        <v>0</v>
      </c>
    </row>
    <row r="85" spans="1:6" ht="15.75" customHeight="1" hidden="1">
      <c r="A85" s="219">
        <v>1003</v>
      </c>
      <c r="B85" s="220" t="s">
        <v>282</v>
      </c>
      <c r="C85" s="283">
        <v>0</v>
      </c>
      <c r="D85" s="283">
        <v>0</v>
      </c>
      <c r="E85" s="205" t="e">
        <f t="shared" si="4"/>
        <v>#DIV/0!</v>
      </c>
      <c r="F85" s="205">
        <f t="shared" si="5"/>
        <v>0</v>
      </c>
    </row>
    <row r="86" spans="1:6" ht="17.25" customHeight="1" hidden="1">
      <c r="A86" s="219">
        <v>1004</v>
      </c>
      <c r="B86" s="220" t="s">
        <v>283</v>
      </c>
      <c r="C86" s="283"/>
      <c r="D86" s="285"/>
      <c r="E86" s="205" t="e">
        <f t="shared" si="4"/>
        <v>#DIV/0!</v>
      </c>
      <c r="F86" s="205">
        <f t="shared" si="5"/>
        <v>0</v>
      </c>
    </row>
    <row r="87" spans="1:6" ht="17.25" customHeight="1" hidden="1">
      <c r="A87" s="203" t="s">
        <v>284</v>
      </c>
      <c r="B87" s="206" t="s">
        <v>285</v>
      </c>
      <c r="C87" s="283">
        <v>0</v>
      </c>
      <c r="D87" s="283">
        <v>0</v>
      </c>
      <c r="E87" s="205"/>
      <c r="F87" s="205">
        <f t="shared" si="5"/>
        <v>0</v>
      </c>
    </row>
    <row r="88" spans="1:6" ht="15.75">
      <c r="A88" s="200" t="s">
        <v>51</v>
      </c>
      <c r="B88" s="201" t="s">
        <v>286</v>
      </c>
      <c r="C88" s="281">
        <f>C89+C90+C91+C92+C93</f>
        <v>50</v>
      </c>
      <c r="D88" s="281">
        <f>D89+D90+D91+D92+D93</f>
        <v>31.085</v>
      </c>
      <c r="E88" s="205">
        <f aca="true" t="shared" si="6" ref="E88:E98">SUM(D88/C88*100)</f>
        <v>62.17</v>
      </c>
      <c r="F88" s="190">
        <f>F89+F90+F91+F92+F93</f>
        <v>-18.915</v>
      </c>
    </row>
    <row r="89" spans="1:6" ht="18.75" customHeight="1">
      <c r="A89" s="203" t="s">
        <v>287</v>
      </c>
      <c r="B89" s="206" t="s">
        <v>288</v>
      </c>
      <c r="C89" s="283">
        <v>50</v>
      </c>
      <c r="D89" s="283">
        <v>31.085</v>
      </c>
      <c r="E89" s="205">
        <f t="shared" si="6"/>
        <v>62.17</v>
      </c>
      <c r="F89" s="205">
        <f>SUM(D89-C89)</f>
        <v>-18.915</v>
      </c>
    </row>
    <row r="90" spans="1:6" ht="15.75" customHeight="1" hidden="1">
      <c r="A90" s="203" t="s">
        <v>289</v>
      </c>
      <c r="B90" s="206" t="s">
        <v>290</v>
      </c>
      <c r="C90" s="283"/>
      <c r="D90" s="283"/>
      <c r="E90" s="205" t="e">
        <f t="shared" si="6"/>
        <v>#DIV/0!</v>
      </c>
      <c r="F90" s="205">
        <f>SUM(D90-C90)</f>
        <v>0</v>
      </c>
    </row>
    <row r="91" spans="1:6" ht="15.75" customHeight="1" hidden="1">
      <c r="A91" s="203" t="s">
        <v>291</v>
      </c>
      <c r="B91" s="206" t="s">
        <v>292</v>
      </c>
      <c r="C91" s="283"/>
      <c r="D91" s="283"/>
      <c r="E91" s="205" t="e">
        <f t="shared" si="6"/>
        <v>#DIV/0!</v>
      </c>
      <c r="F91" s="205"/>
    </row>
    <row r="92" spans="1:6" ht="15.75" customHeight="1" hidden="1">
      <c r="A92" s="203" t="s">
        <v>293</v>
      </c>
      <c r="B92" s="206" t="s">
        <v>294</v>
      </c>
      <c r="C92" s="283"/>
      <c r="D92" s="283"/>
      <c r="E92" s="205" t="e">
        <f t="shared" si="6"/>
        <v>#DIV/0!</v>
      </c>
      <c r="F92" s="205"/>
    </row>
    <row r="93" spans="1:6" ht="15.75" customHeight="1" hidden="1">
      <c r="A93" s="203" t="s">
        <v>295</v>
      </c>
      <c r="B93" s="206" t="s">
        <v>296</v>
      </c>
      <c r="C93" s="283"/>
      <c r="D93" s="283"/>
      <c r="E93" s="205" t="e">
        <f t="shared" si="6"/>
        <v>#DIV/0!</v>
      </c>
      <c r="F93" s="205"/>
    </row>
    <row r="94" spans="1:6" s="139" customFormat="1" ht="16.5" customHeight="1" hidden="1">
      <c r="A94" s="218">
        <v>1400</v>
      </c>
      <c r="B94" s="222" t="s">
        <v>303</v>
      </c>
      <c r="C94" s="251">
        <f>C95+C96+C97</f>
        <v>0</v>
      </c>
      <c r="D94" s="251">
        <f>SUM(D95:D97)</f>
        <v>0</v>
      </c>
      <c r="E94" s="202" t="e">
        <f t="shared" si="6"/>
        <v>#DIV/0!</v>
      </c>
      <c r="F94" s="202">
        <f>SUM(D94-C94)</f>
        <v>0</v>
      </c>
    </row>
    <row r="95" spans="1:6" ht="0.75" customHeight="1" hidden="1">
      <c r="A95" s="219">
        <v>1401</v>
      </c>
      <c r="B95" s="220" t="s">
        <v>304</v>
      </c>
      <c r="C95" s="284"/>
      <c r="D95" s="283"/>
      <c r="E95" s="205" t="e">
        <f t="shared" si="6"/>
        <v>#DIV/0!</v>
      </c>
      <c r="F95" s="205">
        <f>SUM(D95-C95)</f>
        <v>0</v>
      </c>
    </row>
    <row r="96" spans="1:6" ht="19.5" customHeight="1" hidden="1">
      <c r="A96" s="219">
        <v>1402</v>
      </c>
      <c r="B96" s="220" t="s">
        <v>305</v>
      </c>
      <c r="C96" s="284"/>
      <c r="D96" s="283"/>
      <c r="E96" s="205" t="e">
        <f t="shared" si="6"/>
        <v>#DIV/0!</v>
      </c>
      <c r="F96" s="205">
        <f>SUM(D96-C96)</f>
        <v>0</v>
      </c>
    </row>
    <row r="97" spans="1:6" ht="18" customHeight="1" hidden="1">
      <c r="A97" s="219">
        <v>1403</v>
      </c>
      <c r="B97" s="220" t="s">
        <v>306</v>
      </c>
      <c r="C97" s="284"/>
      <c r="D97" s="283"/>
      <c r="E97" s="205" t="e">
        <f t="shared" si="6"/>
        <v>#DIV/0!</v>
      </c>
      <c r="F97" s="205">
        <f>SUM(D97-C97)</f>
        <v>0</v>
      </c>
    </row>
    <row r="98" spans="1:7" s="139" customFormat="1" ht="15.75" customHeight="1">
      <c r="A98" s="218"/>
      <c r="B98" s="223" t="s">
        <v>307</v>
      </c>
      <c r="C98" s="278">
        <f>C56+C64+C66+C72+C77+C81+C83+C88+C94</f>
        <v>21488.22334</v>
      </c>
      <c r="D98" s="278">
        <f>D56+D64+D66+D72+D77+D81+D83+D88+D94</f>
        <v>20949.75154</v>
      </c>
      <c r="E98" s="202">
        <f t="shared" si="6"/>
        <v>97.49410739324529</v>
      </c>
      <c r="F98" s="202">
        <f>SUM(D98-C98)</f>
        <v>-538.4717999999993</v>
      </c>
      <c r="G98" s="186"/>
    </row>
    <row r="99" spans="3:4" ht="0.75" customHeight="1">
      <c r="C99" s="226"/>
      <c r="D99" s="227"/>
    </row>
    <row r="100" spans="1:4" s="143" customFormat="1" ht="16.5" customHeight="1">
      <c r="A100" s="228" t="s">
        <v>308</v>
      </c>
      <c r="B100" s="228"/>
      <c r="C100" s="229"/>
      <c r="D100" s="229"/>
    </row>
    <row r="101" spans="1:3" s="143" customFormat="1" ht="20.25" customHeight="1">
      <c r="A101" s="230" t="s">
        <v>309</v>
      </c>
      <c r="B101" s="230"/>
      <c r="C101" s="143" t="s">
        <v>310</v>
      </c>
    </row>
    <row r="102" ht="13.5" customHeight="1">
      <c r="C102" s="264"/>
    </row>
    <row r="103" ht="5.25" customHeight="1"/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="70" zoomScaleSheetLayoutView="70" zoomScalePageLayoutView="0" workbookViewId="0" topLeftCell="A4">
      <selection activeCell="C51" sqref="C51"/>
    </sheetView>
  </sheetViews>
  <sheetFormatPr defaultColWidth="9.140625" defaultRowHeight="12.75"/>
  <cols>
    <col min="1" max="1" width="14.7109375" style="135" customWidth="1"/>
    <col min="2" max="2" width="57.57421875" style="136" customWidth="1"/>
    <col min="3" max="3" width="17.28125" style="137" customWidth="1"/>
    <col min="4" max="4" width="16.57421875" style="137" customWidth="1"/>
    <col min="5" max="5" width="10.28125" style="137" customWidth="1"/>
    <col min="6" max="6" width="12.140625" style="137" customWidth="1"/>
    <col min="7" max="7" width="15.421875" style="138" customWidth="1"/>
    <col min="8" max="8" width="12.00390625" style="138" customWidth="1"/>
    <col min="9" max="16384" width="9.140625" style="138" customWidth="1"/>
  </cols>
  <sheetData>
    <row r="1" spans="1:6" ht="12.75" customHeight="1">
      <c r="A1" s="469" t="s">
        <v>424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C5+C12+C14+C17+C20+C7</f>
        <v>1553.44</v>
      </c>
      <c r="D4" s="150">
        <f>D5+D12+D14+D17+D20+D7</f>
        <v>1746.58721</v>
      </c>
      <c r="E4" s="150">
        <f aca="true" t="shared" si="0" ref="E4:E51">SUM(D4/C4*100)</f>
        <v>112.43351593881965</v>
      </c>
      <c r="F4" s="150">
        <f aca="true" t="shared" si="1" ref="F4:F51">SUM(D4-C4)</f>
        <v>193.14720999999986</v>
      </c>
    </row>
    <row r="5" spans="1:6" s="139" customFormat="1" ht="15.75">
      <c r="A5" s="151">
        <v>1010000000</v>
      </c>
      <c r="B5" s="152" t="s">
        <v>146</v>
      </c>
      <c r="C5" s="150">
        <f>C6</f>
        <v>112.95</v>
      </c>
      <c r="D5" s="150">
        <f>D6</f>
        <v>147.58942</v>
      </c>
      <c r="E5" s="150">
        <f t="shared" si="0"/>
        <v>130.66792386011508</v>
      </c>
      <c r="F5" s="150">
        <f t="shared" si="1"/>
        <v>34.63941999999999</v>
      </c>
    </row>
    <row r="6" spans="1:6" ht="15.75">
      <c r="A6" s="153">
        <v>1010200001</v>
      </c>
      <c r="B6" s="154" t="s">
        <v>147</v>
      </c>
      <c r="C6" s="155">
        <v>112.95</v>
      </c>
      <c r="D6" s="156">
        <v>147.58942</v>
      </c>
      <c r="E6" s="155">
        <f t="shared" si="0"/>
        <v>130.66792386011508</v>
      </c>
      <c r="F6" s="155">
        <f t="shared" si="1"/>
        <v>34.63941999999999</v>
      </c>
    </row>
    <row r="7" spans="1:6" ht="31.5">
      <c r="A7" s="148">
        <v>1030000000</v>
      </c>
      <c r="B7" s="157" t="s">
        <v>148</v>
      </c>
      <c r="C7" s="150">
        <f>C8+C10+C9</f>
        <v>818.49</v>
      </c>
      <c r="D7" s="150">
        <f>D8+D10+D9+D11</f>
        <v>919.47469</v>
      </c>
      <c r="E7" s="150">
        <f t="shared" si="0"/>
        <v>112.33792593678604</v>
      </c>
      <c r="F7" s="150">
        <f t="shared" si="1"/>
        <v>100.98469</v>
      </c>
    </row>
    <row r="8" spans="1:6" ht="15.75">
      <c r="A8" s="153">
        <v>1030223001</v>
      </c>
      <c r="B8" s="154" t="s">
        <v>149</v>
      </c>
      <c r="C8" s="155">
        <v>305.3</v>
      </c>
      <c r="D8" s="156">
        <v>424.4843</v>
      </c>
      <c r="E8" s="155">
        <f t="shared" si="0"/>
        <v>139.03842122502456</v>
      </c>
      <c r="F8" s="155">
        <f t="shared" si="1"/>
        <v>119.18430000000001</v>
      </c>
    </row>
    <row r="9" spans="1:6" ht="15.75">
      <c r="A9" s="153">
        <v>1030224001</v>
      </c>
      <c r="B9" s="154" t="s">
        <v>150</v>
      </c>
      <c r="C9" s="155">
        <v>3.27</v>
      </c>
      <c r="D9" s="156">
        <v>2.98529</v>
      </c>
      <c r="E9" s="155">
        <f t="shared" si="0"/>
        <v>91.29327217125382</v>
      </c>
      <c r="F9" s="155">
        <f t="shared" si="1"/>
        <v>-0.28471</v>
      </c>
    </row>
    <row r="10" spans="1:6" ht="15.75">
      <c r="A10" s="153">
        <v>1030225001</v>
      </c>
      <c r="B10" s="154" t="s">
        <v>151</v>
      </c>
      <c r="C10" s="155">
        <v>509.92</v>
      </c>
      <c r="D10" s="156">
        <v>564.39058</v>
      </c>
      <c r="E10" s="155">
        <f t="shared" si="0"/>
        <v>110.6821815186696</v>
      </c>
      <c r="F10" s="155">
        <f t="shared" si="1"/>
        <v>54.470579999999984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-72.38548</v>
      </c>
      <c r="E11" s="155" t="e">
        <f t="shared" si="0"/>
        <v>#DIV/0!</v>
      </c>
      <c r="F11" s="155">
        <f t="shared" si="1"/>
        <v>-72.38548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35</v>
      </c>
      <c r="D12" s="150">
        <f>SUM(D13:D13)</f>
        <v>6.28594</v>
      </c>
      <c r="E12" s="150">
        <f t="shared" si="0"/>
        <v>17.95982857142857</v>
      </c>
      <c r="F12" s="150">
        <f t="shared" si="1"/>
        <v>-28.71406</v>
      </c>
    </row>
    <row r="13" spans="1:6" ht="15.75" customHeight="1">
      <c r="A13" s="153">
        <v>1050300000</v>
      </c>
      <c r="B13" s="158" t="s">
        <v>156</v>
      </c>
      <c r="C13" s="159">
        <v>35</v>
      </c>
      <c r="D13" s="156">
        <v>6.28594</v>
      </c>
      <c r="E13" s="155">
        <f t="shared" si="0"/>
        <v>17.95982857142857</v>
      </c>
      <c r="F13" s="155">
        <f t="shared" si="1"/>
        <v>-28.71406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579</v>
      </c>
      <c r="D14" s="150">
        <f>D15+D16</f>
        <v>669.43716</v>
      </c>
      <c r="E14" s="150">
        <f t="shared" si="0"/>
        <v>115.61954404145077</v>
      </c>
      <c r="F14" s="150">
        <f t="shared" si="1"/>
        <v>90.43715999999995</v>
      </c>
    </row>
    <row r="15" spans="1:6" s="139" customFormat="1" ht="15.75" customHeight="1">
      <c r="A15" s="153">
        <v>1060100000</v>
      </c>
      <c r="B15" s="158" t="s">
        <v>159</v>
      </c>
      <c r="C15" s="155">
        <v>197</v>
      </c>
      <c r="D15" s="156">
        <v>239.03048</v>
      </c>
      <c r="E15" s="155">
        <f t="shared" si="0"/>
        <v>121.335269035533</v>
      </c>
      <c r="F15" s="155">
        <f t="shared" si="1"/>
        <v>42.03048000000001</v>
      </c>
    </row>
    <row r="16" spans="1:6" ht="15.75" customHeight="1">
      <c r="A16" s="153">
        <v>1060600000</v>
      </c>
      <c r="B16" s="158" t="s">
        <v>162</v>
      </c>
      <c r="C16" s="155">
        <v>382</v>
      </c>
      <c r="D16" s="156">
        <v>430.40668</v>
      </c>
      <c r="E16" s="155">
        <f t="shared" si="0"/>
        <v>112.6719057591623</v>
      </c>
      <c r="F16" s="155">
        <f t="shared" si="1"/>
        <v>48.406679999999994</v>
      </c>
    </row>
    <row r="17" spans="1:6" s="139" customFormat="1" ht="15.75">
      <c r="A17" s="148">
        <v>1080000000</v>
      </c>
      <c r="B17" s="149" t="s">
        <v>165</v>
      </c>
      <c r="C17" s="150">
        <f>C18</f>
        <v>8</v>
      </c>
      <c r="D17" s="150">
        <f>D18</f>
        <v>3.8</v>
      </c>
      <c r="E17" s="150">
        <f t="shared" si="0"/>
        <v>47.5</v>
      </c>
      <c r="F17" s="150">
        <f t="shared" si="1"/>
        <v>-4.2</v>
      </c>
    </row>
    <row r="18" spans="1:6" ht="17.25" customHeight="1">
      <c r="A18" s="153">
        <v>1080400001</v>
      </c>
      <c r="B18" s="154" t="s">
        <v>167</v>
      </c>
      <c r="C18" s="155">
        <v>8</v>
      </c>
      <c r="D18" s="156">
        <v>3.8</v>
      </c>
      <c r="E18" s="155">
        <f t="shared" si="0"/>
        <v>47.5</v>
      </c>
      <c r="F18" s="155">
        <f t="shared" si="1"/>
        <v>-4.2</v>
      </c>
    </row>
    <row r="19" spans="1:6" ht="15.7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33.75" customHeight="1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22.5" customHeight="1" hidden="1">
      <c r="A21" s="153">
        <v>1090100000</v>
      </c>
      <c r="B21" s="154" t="s">
        <v>170</v>
      </c>
      <c r="C21" s="155">
        <v>0</v>
      </c>
      <c r="D21" s="156">
        <v>0</v>
      </c>
      <c r="E21" s="155" t="e">
        <f t="shared" si="0"/>
        <v>#DIV/0!</v>
      </c>
      <c r="F21" s="155">
        <f t="shared" si="1"/>
        <v>0</v>
      </c>
    </row>
    <row r="22" spans="1:6" s="140" customFormat="1" ht="29.25" customHeight="1" hidden="1">
      <c r="A22" s="153">
        <v>1090400000</v>
      </c>
      <c r="B22" s="154" t="s">
        <v>341</v>
      </c>
      <c r="C22" s="155">
        <v>0</v>
      </c>
      <c r="D22" s="156">
        <v>0</v>
      </c>
      <c r="E22" s="155" t="e">
        <f t="shared" si="0"/>
        <v>#DIV/0!</v>
      </c>
      <c r="F22" s="155">
        <f t="shared" si="1"/>
        <v>0</v>
      </c>
    </row>
    <row r="23" spans="1:6" s="140" customFormat="1" ht="26.25" customHeight="1" hidden="1">
      <c r="A23" s="153">
        <v>1090600000</v>
      </c>
      <c r="B23" s="154" t="s">
        <v>172</v>
      </c>
      <c r="C23" s="155">
        <v>0</v>
      </c>
      <c r="D23" s="156">
        <v>0</v>
      </c>
      <c r="E23" s="155" t="e">
        <f t="shared" si="0"/>
        <v>#DIV/0!</v>
      </c>
      <c r="F23" s="155">
        <f t="shared" si="1"/>
        <v>0</v>
      </c>
    </row>
    <row r="24" spans="1:6" s="140" customFormat="1" ht="18" customHeight="1" hidden="1">
      <c r="A24" s="153">
        <v>1090700000</v>
      </c>
      <c r="B24" s="154" t="s">
        <v>356</v>
      </c>
      <c r="C24" s="155">
        <v>0</v>
      </c>
      <c r="D24" s="156">
        <v>0</v>
      </c>
      <c r="E24" s="155" t="e">
        <f t="shared" si="0"/>
        <v>#DIV/0!</v>
      </c>
      <c r="F24" s="155">
        <f t="shared" si="1"/>
        <v>0</v>
      </c>
    </row>
    <row r="25" spans="1:6" s="139" customFormat="1" ht="15.75" customHeight="1">
      <c r="A25" s="148"/>
      <c r="B25" s="149" t="s">
        <v>17</v>
      </c>
      <c r="C25" s="150">
        <f>C26+C29+C32+C37+C35</f>
        <v>627</v>
      </c>
      <c r="D25" s="150">
        <f>D26+D29+D32+D37+D35</f>
        <v>777.59163</v>
      </c>
      <c r="E25" s="150">
        <f t="shared" si="0"/>
        <v>124.01780382775121</v>
      </c>
      <c r="F25" s="150">
        <f t="shared" si="1"/>
        <v>150.59163</v>
      </c>
    </row>
    <row r="26" spans="1:6" s="139" customFormat="1" ht="30" customHeight="1">
      <c r="A26" s="151">
        <v>1110000000</v>
      </c>
      <c r="B26" s="160" t="s">
        <v>174</v>
      </c>
      <c r="C26" s="150">
        <f>C27+C28</f>
        <v>527</v>
      </c>
      <c r="D26" s="150">
        <f>D27+D28</f>
        <v>623.86346</v>
      </c>
      <c r="E26" s="150">
        <f t="shared" si="0"/>
        <v>118.3801631878558</v>
      </c>
      <c r="F26" s="150">
        <f t="shared" si="1"/>
        <v>96.86346000000003</v>
      </c>
    </row>
    <row r="27" spans="1:6" ht="15.75">
      <c r="A27" s="162">
        <v>1110502510</v>
      </c>
      <c r="B27" s="163" t="s">
        <v>177</v>
      </c>
      <c r="C27" s="159">
        <v>450</v>
      </c>
      <c r="D27" s="156">
        <v>527.30944</v>
      </c>
      <c r="E27" s="155">
        <f t="shared" si="0"/>
        <v>117.17987555555555</v>
      </c>
      <c r="F27" s="155">
        <f t="shared" si="1"/>
        <v>77.30944</v>
      </c>
    </row>
    <row r="28" spans="1:6" ht="18" customHeight="1">
      <c r="A28" s="153">
        <v>1110503505</v>
      </c>
      <c r="B28" s="158" t="s">
        <v>178</v>
      </c>
      <c r="C28" s="159">
        <v>77</v>
      </c>
      <c r="D28" s="156">
        <v>96.55402</v>
      </c>
      <c r="E28" s="155">
        <f t="shared" si="0"/>
        <v>125.39483116883116</v>
      </c>
      <c r="F28" s="155">
        <f t="shared" si="1"/>
        <v>19.554019999999994</v>
      </c>
    </row>
    <row r="29" spans="1:6" s="140" customFormat="1" ht="18" customHeight="1">
      <c r="A29" s="151">
        <v>1130000000</v>
      </c>
      <c r="B29" s="160" t="s">
        <v>185</v>
      </c>
      <c r="C29" s="150">
        <f>C30+C31</f>
        <v>100</v>
      </c>
      <c r="D29" s="150">
        <f>D30+D31</f>
        <v>131.17616</v>
      </c>
      <c r="E29" s="150">
        <f t="shared" si="0"/>
        <v>131.17616</v>
      </c>
      <c r="F29" s="150">
        <f t="shared" si="1"/>
        <v>31.17616000000001</v>
      </c>
    </row>
    <row r="30" spans="1:6" ht="15.75" customHeight="1">
      <c r="A30" s="153">
        <v>1130206510</v>
      </c>
      <c r="B30" s="154" t="s">
        <v>357</v>
      </c>
      <c r="C30" s="155">
        <v>100</v>
      </c>
      <c r="D30" s="286">
        <v>131.17616</v>
      </c>
      <c r="E30" s="155">
        <f t="shared" si="0"/>
        <v>131.17616</v>
      </c>
      <c r="F30" s="155">
        <f t="shared" si="1"/>
        <v>31.17616000000001</v>
      </c>
    </row>
    <row r="31" spans="1:6" ht="17.25" customHeight="1">
      <c r="A31" s="153">
        <v>1130299510</v>
      </c>
      <c r="B31" s="154" t="s">
        <v>358</v>
      </c>
      <c r="C31" s="155">
        <v>0</v>
      </c>
      <c r="D31" s="286">
        <v>0</v>
      </c>
      <c r="E31" s="155" t="e">
        <f t="shared" si="0"/>
        <v>#DIV/0!</v>
      </c>
      <c r="F31" s="155">
        <f t="shared" si="1"/>
        <v>0</v>
      </c>
    </row>
    <row r="32" spans="1:6" ht="18" customHeight="1" hidden="1">
      <c r="A32" s="164">
        <v>1140000000</v>
      </c>
      <c r="B32" s="165" t="s">
        <v>188</v>
      </c>
      <c r="C32" s="150">
        <f>C33+C34</f>
        <v>0</v>
      </c>
      <c r="D32" s="150">
        <f>D33+D34</f>
        <v>0</v>
      </c>
      <c r="E32" s="150" t="e">
        <f t="shared" si="0"/>
        <v>#DIV/0!</v>
      </c>
      <c r="F32" s="150">
        <f t="shared" si="1"/>
        <v>0</v>
      </c>
    </row>
    <row r="33" spans="1:6" ht="18" customHeight="1" hidden="1">
      <c r="A33" s="162">
        <v>1140200000</v>
      </c>
      <c r="B33" s="166" t="s">
        <v>324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21.75" customHeight="1" hidden="1">
      <c r="A34" s="153">
        <v>1140600000</v>
      </c>
      <c r="B34" s="154" t="s">
        <v>190</v>
      </c>
      <c r="C34" s="155">
        <v>0</v>
      </c>
      <c r="D34" s="156">
        <v>0</v>
      </c>
      <c r="E34" s="155" t="e">
        <f t="shared" si="0"/>
        <v>#DIV/0!</v>
      </c>
      <c r="F34" s="155">
        <f t="shared" si="1"/>
        <v>0</v>
      </c>
    </row>
    <row r="35" spans="1:6" ht="15.75" customHeight="1">
      <c r="A35" s="148">
        <v>1160000000</v>
      </c>
      <c r="B35" s="157" t="s">
        <v>325</v>
      </c>
      <c r="C35" s="161">
        <f>C36</f>
        <v>0</v>
      </c>
      <c r="D35" s="161">
        <f>D36</f>
        <v>22.55201</v>
      </c>
      <c r="E35" s="150" t="e">
        <f t="shared" si="0"/>
        <v>#DIV/0!</v>
      </c>
      <c r="F35" s="150">
        <f t="shared" si="1"/>
        <v>22.55201</v>
      </c>
    </row>
    <row r="36" spans="1:6" ht="24.75" customHeight="1">
      <c r="A36" s="153">
        <v>1160709010</v>
      </c>
      <c r="B36" s="154" t="s">
        <v>342</v>
      </c>
      <c r="C36" s="155">
        <v>0</v>
      </c>
      <c r="D36" s="156">
        <v>22.55201</v>
      </c>
      <c r="E36" s="155" t="e">
        <f t="shared" si="0"/>
        <v>#DIV/0!</v>
      </c>
      <c r="F36" s="155">
        <f t="shared" si="1"/>
        <v>22.55201</v>
      </c>
    </row>
    <row r="37" spans="1:6" ht="15.75" customHeight="1">
      <c r="A37" s="148"/>
      <c r="B37" s="157" t="s">
        <v>198</v>
      </c>
      <c r="C37" s="150">
        <f>C38+C39</f>
        <v>0</v>
      </c>
      <c r="D37" s="150">
        <f>D38+D39</f>
        <v>0</v>
      </c>
      <c r="E37" s="150" t="e">
        <f t="shared" si="0"/>
        <v>#DIV/0!</v>
      </c>
      <c r="F37" s="150">
        <f t="shared" si="1"/>
        <v>0</v>
      </c>
    </row>
    <row r="38" spans="1:6" ht="16.5" customHeight="1">
      <c r="A38" s="153">
        <v>1170105005</v>
      </c>
      <c r="B38" s="154" t="s">
        <v>199</v>
      </c>
      <c r="C38" s="155">
        <v>0</v>
      </c>
      <c r="D38" s="155">
        <v>0</v>
      </c>
      <c r="E38" s="155" t="e">
        <f t="shared" si="0"/>
        <v>#DIV/0!</v>
      </c>
      <c r="F38" s="155">
        <f t="shared" si="1"/>
        <v>0</v>
      </c>
    </row>
    <row r="39" spans="1:6" ht="16.5" customHeight="1" hidden="1">
      <c r="A39" s="153">
        <v>1170505005</v>
      </c>
      <c r="B39" s="158" t="s">
        <v>200</v>
      </c>
      <c r="C39" s="155">
        <v>0</v>
      </c>
      <c r="D39" s="156">
        <v>0</v>
      </c>
      <c r="E39" s="155" t="e">
        <f t="shared" si="0"/>
        <v>#DIV/0!</v>
      </c>
      <c r="F39" s="155">
        <f t="shared" si="1"/>
        <v>0</v>
      </c>
    </row>
    <row r="40" spans="1:6" s="139" customFormat="1" ht="15" customHeight="1">
      <c r="A40" s="148">
        <v>1000000000</v>
      </c>
      <c r="B40" s="149" t="s">
        <v>26</v>
      </c>
      <c r="C40" s="168">
        <f>SUM(C4,C25)</f>
        <v>2180.44</v>
      </c>
      <c r="D40" s="168">
        <f>D4+D25</f>
        <v>2524.17884</v>
      </c>
      <c r="E40" s="150">
        <f t="shared" si="0"/>
        <v>115.76465484030747</v>
      </c>
      <c r="F40" s="150">
        <f t="shared" si="1"/>
        <v>343.73884</v>
      </c>
    </row>
    <row r="41" spans="1:7" s="139" customFormat="1" ht="15.75">
      <c r="A41" s="148">
        <v>2000000000</v>
      </c>
      <c r="B41" s="149" t="s">
        <v>201</v>
      </c>
      <c r="C41" s="240">
        <f>C42+C43+C44+C45+C46+C48</f>
        <v>6896.707350000001</v>
      </c>
      <c r="D41" s="240">
        <f>D42+D43+D44+D45+D46+D48+D49</f>
        <v>6659.22023</v>
      </c>
      <c r="E41" s="150">
        <f t="shared" si="0"/>
        <v>96.55651446483371</v>
      </c>
      <c r="F41" s="150">
        <f t="shared" si="1"/>
        <v>-237.4871200000007</v>
      </c>
      <c r="G41" s="170"/>
    </row>
    <row r="42" spans="1:6" ht="15.75">
      <c r="A42" s="162">
        <v>2021000000</v>
      </c>
      <c r="B42" s="163" t="s">
        <v>202</v>
      </c>
      <c r="C42" s="235">
        <v>2494.2</v>
      </c>
      <c r="D42" s="235">
        <v>2494.2</v>
      </c>
      <c r="E42" s="155">
        <f t="shared" si="0"/>
        <v>100</v>
      </c>
      <c r="F42" s="155">
        <f t="shared" si="1"/>
        <v>0</v>
      </c>
    </row>
    <row r="43" spans="1:6" ht="15.75" customHeight="1">
      <c r="A43" s="162">
        <v>2021500200</v>
      </c>
      <c r="B43" s="163" t="s">
        <v>205</v>
      </c>
      <c r="C43" s="235"/>
      <c r="D43" s="172">
        <v>0</v>
      </c>
      <c r="E43" s="155" t="e">
        <f t="shared" si="0"/>
        <v>#DIV/0!</v>
      </c>
      <c r="F43" s="155">
        <f t="shared" si="1"/>
        <v>0</v>
      </c>
    </row>
    <row r="44" spans="1:6" ht="15.75">
      <c r="A44" s="162">
        <v>2022000000</v>
      </c>
      <c r="B44" s="163" t="s">
        <v>206</v>
      </c>
      <c r="C44" s="235">
        <v>3552.50923</v>
      </c>
      <c r="D44" s="156">
        <v>3552.50923</v>
      </c>
      <c r="E44" s="155">
        <f t="shared" si="0"/>
        <v>100</v>
      </c>
      <c r="F44" s="155">
        <f t="shared" si="1"/>
        <v>0</v>
      </c>
    </row>
    <row r="45" spans="1:6" ht="18" customHeight="1">
      <c r="A45" s="162">
        <v>2023000000</v>
      </c>
      <c r="B45" s="163" t="s">
        <v>207</v>
      </c>
      <c r="C45" s="159">
        <v>110.166</v>
      </c>
      <c r="D45" s="174">
        <v>110.166</v>
      </c>
      <c r="E45" s="155">
        <f t="shared" si="0"/>
        <v>100</v>
      </c>
      <c r="F45" s="155">
        <f t="shared" si="1"/>
        <v>0</v>
      </c>
    </row>
    <row r="46" spans="1:6" ht="17.25" customHeight="1">
      <c r="A46" s="162">
        <v>2020400000</v>
      </c>
      <c r="B46" s="163" t="s">
        <v>102</v>
      </c>
      <c r="C46" s="159">
        <v>383.38762</v>
      </c>
      <c r="D46" s="175">
        <v>273.895</v>
      </c>
      <c r="E46" s="155">
        <f t="shared" si="0"/>
        <v>71.44075231224211</v>
      </c>
      <c r="F46" s="155">
        <f t="shared" si="1"/>
        <v>-109.49262000000004</v>
      </c>
    </row>
    <row r="47" spans="1:6" ht="17.25" customHeight="1">
      <c r="A47" s="162">
        <v>2020900000</v>
      </c>
      <c r="B47" s="166" t="s">
        <v>329</v>
      </c>
      <c r="C47" s="159">
        <v>0</v>
      </c>
      <c r="D47" s="175">
        <v>0</v>
      </c>
      <c r="E47" s="155" t="e">
        <f t="shared" si="0"/>
        <v>#DIV/0!</v>
      </c>
      <c r="F47" s="155">
        <f t="shared" si="1"/>
        <v>0</v>
      </c>
    </row>
    <row r="48" spans="1:6" ht="19.5" customHeight="1">
      <c r="A48" s="162">
        <v>2070500010</v>
      </c>
      <c r="B48" s="154" t="s">
        <v>355</v>
      </c>
      <c r="C48" s="159">
        <v>356.4445</v>
      </c>
      <c r="D48" s="175">
        <v>228.45</v>
      </c>
      <c r="E48" s="155">
        <f t="shared" si="0"/>
        <v>64.09132417529236</v>
      </c>
      <c r="F48" s="155">
        <f t="shared" si="1"/>
        <v>-127.99450000000002</v>
      </c>
    </row>
    <row r="49" spans="1:6" ht="19.5" customHeight="1">
      <c r="A49" s="153">
        <v>2190500005</v>
      </c>
      <c r="B49" s="158" t="s">
        <v>209</v>
      </c>
      <c r="C49" s="159">
        <v>0</v>
      </c>
      <c r="D49" s="175">
        <v>0</v>
      </c>
      <c r="E49" s="155" t="e">
        <f t="shared" si="0"/>
        <v>#DIV/0!</v>
      </c>
      <c r="F49" s="155">
        <f t="shared" si="1"/>
        <v>0</v>
      </c>
    </row>
    <row r="50" spans="1:6" s="139" customFormat="1" ht="0.75" customHeight="1" hidden="1">
      <c r="A50" s="148">
        <v>3000000000</v>
      </c>
      <c r="B50" s="157" t="s">
        <v>210</v>
      </c>
      <c r="C50" s="260">
        <v>0</v>
      </c>
      <c r="D50" s="161">
        <v>0</v>
      </c>
      <c r="E50" s="150" t="e">
        <f t="shared" si="0"/>
        <v>#DIV/0!</v>
      </c>
      <c r="F50" s="150">
        <f t="shared" si="1"/>
        <v>0</v>
      </c>
    </row>
    <row r="51" spans="1:8" s="139" customFormat="1" ht="19.5" customHeight="1">
      <c r="A51" s="148"/>
      <c r="B51" s="149" t="s">
        <v>211</v>
      </c>
      <c r="C51" s="288">
        <f>C40+C41</f>
        <v>9077.147350000001</v>
      </c>
      <c r="D51" s="288">
        <f>D40+D41</f>
        <v>9183.39907</v>
      </c>
      <c r="E51" s="270">
        <f t="shared" si="0"/>
        <v>101.17054087482668</v>
      </c>
      <c r="F51" s="270">
        <f t="shared" si="1"/>
        <v>106.25171999999839</v>
      </c>
      <c r="G51" s="186">
        <f>7662.29943-C51</f>
        <v>-1414.847920000001</v>
      </c>
      <c r="H51" s="186">
        <f>1130.4405-D51</f>
        <v>-8052.95857</v>
      </c>
    </row>
    <row r="52" spans="1:6" s="139" customFormat="1" ht="15.75">
      <c r="A52" s="148"/>
      <c r="B52" s="188" t="s">
        <v>212</v>
      </c>
      <c r="C52" s="270">
        <f>C51-C98</f>
        <v>-580.304619999999</v>
      </c>
      <c r="D52" s="270">
        <f>D51-D98</f>
        <v>-235.73826000000008</v>
      </c>
      <c r="E52" s="289"/>
      <c r="F52" s="289"/>
    </row>
    <row r="53" spans="1:6" ht="15.75">
      <c r="A53" s="191"/>
      <c r="B53" s="192"/>
      <c r="C53" s="193"/>
      <c r="D53" s="193"/>
      <c r="E53" s="194"/>
      <c r="F53" s="243"/>
    </row>
    <row r="54" spans="1:6" ht="45" customHeight="1">
      <c r="A54" s="196" t="s">
        <v>141</v>
      </c>
      <c r="B54" s="196" t="s">
        <v>213</v>
      </c>
      <c r="C54" s="145" t="s">
        <v>143</v>
      </c>
      <c r="D54" s="146" t="s">
        <v>426</v>
      </c>
      <c r="E54" s="145" t="s">
        <v>144</v>
      </c>
      <c r="F54" s="147" t="s">
        <v>145</v>
      </c>
    </row>
    <row r="55" spans="1:6" ht="15.75">
      <c r="A55" s="245">
        <v>1</v>
      </c>
      <c r="B55" s="196">
        <v>2</v>
      </c>
      <c r="C55" s="199">
        <v>3</v>
      </c>
      <c r="D55" s="199">
        <v>4</v>
      </c>
      <c r="E55" s="199">
        <v>5</v>
      </c>
      <c r="F55" s="199">
        <v>6</v>
      </c>
    </row>
    <row r="56" spans="1:6" s="139" customFormat="1" ht="18" customHeight="1">
      <c r="A56" s="200" t="s">
        <v>33</v>
      </c>
      <c r="B56" s="201" t="s">
        <v>214</v>
      </c>
      <c r="C56" s="281">
        <f>C57+C58+C59+C60+C61+C63+C62</f>
        <v>1397.6340000000002</v>
      </c>
      <c r="D56" s="290">
        <f>D57+D58+D59+D60+D61+D63+D62</f>
        <v>1391.7275800000002</v>
      </c>
      <c r="E56" s="202">
        <f>SUM(D56/C56*100)</f>
        <v>99.57739866087975</v>
      </c>
      <c r="F56" s="202">
        <f>SUM(D56-C56)</f>
        <v>-5.9064200000000255</v>
      </c>
    </row>
    <row r="57" spans="1:6" s="139" customFormat="1" ht="20.25" customHeight="1" hidden="1">
      <c r="A57" s="203" t="s">
        <v>215</v>
      </c>
      <c r="B57" s="204" t="s">
        <v>216</v>
      </c>
      <c r="C57" s="283"/>
      <c r="D57" s="283"/>
      <c r="E57" s="205"/>
      <c r="F57" s="205"/>
    </row>
    <row r="58" spans="1:6" ht="18.75" customHeight="1">
      <c r="A58" s="203" t="s">
        <v>217</v>
      </c>
      <c r="B58" s="206" t="s">
        <v>218</v>
      </c>
      <c r="C58" s="283">
        <v>1360.4</v>
      </c>
      <c r="D58" s="283">
        <v>1355.49358</v>
      </c>
      <c r="E58" s="205">
        <f>SUM(D58/C58*100)</f>
        <v>99.6393399000294</v>
      </c>
      <c r="F58" s="205">
        <f aca="true" t="shared" si="2" ref="F58:F90">SUM(D58-C58)</f>
        <v>-4.9064200000000255</v>
      </c>
    </row>
    <row r="59" spans="1:6" ht="0.75" customHeight="1" hidden="1">
      <c r="A59" s="203" t="s">
        <v>219</v>
      </c>
      <c r="B59" s="206" t="s">
        <v>220</v>
      </c>
      <c r="C59" s="283"/>
      <c r="D59" s="283"/>
      <c r="E59" s="205"/>
      <c r="F59" s="205">
        <f t="shared" si="2"/>
        <v>0</v>
      </c>
    </row>
    <row r="60" spans="1:6" ht="31.5" customHeight="1" hidden="1">
      <c r="A60" s="203" t="s">
        <v>221</v>
      </c>
      <c r="B60" s="206" t="s">
        <v>222</v>
      </c>
      <c r="C60" s="283"/>
      <c r="D60" s="283"/>
      <c r="E60" s="205" t="e">
        <f aca="true" t="shared" si="3" ref="E60:E87">SUM(D60/C60*100)</f>
        <v>#DIV/0!</v>
      </c>
      <c r="F60" s="205">
        <f t="shared" si="2"/>
        <v>0</v>
      </c>
    </row>
    <row r="61" spans="1:6" ht="15" customHeight="1">
      <c r="A61" s="203" t="s">
        <v>223</v>
      </c>
      <c r="B61" s="206" t="s">
        <v>224</v>
      </c>
      <c r="C61" s="283">
        <v>8.9</v>
      </c>
      <c r="D61" s="283">
        <v>8.9</v>
      </c>
      <c r="E61" s="205">
        <f t="shared" si="3"/>
        <v>100</v>
      </c>
      <c r="F61" s="205">
        <f t="shared" si="2"/>
        <v>0</v>
      </c>
    </row>
    <row r="62" spans="1:6" ht="18" customHeight="1">
      <c r="A62" s="203" t="s">
        <v>225</v>
      </c>
      <c r="B62" s="206" t="s">
        <v>226</v>
      </c>
      <c r="C62" s="293">
        <v>1</v>
      </c>
      <c r="D62" s="293">
        <v>0</v>
      </c>
      <c r="E62" s="205">
        <f t="shared" si="3"/>
        <v>0</v>
      </c>
      <c r="F62" s="205">
        <f t="shared" si="2"/>
        <v>-1</v>
      </c>
    </row>
    <row r="63" spans="1:6" ht="15.75" customHeight="1">
      <c r="A63" s="203" t="s">
        <v>227</v>
      </c>
      <c r="B63" s="206" t="s">
        <v>228</v>
      </c>
      <c r="C63" s="283">
        <v>27.334</v>
      </c>
      <c r="D63" s="283">
        <v>27.334</v>
      </c>
      <c r="E63" s="205">
        <f t="shared" si="3"/>
        <v>100</v>
      </c>
      <c r="F63" s="205">
        <f t="shared" si="2"/>
        <v>0</v>
      </c>
    </row>
    <row r="64" spans="1:6" s="139" customFormat="1" ht="15.75">
      <c r="A64" s="208" t="s">
        <v>35</v>
      </c>
      <c r="B64" s="209" t="s">
        <v>229</v>
      </c>
      <c r="C64" s="281">
        <f>C65</f>
        <v>110.166</v>
      </c>
      <c r="D64" s="281">
        <f>D65</f>
        <v>110.166</v>
      </c>
      <c r="E64" s="202">
        <f t="shared" si="3"/>
        <v>100</v>
      </c>
      <c r="F64" s="202">
        <f t="shared" si="2"/>
        <v>0</v>
      </c>
    </row>
    <row r="65" spans="1:6" ht="15.75">
      <c r="A65" s="210" t="s">
        <v>230</v>
      </c>
      <c r="B65" s="211" t="s">
        <v>231</v>
      </c>
      <c r="C65" s="283">
        <v>110.166</v>
      </c>
      <c r="D65" s="283">
        <v>110.166</v>
      </c>
      <c r="E65" s="205">
        <f t="shared" si="3"/>
        <v>100</v>
      </c>
      <c r="F65" s="205">
        <f t="shared" si="2"/>
        <v>0</v>
      </c>
    </row>
    <row r="66" spans="1:6" s="139" customFormat="1" ht="15" customHeight="1">
      <c r="A66" s="200" t="s">
        <v>37</v>
      </c>
      <c r="B66" s="201" t="s">
        <v>232</v>
      </c>
      <c r="C66" s="281">
        <f>C69+C70+C71</f>
        <v>19.06148</v>
      </c>
      <c r="D66" s="281">
        <f>D69+D70+D71</f>
        <v>19.06148</v>
      </c>
      <c r="E66" s="202">
        <f t="shared" si="3"/>
        <v>100</v>
      </c>
      <c r="F66" s="202">
        <f t="shared" si="2"/>
        <v>0</v>
      </c>
    </row>
    <row r="67" spans="1:6" ht="15.75" hidden="1">
      <c r="A67" s="203" t="s">
        <v>233</v>
      </c>
      <c r="B67" s="206" t="s">
        <v>234</v>
      </c>
      <c r="C67" s="283"/>
      <c r="D67" s="283"/>
      <c r="E67" s="202" t="e">
        <f t="shared" si="3"/>
        <v>#DIV/0!</v>
      </c>
      <c r="F67" s="202">
        <f t="shared" si="2"/>
        <v>0</v>
      </c>
    </row>
    <row r="68" spans="1:6" ht="15.75" hidden="1">
      <c r="A68" s="212" t="s">
        <v>235</v>
      </c>
      <c r="B68" s="206" t="s">
        <v>317</v>
      </c>
      <c r="C68" s="283"/>
      <c r="D68" s="283"/>
      <c r="E68" s="202" t="e">
        <f t="shared" si="3"/>
        <v>#DIV/0!</v>
      </c>
      <c r="F68" s="202">
        <f t="shared" si="2"/>
        <v>0</v>
      </c>
    </row>
    <row r="69" spans="1:6" ht="17.25" customHeight="1">
      <c r="A69" s="213" t="s">
        <v>237</v>
      </c>
      <c r="B69" s="214" t="s">
        <v>238</v>
      </c>
      <c r="C69" s="283">
        <v>2.81148</v>
      </c>
      <c r="D69" s="283">
        <v>2.81148</v>
      </c>
      <c r="E69" s="202">
        <f t="shared" si="3"/>
        <v>100</v>
      </c>
      <c r="F69" s="202">
        <f t="shared" si="2"/>
        <v>0</v>
      </c>
    </row>
    <row r="70" spans="1:6" ht="15.75" customHeight="1">
      <c r="A70" s="213" t="s">
        <v>239</v>
      </c>
      <c r="B70" s="214" t="s">
        <v>240</v>
      </c>
      <c r="C70" s="283">
        <v>14.25</v>
      </c>
      <c r="D70" s="283">
        <v>14.25</v>
      </c>
      <c r="E70" s="202">
        <f t="shared" si="3"/>
        <v>100</v>
      </c>
      <c r="F70" s="202">
        <f t="shared" si="2"/>
        <v>0</v>
      </c>
    </row>
    <row r="71" spans="1:6" ht="15.75" customHeight="1">
      <c r="A71" s="213" t="s">
        <v>241</v>
      </c>
      <c r="B71" s="214" t="s">
        <v>345</v>
      </c>
      <c r="C71" s="283">
        <v>2</v>
      </c>
      <c r="D71" s="283">
        <v>2</v>
      </c>
      <c r="E71" s="202">
        <f t="shared" si="3"/>
        <v>100</v>
      </c>
      <c r="F71" s="202">
        <f t="shared" si="2"/>
        <v>0</v>
      </c>
    </row>
    <row r="72" spans="1:6" s="139" customFormat="1" ht="18.75" customHeight="1">
      <c r="A72" s="200" t="s">
        <v>39</v>
      </c>
      <c r="B72" s="201" t="s">
        <v>243</v>
      </c>
      <c r="C72" s="251">
        <f>SUM(C73:C77)</f>
        <v>4196.02625</v>
      </c>
      <c r="D72" s="251">
        <f>SUM(D73:D77)</f>
        <v>4080.21496</v>
      </c>
      <c r="E72" s="202">
        <f t="shared" si="3"/>
        <v>97.23997699013441</v>
      </c>
      <c r="F72" s="202">
        <f t="shared" si="2"/>
        <v>-115.8112900000001</v>
      </c>
    </row>
    <row r="73" spans="1:6" ht="15" customHeight="1">
      <c r="A73" s="203" t="s">
        <v>246</v>
      </c>
      <c r="B73" s="206" t="s">
        <v>319</v>
      </c>
      <c r="C73" s="284"/>
      <c r="D73" s="283">
        <v>0</v>
      </c>
      <c r="E73" s="205" t="e">
        <f t="shared" si="3"/>
        <v>#DIV/0!</v>
      </c>
      <c r="F73" s="205">
        <f t="shared" si="2"/>
        <v>0</v>
      </c>
    </row>
    <row r="74" spans="1:7" s="139" customFormat="1" ht="17.25" customHeight="1">
      <c r="A74" s="203" t="s">
        <v>248</v>
      </c>
      <c r="B74" s="206" t="s">
        <v>320</v>
      </c>
      <c r="C74" s="284">
        <v>0</v>
      </c>
      <c r="D74" s="283">
        <v>0</v>
      </c>
      <c r="E74" s="205" t="e">
        <f t="shared" si="3"/>
        <v>#DIV/0!</v>
      </c>
      <c r="F74" s="205">
        <f t="shared" si="2"/>
        <v>0</v>
      </c>
      <c r="G74" s="142"/>
    </row>
    <row r="75" spans="1:7" s="139" customFormat="1" ht="15" customHeight="1" hidden="1">
      <c r="A75" s="203" t="s">
        <v>248</v>
      </c>
      <c r="B75" s="206" t="s">
        <v>320</v>
      </c>
      <c r="C75" s="284">
        <v>0</v>
      </c>
      <c r="D75" s="283">
        <v>0</v>
      </c>
      <c r="E75" s="205" t="e">
        <f t="shared" si="3"/>
        <v>#DIV/0!</v>
      </c>
      <c r="F75" s="205">
        <f t="shared" si="2"/>
        <v>0</v>
      </c>
      <c r="G75" s="142"/>
    </row>
    <row r="76" spans="1:6" ht="15.75">
      <c r="A76" s="203" t="s">
        <v>250</v>
      </c>
      <c r="B76" s="206" t="s">
        <v>251</v>
      </c>
      <c r="C76" s="284">
        <v>4153.02625</v>
      </c>
      <c r="D76" s="283">
        <v>4037.21496</v>
      </c>
      <c r="E76" s="205">
        <f t="shared" si="3"/>
        <v>97.21140000018059</v>
      </c>
      <c r="F76" s="205">
        <f t="shared" si="2"/>
        <v>-115.8112900000001</v>
      </c>
    </row>
    <row r="77" spans="1:6" ht="15.75">
      <c r="A77" s="203" t="s">
        <v>252</v>
      </c>
      <c r="B77" s="206" t="s">
        <v>253</v>
      </c>
      <c r="C77" s="284">
        <v>43</v>
      </c>
      <c r="D77" s="283">
        <v>43</v>
      </c>
      <c r="E77" s="205">
        <f t="shared" si="3"/>
        <v>100</v>
      </c>
      <c r="F77" s="205">
        <f t="shared" si="2"/>
        <v>0</v>
      </c>
    </row>
    <row r="78" spans="1:6" s="139" customFormat="1" ht="17.25" customHeight="1">
      <c r="A78" s="200" t="s">
        <v>41</v>
      </c>
      <c r="B78" s="201" t="s">
        <v>254</v>
      </c>
      <c r="C78" s="281">
        <f>SUM(C79:C81)</f>
        <v>2734.46424</v>
      </c>
      <c r="D78" s="281">
        <f>SUM(D79:D81)</f>
        <v>2617.86731</v>
      </c>
      <c r="E78" s="202">
        <f t="shared" si="3"/>
        <v>95.7360228634769</v>
      </c>
      <c r="F78" s="202">
        <f t="shared" si="2"/>
        <v>-116.5969299999997</v>
      </c>
    </row>
    <row r="79" spans="1:6" ht="15.75" hidden="1">
      <c r="A79" s="203" t="s">
        <v>255</v>
      </c>
      <c r="B79" s="217" t="s">
        <v>256</v>
      </c>
      <c r="C79" s="283"/>
      <c r="D79" s="283"/>
      <c r="E79" s="205" t="e">
        <f t="shared" si="3"/>
        <v>#DIV/0!</v>
      </c>
      <c r="F79" s="205">
        <f t="shared" si="2"/>
        <v>0</v>
      </c>
    </row>
    <row r="80" spans="1:6" ht="15.75" customHeight="1">
      <c r="A80" s="203" t="s">
        <v>257</v>
      </c>
      <c r="B80" s="217" t="s">
        <v>258</v>
      </c>
      <c r="C80" s="283">
        <v>2047.88224</v>
      </c>
      <c r="D80" s="283">
        <v>1932.49865</v>
      </c>
      <c r="E80" s="205">
        <f t="shared" si="3"/>
        <v>94.36571167295244</v>
      </c>
      <c r="F80" s="205">
        <f t="shared" si="2"/>
        <v>-115.38358999999991</v>
      </c>
    </row>
    <row r="81" spans="1:6" ht="15.75">
      <c r="A81" s="203" t="s">
        <v>259</v>
      </c>
      <c r="B81" s="206" t="s">
        <v>260</v>
      </c>
      <c r="C81" s="283">
        <v>686.582</v>
      </c>
      <c r="D81" s="283">
        <v>685.36866</v>
      </c>
      <c r="E81" s="205">
        <f t="shared" si="3"/>
        <v>99.82327821003172</v>
      </c>
      <c r="F81" s="205">
        <f t="shared" si="2"/>
        <v>-1.2133400000000165</v>
      </c>
    </row>
    <row r="82" spans="1:6" s="139" customFormat="1" ht="32.25" customHeight="1">
      <c r="A82" s="200" t="s">
        <v>47</v>
      </c>
      <c r="B82" s="201" t="s">
        <v>275</v>
      </c>
      <c r="C82" s="281">
        <f>C83</f>
        <v>1200.1</v>
      </c>
      <c r="D82" s="281">
        <f>D83</f>
        <v>1200.1</v>
      </c>
      <c r="E82" s="202">
        <f t="shared" si="3"/>
        <v>100</v>
      </c>
      <c r="F82" s="202">
        <f t="shared" si="2"/>
        <v>0</v>
      </c>
    </row>
    <row r="83" spans="1:6" ht="14.25" customHeight="1">
      <c r="A83" s="203" t="s">
        <v>276</v>
      </c>
      <c r="B83" s="206" t="s">
        <v>277</v>
      </c>
      <c r="C83" s="283">
        <v>1200.1</v>
      </c>
      <c r="D83" s="283">
        <v>1200.1</v>
      </c>
      <c r="E83" s="205">
        <f t="shared" si="3"/>
        <v>100</v>
      </c>
      <c r="F83" s="205">
        <f t="shared" si="2"/>
        <v>0</v>
      </c>
    </row>
    <row r="84" spans="1:6" s="139" customFormat="1" ht="18.75" customHeight="1" hidden="1">
      <c r="A84" s="218">
        <v>1000</v>
      </c>
      <c r="B84" s="201" t="s">
        <v>280</v>
      </c>
      <c r="C84" s="281">
        <f>SUM(C85:C88)</f>
        <v>0</v>
      </c>
      <c r="D84" s="281">
        <f>SUM(D85:D88)</f>
        <v>0</v>
      </c>
      <c r="E84" s="202" t="e">
        <f t="shared" si="3"/>
        <v>#DIV/0!</v>
      </c>
      <c r="F84" s="202">
        <f t="shared" si="2"/>
        <v>0</v>
      </c>
    </row>
    <row r="85" spans="1:6" ht="1.5" customHeight="1" hidden="1">
      <c r="A85" s="219">
        <v>1001</v>
      </c>
      <c r="B85" s="220" t="s">
        <v>281</v>
      </c>
      <c r="C85" s="283">
        <v>0</v>
      </c>
      <c r="D85" s="283">
        <v>0</v>
      </c>
      <c r="E85" s="205" t="e">
        <f t="shared" si="3"/>
        <v>#DIV/0!</v>
      </c>
      <c r="F85" s="205">
        <f t="shared" si="2"/>
        <v>0</v>
      </c>
    </row>
    <row r="86" spans="1:6" ht="15.75" customHeight="1" hidden="1">
      <c r="A86" s="219">
        <v>1003</v>
      </c>
      <c r="B86" s="220" t="s">
        <v>282</v>
      </c>
      <c r="C86" s="283">
        <v>0</v>
      </c>
      <c r="D86" s="283">
        <v>0</v>
      </c>
      <c r="E86" s="205" t="e">
        <f t="shared" si="3"/>
        <v>#DIV/0!</v>
      </c>
      <c r="F86" s="205">
        <f t="shared" si="2"/>
        <v>0</v>
      </c>
    </row>
    <row r="87" spans="1:6" ht="16.5" customHeight="1" hidden="1">
      <c r="A87" s="219">
        <v>1004</v>
      </c>
      <c r="B87" s="220" t="s">
        <v>283</v>
      </c>
      <c r="C87" s="283"/>
      <c r="D87" s="285"/>
      <c r="E87" s="205" t="e">
        <f t="shared" si="3"/>
        <v>#DIV/0!</v>
      </c>
      <c r="F87" s="205">
        <f t="shared" si="2"/>
        <v>0</v>
      </c>
    </row>
    <row r="88" spans="1:6" ht="15" customHeight="1" hidden="1">
      <c r="A88" s="203" t="s">
        <v>284</v>
      </c>
      <c r="B88" s="206" t="s">
        <v>285</v>
      </c>
      <c r="C88" s="283">
        <v>0</v>
      </c>
      <c r="D88" s="283">
        <v>0</v>
      </c>
      <c r="E88" s="205"/>
      <c r="F88" s="205">
        <f t="shared" si="2"/>
        <v>0</v>
      </c>
    </row>
    <row r="89" spans="1:6" ht="16.5" customHeight="1" hidden="1">
      <c r="A89" s="203" t="s">
        <v>287</v>
      </c>
      <c r="B89" s="206" t="s">
        <v>288</v>
      </c>
      <c r="C89" s="283"/>
      <c r="D89" s="283">
        <v>0</v>
      </c>
      <c r="E89" s="205" t="e">
        <f aca="true" t="shared" si="4" ref="E89:E98">SUM(D89/C89*100)</f>
        <v>#DIV/0!</v>
      </c>
      <c r="F89" s="205">
        <f t="shared" si="2"/>
        <v>0</v>
      </c>
    </row>
    <row r="90" spans="1:6" ht="18.75" customHeight="1" hidden="1">
      <c r="A90" s="203" t="s">
        <v>289</v>
      </c>
      <c r="B90" s="206" t="s">
        <v>290</v>
      </c>
      <c r="C90" s="283"/>
      <c r="D90" s="283"/>
      <c r="E90" s="205" t="e">
        <f t="shared" si="4"/>
        <v>#DIV/0!</v>
      </c>
      <c r="F90" s="205">
        <f t="shared" si="2"/>
        <v>0</v>
      </c>
    </row>
    <row r="91" spans="1:6" ht="15" customHeight="1" hidden="1">
      <c r="A91" s="203" t="s">
        <v>291</v>
      </c>
      <c r="B91" s="206" t="s">
        <v>292</v>
      </c>
      <c r="C91" s="283"/>
      <c r="D91" s="283"/>
      <c r="E91" s="205" t="e">
        <f t="shared" si="4"/>
        <v>#DIV/0!</v>
      </c>
      <c r="F91" s="205"/>
    </row>
    <row r="92" spans="1:6" ht="14.25" customHeight="1" hidden="1">
      <c r="A92" s="203" t="s">
        <v>293</v>
      </c>
      <c r="B92" s="206" t="s">
        <v>294</v>
      </c>
      <c r="C92" s="283"/>
      <c r="D92" s="283"/>
      <c r="E92" s="205" t="e">
        <f t="shared" si="4"/>
        <v>#DIV/0!</v>
      </c>
      <c r="F92" s="205"/>
    </row>
    <row r="93" spans="1:6" ht="18" customHeight="1" hidden="1">
      <c r="A93" s="203" t="s">
        <v>295</v>
      </c>
      <c r="B93" s="206" t="s">
        <v>296</v>
      </c>
      <c r="C93" s="283"/>
      <c r="D93" s="283"/>
      <c r="E93" s="205" t="e">
        <f t="shared" si="4"/>
        <v>#DIV/0!</v>
      </c>
      <c r="F93" s="205"/>
    </row>
    <row r="94" spans="1:6" s="139" customFormat="1" ht="22.5" customHeight="1" hidden="1">
      <c r="A94" s="218">
        <v>1400</v>
      </c>
      <c r="B94" s="222" t="s">
        <v>303</v>
      </c>
      <c r="C94" s="251"/>
      <c r="D94" s="251">
        <v>0</v>
      </c>
      <c r="E94" s="202" t="e">
        <f t="shared" si="4"/>
        <v>#DIV/0!</v>
      </c>
      <c r="F94" s="202">
        <f>SUM(D94-C94)</f>
        <v>0</v>
      </c>
    </row>
    <row r="95" spans="1:6" ht="30" customHeight="1" hidden="1">
      <c r="A95" s="219">
        <v>1401</v>
      </c>
      <c r="B95" s="220" t="s">
        <v>304</v>
      </c>
      <c r="C95" s="284"/>
      <c r="D95" s="283"/>
      <c r="E95" s="205" t="e">
        <f t="shared" si="4"/>
        <v>#DIV/0!</v>
      </c>
      <c r="F95" s="205">
        <f>SUM(D95-C95)</f>
        <v>0</v>
      </c>
    </row>
    <row r="96" spans="1:6" ht="18" customHeight="1">
      <c r="A96" s="200" t="s">
        <v>51</v>
      </c>
      <c r="B96" s="201" t="s">
        <v>286</v>
      </c>
      <c r="C96" s="251">
        <f>C97</f>
        <v>0</v>
      </c>
      <c r="D96" s="281">
        <f>D97</f>
        <v>0</v>
      </c>
      <c r="E96" s="202" t="e">
        <f t="shared" si="4"/>
        <v>#DIV/0!</v>
      </c>
      <c r="F96" s="202">
        <f>SUM(D96-C96)</f>
        <v>0</v>
      </c>
    </row>
    <row r="97" spans="1:6" ht="18" customHeight="1">
      <c r="A97" s="203" t="s">
        <v>287</v>
      </c>
      <c r="B97" s="206" t="s">
        <v>288</v>
      </c>
      <c r="C97" s="284">
        <v>0</v>
      </c>
      <c r="D97" s="283">
        <v>0</v>
      </c>
      <c r="E97" s="205" t="e">
        <f t="shared" si="4"/>
        <v>#DIV/0!</v>
      </c>
      <c r="F97" s="205">
        <f>SUM(D97-C97)</f>
        <v>0</v>
      </c>
    </row>
    <row r="98" spans="1:8" s="139" customFormat="1" ht="15.75">
      <c r="A98" s="218"/>
      <c r="B98" s="223" t="s">
        <v>307</v>
      </c>
      <c r="C98" s="278">
        <f>C56+C64+C66+C72+C78+C82+C96+C84</f>
        <v>9657.45197</v>
      </c>
      <c r="D98" s="278">
        <f>D56+D64+D66+D72+D78+D82+D96+D84</f>
        <v>9419.13733</v>
      </c>
      <c r="E98" s="202">
        <f t="shared" si="4"/>
        <v>97.53232383924556</v>
      </c>
      <c r="F98" s="202">
        <f>SUM(D98-C98)</f>
        <v>-238.3146400000005</v>
      </c>
      <c r="G98" s="186">
        <f>8096.52307-C98</f>
        <v>-1560.9288999999999</v>
      </c>
      <c r="H98" s="186">
        <f>899.25122-D98</f>
        <v>-8519.88611</v>
      </c>
    </row>
    <row r="99" spans="3:4" ht="16.5" customHeight="1">
      <c r="C99" s="226"/>
      <c r="D99" s="227"/>
    </row>
    <row r="100" spans="1:4" s="143" customFormat="1" ht="20.25" customHeight="1">
      <c r="A100" s="228" t="s">
        <v>308</v>
      </c>
      <c r="B100" s="228"/>
      <c r="C100" s="265"/>
      <c r="D100" s="254" t="s">
        <v>359</v>
      </c>
    </row>
    <row r="101" spans="1:3" s="143" customFormat="1" ht="13.5" customHeight="1">
      <c r="A101" s="230" t="s">
        <v>309</v>
      </c>
      <c r="B101" s="230"/>
      <c r="C101" s="143" t="s">
        <v>310</v>
      </c>
    </row>
    <row r="103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view="pageBreakPreview" zoomScale="70" zoomScaleSheetLayoutView="70" zoomScalePageLayoutView="0" workbookViewId="0" topLeftCell="A29">
      <selection activeCell="C47" sqref="C47"/>
    </sheetView>
  </sheetViews>
  <sheetFormatPr defaultColWidth="9.140625" defaultRowHeight="12.75"/>
  <cols>
    <col min="1" max="1" width="14.7109375" style="135" customWidth="1"/>
    <col min="2" max="2" width="57.57421875" style="136" customWidth="1"/>
    <col min="3" max="3" width="17.00390625" style="137" customWidth="1"/>
    <col min="4" max="4" width="16.00390625" style="137" customWidth="1"/>
    <col min="5" max="5" width="10.28125" style="137" customWidth="1"/>
    <col min="6" max="6" width="9.421875" style="137" customWidth="1"/>
    <col min="7" max="7" width="15.57421875" style="138" customWidth="1"/>
    <col min="8" max="8" width="13.00390625" style="138" customWidth="1"/>
    <col min="9" max="16384" width="9.140625" style="138" customWidth="1"/>
  </cols>
  <sheetData>
    <row r="1" spans="1:6" ht="12.75" customHeight="1">
      <c r="A1" s="469" t="s">
        <v>435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C5+C12+C14+C17+C7</f>
        <v>1154.52641</v>
      </c>
      <c r="D4" s="150">
        <f>D5+D12+D14+D17+D7</f>
        <v>1140.1344000000001</v>
      </c>
      <c r="E4" s="150">
        <f aca="true" t="shared" si="0" ref="E4:E33">SUM(D4/C4*100)</f>
        <v>98.75342739019717</v>
      </c>
      <c r="F4" s="150">
        <f aca="true" t="shared" si="1" ref="F4:F33">SUM(D4-C4)</f>
        <v>-14.3920099999998</v>
      </c>
    </row>
    <row r="5" spans="1:6" s="139" customFormat="1" ht="15.75">
      <c r="A5" s="151">
        <v>1010000000</v>
      </c>
      <c r="B5" s="152" t="s">
        <v>146</v>
      </c>
      <c r="C5" s="150">
        <f>C6</f>
        <v>143.66641</v>
      </c>
      <c r="D5" s="150">
        <f>D6</f>
        <v>101.66133</v>
      </c>
      <c r="E5" s="150">
        <f t="shared" si="0"/>
        <v>70.76207305521172</v>
      </c>
      <c r="F5" s="150">
        <f t="shared" si="1"/>
        <v>-42.00508000000001</v>
      </c>
    </row>
    <row r="6" spans="1:6" ht="15.75">
      <c r="A6" s="153">
        <v>1010200001</v>
      </c>
      <c r="B6" s="154" t="s">
        <v>147</v>
      </c>
      <c r="C6" s="155">
        <v>143.66641</v>
      </c>
      <c r="D6" s="156">
        <v>101.66133</v>
      </c>
      <c r="E6" s="155">
        <f t="shared" si="0"/>
        <v>70.76207305521172</v>
      </c>
      <c r="F6" s="155">
        <f t="shared" si="1"/>
        <v>-42.00508000000001</v>
      </c>
    </row>
    <row r="7" spans="1:6" ht="31.5">
      <c r="A7" s="148">
        <v>1030000000</v>
      </c>
      <c r="B7" s="157" t="s">
        <v>148</v>
      </c>
      <c r="C7" s="150">
        <f>C8+C10+C9</f>
        <v>375.86</v>
      </c>
      <c r="D7" s="150">
        <f>D8+D10+D9+D11</f>
        <v>422.23611</v>
      </c>
      <c r="E7" s="150">
        <f t="shared" si="0"/>
        <v>112.33866599265683</v>
      </c>
      <c r="F7" s="150">
        <f t="shared" si="1"/>
        <v>46.37610999999998</v>
      </c>
    </row>
    <row r="8" spans="1:6" ht="15.75">
      <c r="A8" s="153">
        <v>1030223001</v>
      </c>
      <c r="B8" s="154" t="s">
        <v>149</v>
      </c>
      <c r="C8" s="155">
        <v>140.2</v>
      </c>
      <c r="D8" s="156">
        <v>194.92936</v>
      </c>
      <c r="E8" s="155">
        <f t="shared" si="0"/>
        <v>139.03663338088447</v>
      </c>
      <c r="F8" s="155">
        <f t="shared" si="1"/>
        <v>54.729360000000014</v>
      </c>
    </row>
    <row r="9" spans="1:6" ht="15.75">
      <c r="A9" s="153">
        <v>1030224001</v>
      </c>
      <c r="B9" s="154" t="s">
        <v>150</v>
      </c>
      <c r="C9" s="155">
        <v>1.5</v>
      </c>
      <c r="D9" s="156">
        <v>1.37088</v>
      </c>
      <c r="E9" s="155">
        <f t="shared" si="0"/>
        <v>91.39200000000001</v>
      </c>
      <c r="F9" s="155">
        <f t="shared" si="1"/>
        <v>-0.1291199999999999</v>
      </c>
    </row>
    <row r="10" spans="1:6" ht="15.75">
      <c r="A10" s="153">
        <v>1030225001</v>
      </c>
      <c r="B10" s="154" t="s">
        <v>151</v>
      </c>
      <c r="C10" s="155">
        <v>234.16</v>
      </c>
      <c r="D10" s="156">
        <v>259.17632</v>
      </c>
      <c r="E10" s="155">
        <f t="shared" si="0"/>
        <v>110.68343013324223</v>
      </c>
      <c r="F10" s="155">
        <f t="shared" si="1"/>
        <v>25.01631999999998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-33.24045</v>
      </c>
      <c r="E11" s="155" t="e">
        <f t="shared" si="0"/>
        <v>#DIV/0!</v>
      </c>
      <c r="F11" s="155">
        <f t="shared" si="1"/>
        <v>-33.24045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10</v>
      </c>
      <c r="D12" s="150">
        <f>SUM(D13:D13)</f>
        <v>9.17129</v>
      </c>
      <c r="E12" s="150">
        <f t="shared" si="0"/>
        <v>91.7129</v>
      </c>
      <c r="F12" s="150">
        <f t="shared" si="1"/>
        <v>-0.8287099999999992</v>
      </c>
    </row>
    <row r="13" spans="1:6" ht="15.75" customHeight="1">
      <c r="A13" s="153">
        <v>1050300000</v>
      </c>
      <c r="B13" s="158" t="s">
        <v>156</v>
      </c>
      <c r="C13" s="159">
        <v>10</v>
      </c>
      <c r="D13" s="156">
        <v>9.17129</v>
      </c>
      <c r="E13" s="155">
        <f t="shared" si="0"/>
        <v>91.7129</v>
      </c>
      <c r="F13" s="155">
        <f t="shared" si="1"/>
        <v>-0.8287099999999992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620</v>
      </c>
      <c r="D14" s="150">
        <f>D15+D16</f>
        <v>604.46567</v>
      </c>
      <c r="E14" s="150">
        <f t="shared" si="0"/>
        <v>97.49446290322581</v>
      </c>
      <c r="F14" s="150">
        <f t="shared" si="1"/>
        <v>-15.534329999999954</v>
      </c>
    </row>
    <row r="15" spans="1:6" s="139" customFormat="1" ht="15.75" customHeight="1">
      <c r="A15" s="153">
        <v>1060100000</v>
      </c>
      <c r="B15" s="158" t="s">
        <v>159</v>
      </c>
      <c r="C15" s="155">
        <v>230</v>
      </c>
      <c r="D15" s="156">
        <v>288.31244</v>
      </c>
      <c r="E15" s="155">
        <f t="shared" si="0"/>
        <v>125.3532347826087</v>
      </c>
      <c r="F15" s="155">
        <f t="shared" si="1"/>
        <v>58.31243999999998</v>
      </c>
    </row>
    <row r="16" spans="1:6" ht="15.75" customHeight="1">
      <c r="A16" s="153">
        <v>1060600000</v>
      </c>
      <c r="B16" s="158" t="s">
        <v>162</v>
      </c>
      <c r="C16" s="155">
        <v>390</v>
      </c>
      <c r="D16" s="156">
        <v>316.15323</v>
      </c>
      <c r="E16" s="155">
        <f t="shared" si="0"/>
        <v>81.06493076923077</v>
      </c>
      <c r="F16" s="155">
        <f t="shared" si="1"/>
        <v>-73.84676999999999</v>
      </c>
    </row>
    <row r="17" spans="1:6" s="139" customFormat="1" ht="15.75">
      <c r="A17" s="148">
        <v>1080000000</v>
      </c>
      <c r="B17" s="149" t="s">
        <v>165</v>
      </c>
      <c r="C17" s="150">
        <f>C18</f>
        <v>5</v>
      </c>
      <c r="D17" s="150">
        <f>D18</f>
        <v>2.6</v>
      </c>
      <c r="E17" s="150">
        <f t="shared" si="0"/>
        <v>52</v>
      </c>
      <c r="F17" s="150">
        <f t="shared" si="1"/>
        <v>-2.4</v>
      </c>
    </row>
    <row r="18" spans="1:6" ht="18" customHeight="1">
      <c r="A18" s="153">
        <v>1080400001</v>
      </c>
      <c r="B18" s="154" t="s">
        <v>167</v>
      </c>
      <c r="C18" s="155">
        <v>5</v>
      </c>
      <c r="D18" s="156">
        <v>2.6</v>
      </c>
      <c r="E18" s="155">
        <f t="shared" si="0"/>
        <v>52</v>
      </c>
      <c r="F18" s="155">
        <f t="shared" si="1"/>
        <v>-2.4</v>
      </c>
    </row>
    <row r="19" spans="1:6" ht="47.2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27.75" customHeight="1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0.75" customHeight="1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13.5" customHeight="1" hidden="1">
      <c r="A22" s="153">
        <v>1090400000</v>
      </c>
      <c r="B22" s="154" t="s">
        <v>171</v>
      </c>
      <c r="C22" s="150"/>
      <c r="D22" s="161"/>
      <c r="E22" s="155" t="e">
        <f t="shared" si="0"/>
        <v>#DIV/0!</v>
      </c>
      <c r="F22" s="155">
        <f t="shared" si="1"/>
        <v>0</v>
      </c>
    </row>
    <row r="23" spans="1:6" s="140" customFormat="1" ht="15.75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2.25" customHeight="1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5" customHeight="1">
      <c r="A25" s="148"/>
      <c r="B25" s="149" t="s">
        <v>17</v>
      </c>
      <c r="C25" s="150">
        <f>C26+C29+C31+C36</f>
        <v>51.5</v>
      </c>
      <c r="D25" s="150">
        <f>D27+D29+D36+D34</f>
        <v>-15.448149999999998</v>
      </c>
      <c r="E25" s="150">
        <f t="shared" si="0"/>
        <v>-29.99640776699029</v>
      </c>
      <c r="F25" s="150">
        <f t="shared" si="1"/>
        <v>-66.94815</v>
      </c>
    </row>
    <row r="26" spans="1:6" s="139" customFormat="1" ht="30" customHeight="1">
      <c r="A26" s="151">
        <v>1110000000</v>
      </c>
      <c r="B26" s="160" t="s">
        <v>174</v>
      </c>
      <c r="C26" s="150">
        <f>C27+C28</f>
        <v>51.5</v>
      </c>
      <c r="D26" s="150">
        <f>D27</f>
        <v>-25.38657</v>
      </c>
      <c r="E26" s="150">
        <f t="shared" si="0"/>
        <v>-49.29431067961165</v>
      </c>
      <c r="F26" s="150">
        <f t="shared" si="1"/>
        <v>-76.88657</v>
      </c>
    </row>
    <row r="27" spans="1:6" ht="39.75" customHeight="1">
      <c r="A27" s="162">
        <v>1110502510</v>
      </c>
      <c r="B27" s="163" t="s">
        <v>177</v>
      </c>
      <c r="C27" s="159">
        <v>51.5</v>
      </c>
      <c r="D27" s="156">
        <v>-25.38657</v>
      </c>
      <c r="E27" s="155">
        <f t="shared" si="0"/>
        <v>-49.29431067961165</v>
      </c>
      <c r="F27" s="155">
        <f t="shared" si="1"/>
        <v>-76.88657</v>
      </c>
    </row>
    <row r="28" spans="1:6" ht="0.75" customHeight="1" hidden="1">
      <c r="A28" s="153">
        <v>1110503505</v>
      </c>
      <c r="B28" s="158" t="s">
        <v>178</v>
      </c>
      <c r="C28" s="159">
        <v>0</v>
      </c>
      <c r="D28" s="156">
        <v>0</v>
      </c>
      <c r="E28" s="155" t="e">
        <f t="shared" si="0"/>
        <v>#DIV/0!</v>
      </c>
      <c r="F28" s="155">
        <f t="shared" si="1"/>
        <v>0</v>
      </c>
    </row>
    <row r="29" spans="1:6" s="140" customFormat="1" ht="30.75" customHeight="1">
      <c r="A29" s="151">
        <v>1130000000</v>
      </c>
      <c r="B29" s="160" t="s">
        <v>185</v>
      </c>
      <c r="C29" s="150">
        <f>C30</f>
        <v>0</v>
      </c>
      <c r="D29" s="150">
        <f>D30</f>
        <v>0</v>
      </c>
      <c r="E29" s="150" t="e">
        <f t="shared" si="0"/>
        <v>#DIV/0!</v>
      </c>
      <c r="F29" s="150">
        <f t="shared" si="1"/>
        <v>0</v>
      </c>
    </row>
    <row r="30" spans="1:6" ht="21.75" customHeight="1">
      <c r="A30" s="153">
        <v>1130305005</v>
      </c>
      <c r="B30" s="154" t="s">
        <v>333</v>
      </c>
      <c r="C30" s="155">
        <v>0</v>
      </c>
      <c r="D30" s="156">
        <v>0</v>
      </c>
      <c r="E30" s="155" t="e">
        <f t="shared" si="0"/>
        <v>#DIV/0!</v>
      </c>
      <c r="F30" s="155">
        <f t="shared" si="1"/>
        <v>0</v>
      </c>
    </row>
    <row r="31" spans="1:6" ht="19.5" customHeight="1">
      <c r="A31" s="164">
        <v>1140000000</v>
      </c>
      <c r="B31" s="165" t="s">
        <v>188</v>
      </c>
      <c r="C31" s="150">
        <f>C33</f>
        <v>0</v>
      </c>
      <c r="D31" s="150">
        <f>D32+D33</f>
        <v>0</v>
      </c>
      <c r="E31" s="150" t="e">
        <f t="shared" si="0"/>
        <v>#DIV/0!</v>
      </c>
      <c r="F31" s="150">
        <f t="shared" si="1"/>
        <v>0</v>
      </c>
    </row>
    <row r="32" spans="1:6" ht="20.25" customHeight="1">
      <c r="A32" s="162">
        <v>1140200000</v>
      </c>
      <c r="B32" s="166" t="s">
        <v>324</v>
      </c>
      <c r="C32" s="155"/>
      <c r="D32" s="156"/>
      <c r="E32" s="155" t="e">
        <f t="shared" si="0"/>
        <v>#DIV/0!</v>
      </c>
      <c r="F32" s="155">
        <f t="shared" si="1"/>
        <v>0</v>
      </c>
    </row>
    <row r="33" spans="1:6" ht="20.25" customHeight="1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s="139" customFormat="1" ht="20.25" customHeight="1">
      <c r="A34" s="148">
        <v>1160000000</v>
      </c>
      <c r="B34" s="157" t="s">
        <v>360</v>
      </c>
      <c r="C34" s="150"/>
      <c r="D34" s="161">
        <f>SUM(D35)</f>
        <v>9.93842</v>
      </c>
      <c r="E34" s="150"/>
      <c r="F34" s="150"/>
    </row>
    <row r="35" spans="1:6" ht="20.25" customHeight="1">
      <c r="A35" s="153">
        <v>1160701010</v>
      </c>
      <c r="B35" s="154" t="s">
        <v>361</v>
      </c>
      <c r="C35" s="155"/>
      <c r="D35" s="156">
        <v>9.93842</v>
      </c>
      <c r="E35" s="155"/>
      <c r="F35" s="155"/>
    </row>
    <row r="36" spans="1:6" ht="18" customHeight="1">
      <c r="A36" s="148">
        <v>1170000000</v>
      </c>
      <c r="B36" s="157" t="s">
        <v>198</v>
      </c>
      <c r="C36" s="150">
        <f>C37+C38</f>
        <v>0</v>
      </c>
      <c r="D36" s="150">
        <f>D37+D38</f>
        <v>0</v>
      </c>
      <c r="E36" s="150" t="e">
        <f aca="true" t="shared" si="2" ref="E36:E47">SUM(D36/C36*100)</f>
        <v>#DIV/0!</v>
      </c>
      <c r="F36" s="150">
        <f aca="true" t="shared" si="3" ref="F36:F49">SUM(D36-C36)</f>
        <v>0</v>
      </c>
    </row>
    <row r="37" spans="1:6" ht="19.5" customHeight="1">
      <c r="A37" s="153">
        <v>1170105005</v>
      </c>
      <c r="B37" s="154" t="s">
        <v>199</v>
      </c>
      <c r="C37" s="155">
        <v>0</v>
      </c>
      <c r="D37" s="155">
        <v>0</v>
      </c>
      <c r="E37" s="155" t="e">
        <f t="shared" si="2"/>
        <v>#DIV/0!</v>
      </c>
      <c r="F37" s="155">
        <f t="shared" si="3"/>
        <v>0</v>
      </c>
    </row>
    <row r="38" spans="1:6" ht="21.75" customHeight="1">
      <c r="A38" s="153">
        <v>1170505005</v>
      </c>
      <c r="B38" s="158" t="s">
        <v>200</v>
      </c>
      <c r="C38" s="155">
        <v>0</v>
      </c>
      <c r="D38" s="156">
        <v>0</v>
      </c>
      <c r="E38" s="155" t="e">
        <f t="shared" si="2"/>
        <v>#DIV/0!</v>
      </c>
      <c r="F38" s="155">
        <f t="shared" si="3"/>
        <v>0</v>
      </c>
    </row>
    <row r="39" spans="1:6" s="139" customFormat="1" ht="18.75" customHeight="1">
      <c r="A39" s="148">
        <v>1000000000</v>
      </c>
      <c r="B39" s="149" t="s">
        <v>26</v>
      </c>
      <c r="C39" s="168">
        <f>SUM(C4,C25)</f>
        <v>1206.02641</v>
      </c>
      <c r="D39" s="168">
        <f>D4+D25</f>
        <v>1124.6862500000002</v>
      </c>
      <c r="E39" s="150">
        <f t="shared" si="2"/>
        <v>93.25552414726972</v>
      </c>
      <c r="F39" s="150">
        <f t="shared" si="3"/>
        <v>-81.34015999999974</v>
      </c>
    </row>
    <row r="40" spans="1:7" s="139" customFormat="1" ht="15.75">
      <c r="A40" s="148">
        <v>2000000000</v>
      </c>
      <c r="B40" s="149" t="s">
        <v>201</v>
      </c>
      <c r="C40" s="150">
        <f>C41+C43+C44+C45+C46+C47</f>
        <v>7361.804529999999</v>
      </c>
      <c r="D40" s="240">
        <f>D41+D43+D44+D45+D47+D46</f>
        <v>7368.822909999999</v>
      </c>
      <c r="E40" s="150">
        <f t="shared" si="2"/>
        <v>100.09533504959822</v>
      </c>
      <c r="F40" s="150">
        <f t="shared" si="3"/>
        <v>7.018379999999524</v>
      </c>
      <c r="G40" s="170"/>
    </row>
    <row r="41" spans="1:6" ht="14.25" customHeight="1">
      <c r="A41" s="162">
        <v>2021000000</v>
      </c>
      <c r="B41" s="163" t="s">
        <v>202</v>
      </c>
      <c r="C41" s="235">
        <v>2155.1</v>
      </c>
      <c r="D41" s="235">
        <v>2155.1</v>
      </c>
      <c r="E41" s="155">
        <f t="shared" si="2"/>
        <v>100</v>
      </c>
      <c r="F41" s="155">
        <f t="shared" si="3"/>
        <v>0</v>
      </c>
    </row>
    <row r="42" spans="1:6" ht="15.75" customHeight="1" hidden="1">
      <c r="A42" s="162">
        <v>2020100310</v>
      </c>
      <c r="B42" s="163" t="s">
        <v>205</v>
      </c>
      <c r="C42" s="235"/>
      <c r="D42" s="172">
        <v>0</v>
      </c>
      <c r="E42" s="155" t="e">
        <f t="shared" si="2"/>
        <v>#DIV/0!</v>
      </c>
      <c r="F42" s="155">
        <f t="shared" si="3"/>
        <v>0</v>
      </c>
    </row>
    <row r="43" spans="1:6" ht="15.75" customHeight="1">
      <c r="A43" s="162">
        <v>2021500200</v>
      </c>
      <c r="B43" s="163" t="s">
        <v>205</v>
      </c>
      <c r="C43" s="235"/>
      <c r="D43" s="172">
        <v>0</v>
      </c>
      <c r="E43" s="155" t="e">
        <f t="shared" si="2"/>
        <v>#DIV/0!</v>
      </c>
      <c r="F43" s="155">
        <f t="shared" si="3"/>
        <v>0</v>
      </c>
    </row>
    <row r="44" spans="1:6" ht="15.75">
      <c r="A44" s="162">
        <v>2022000000</v>
      </c>
      <c r="B44" s="163" t="s">
        <v>206</v>
      </c>
      <c r="C44" s="235">
        <v>3926.33839</v>
      </c>
      <c r="D44" s="156">
        <v>3926.33839</v>
      </c>
      <c r="E44" s="155">
        <f t="shared" si="2"/>
        <v>100</v>
      </c>
      <c r="F44" s="155">
        <f t="shared" si="3"/>
        <v>0</v>
      </c>
    </row>
    <row r="45" spans="1:6" ht="17.25" customHeight="1">
      <c r="A45" s="162">
        <v>2023000000</v>
      </c>
      <c r="B45" s="163" t="s">
        <v>207</v>
      </c>
      <c r="C45" s="159">
        <v>103.383</v>
      </c>
      <c r="D45" s="174">
        <v>103.383</v>
      </c>
      <c r="E45" s="155">
        <f t="shared" si="2"/>
        <v>100</v>
      </c>
      <c r="F45" s="155">
        <f t="shared" si="3"/>
        <v>0</v>
      </c>
    </row>
    <row r="46" spans="1:6" ht="14.25" customHeight="1">
      <c r="A46" s="162">
        <v>2020400000</v>
      </c>
      <c r="B46" s="163" t="s">
        <v>102</v>
      </c>
      <c r="C46" s="159">
        <v>677.03014</v>
      </c>
      <c r="D46" s="175">
        <v>676.79107</v>
      </c>
      <c r="E46" s="155">
        <f t="shared" si="2"/>
        <v>99.96468842583582</v>
      </c>
      <c r="F46" s="155">
        <f t="shared" si="3"/>
        <v>-0.2390699999999697</v>
      </c>
    </row>
    <row r="47" spans="1:6" ht="14.25" customHeight="1">
      <c r="A47" s="162">
        <v>2070500010</v>
      </c>
      <c r="B47" s="154" t="s">
        <v>355</v>
      </c>
      <c r="C47" s="159">
        <v>499.953</v>
      </c>
      <c r="D47" s="175">
        <v>507.21045</v>
      </c>
      <c r="E47" s="155">
        <f t="shared" si="2"/>
        <v>101.45162645288657</v>
      </c>
      <c r="F47" s="155">
        <f t="shared" si="3"/>
        <v>7.257450000000006</v>
      </c>
    </row>
    <row r="48" spans="1:6" ht="14.25" customHeight="1" hidden="1">
      <c r="A48" s="153">
        <v>2190500005</v>
      </c>
      <c r="B48" s="158" t="s">
        <v>209</v>
      </c>
      <c r="C48" s="161"/>
      <c r="D48" s="161"/>
      <c r="E48" s="150"/>
      <c r="F48" s="150">
        <f t="shared" si="3"/>
        <v>0</v>
      </c>
    </row>
    <row r="49" spans="1:6" s="139" customFormat="1" ht="16.5" customHeight="1" hidden="1">
      <c r="A49" s="148">
        <v>3000000000</v>
      </c>
      <c r="B49" s="157" t="s">
        <v>210</v>
      </c>
      <c r="C49" s="260">
        <v>0</v>
      </c>
      <c r="D49" s="161">
        <v>0</v>
      </c>
      <c r="E49" s="150" t="e">
        <f>SUM(D49/C49*100)</f>
        <v>#DIV/0!</v>
      </c>
      <c r="F49" s="150">
        <f t="shared" si="3"/>
        <v>0</v>
      </c>
    </row>
    <row r="50" spans="1:6" s="139" customFormat="1" ht="21" customHeight="1" hidden="1">
      <c r="A50" s="148">
        <v>2190500010</v>
      </c>
      <c r="B50" s="157" t="s">
        <v>362</v>
      </c>
      <c r="C50" s="260">
        <v>0</v>
      </c>
      <c r="D50" s="161">
        <v>0</v>
      </c>
      <c r="E50" s="150"/>
      <c r="F50" s="150"/>
    </row>
    <row r="51" spans="1:8" s="139" customFormat="1" ht="16.5" customHeight="1">
      <c r="A51" s="148"/>
      <c r="B51" s="149" t="s">
        <v>211</v>
      </c>
      <c r="C51" s="307">
        <f>C39+C40</f>
        <v>8567.83094</v>
      </c>
      <c r="D51" s="307">
        <f>D39+D40</f>
        <v>8493.50916</v>
      </c>
      <c r="E51" s="150">
        <f>SUM(D51/C51*100)</f>
        <v>99.13254847673267</v>
      </c>
      <c r="F51" s="150">
        <f>SUM(D51-C51)</f>
        <v>-74.32178000000022</v>
      </c>
      <c r="G51" s="186"/>
      <c r="H51" s="308"/>
    </row>
    <row r="52" spans="1:6" s="139" customFormat="1" ht="15.75" customHeight="1">
      <c r="A52" s="148"/>
      <c r="B52" s="188" t="s">
        <v>212</v>
      </c>
      <c r="C52" s="169">
        <f>C51-C98</f>
        <v>-252.30890999999974</v>
      </c>
      <c r="D52" s="169">
        <f>D51-D98</f>
        <v>-226.88147000000026</v>
      </c>
      <c r="E52" s="190"/>
      <c r="F52" s="190"/>
    </row>
    <row r="53" spans="1:6" ht="15.75">
      <c r="A53" s="191"/>
      <c r="B53" s="192"/>
      <c r="C53" s="242"/>
      <c r="D53" s="262"/>
      <c r="E53" s="194"/>
      <c r="F53" s="243"/>
    </row>
    <row r="54" spans="1:6" ht="32.25" customHeight="1">
      <c r="A54" s="196" t="s">
        <v>141</v>
      </c>
      <c r="B54" s="196" t="s">
        <v>213</v>
      </c>
      <c r="C54" s="145" t="s">
        <v>143</v>
      </c>
      <c r="D54" s="146" t="s">
        <v>426</v>
      </c>
      <c r="E54" s="145" t="s">
        <v>144</v>
      </c>
      <c r="F54" s="147" t="s">
        <v>145</v>
      </c>
    </row>
    <row r="55" spans="1:6" ht="15.75">
      <c r="A55" s="245">
        <v>1</v>
      </c>
      <c r="B55" s="196">
        <v>2</v>
      </c>
      <c r="C55" s="199">
        <v>3</v>
      </c>
      <c r="D55" s="199">
        <v>4</v>
      </c>
      <c r="E55" s="199">
        <v>5</v>
      </c>
      <c r="F55" s="199">
        <v>6</v>
      </c>
    </row>
    <row r="56" spans="1:6" s="139" customFormat="1" ht="16.5" customHeight="1">
      <c r="A56" s="200" t="s">
        <v>33</v>
      </c>
      <c r="B56" s="201" t="s">
        <v>214</v>
      </c>
      <c r="C56" s="281">
        <f>C57+C58+C59+C60+C61+C63+C62</f>
        <v>1348.855</v>
      </c>
      <c r="D56" s="290">
        <f>D58+D63</f>
        <v>1326.45564</v>
      </c>
      <c r="E56" s="202">
        <f>SUM(D56/C56*100)</f>
        <v>98.33937969611262</v>
      </c>
      <c r="F56" s="202">
        <f>SUM(D56-C56)</f>
        <v>-22.399360000000115</v>
      </c>
    </row>
    <row r="57" spans="1:6" s="139" customFormat="1" ht="17.25" customHeight="1" hidden="1">
      <c r="A57" s="203" t="s">
        <v>215</v>
      </c>
      <c r="B57" s="204" t="s">
        <v>216</v>
      </c>
      <c r="C57" s="283"/>
      <c r="D57" s="283"/>
      <c r="E57" s="205"/>
      <c r="F57" s="205"/>
    </row>
    <row r="58" spans="1:6" ht="19.5" customHeight="1">
      <c r="A58" s="203" t="s">
        <v>217</v>
      </c>
      <c r="B58" s="206" t="s">
        <v>218</v>
      </c>
      <c r="C58" s="283">
        <v>1328.361</v>
      </c>
      <c r="D58" s="283">
        <v>1310.96164</v>
      </c>
      <c r="E58" s="205">
        <f>SUM(D58/C58*100)</f>
        <v>98.69016329145465</v>
      </c>
      <c r="F58" s="205">
        <f aca="true" t="shared" si="4" ref="F58:F70">SUM(D58-C58)</f>
        <v>-17.399360000000115</v>
      </c>
    </row>
    <row r="59" spans="1:6" ht="0.75" customHeight="1" hidden="1">
      <c r="A59" s="203" t="s">
        <v>219</v>
      </c>
      <c r="B59" s="206" t="s">
        <v>220</v>
      </c>
      <c r="C59" s="283"/>
      <c r="D59" s="283"/>
      <c r="E59" s="205"/>
      <c r="F59" s="205">
        <f t="shared" si="4"/>
        <v>0</v>
      </c>
    </row>
    <row r="60" spans="1:6" ht="17.25" customHeight="1" hidden="1">
      <c r="A60" s="203" t="s">
        <v>221</v>
      </c>
      <c r="B60" s="206" t="s">
        <v>222</v>
      </c>
      <c r="C60" s="283"/>
      <c r="D60" s="283"/>
      <c r="E60" s="205" t="e">
        <f aca="true" t="shared" si="5" ref="E60:E70">SUM(D60/C60*100)</f>
        <v>#DIV/0!</v>
      </c>
      <c r="F60" s="205">
        <f t="shared" si="4"/>
        <v>0</v>
      </c>
    </row>
    <row r="61" spans="1:6" ht="17.25" customHeight="1" hidden="1">
      <c r="A61" s="203" t="s">
        <v>223</v>
      </c>
      <c r="B61" s="206" t="s">
        <v>224</v>
      </c>
      <c r="C61" s="283"/>
      <c r="D61" s="283">
        <v>0</v>
      </c>
      <c r="E61" s="205" t="e">
        <f t="shared" si="5"/>
        <v>#DIV/0!</v>
      </c>
      <c r="F61" s="205">
        <f t="shared" si="4"/>
        <v>0</v>
      </c>
    </row>
    <row r="62" spans="1:6" ht="15.75" customHeight="1">
      <c r="A62" s="203" t="s">
        <v>225</v>
      </c>
      <c r="B62" s="206" t="s">
        <v>226</v>
      </c>
      <c r="C62" s="293">
        <v>5</v>
      </c>
      <c r="D62" s="293">
        <v>0</v>
      </c>
      <c r="E62" s="205">
        <f t="shared" si="5"/>
        <v>0</v>
      </c>
      <c r="F62" s="205">
        <f t="shared" si="4"/>
        <v>-5</v>
      </c>
    </row>
    <row r="63" spans="1:6" ht="17.25" customHeight="1">
      <c r="A63" s="203" t="s">
        <v>227</v>
      </c>
      <c r="B63" s="206" t="s">
        <v>228</v>
      </c>
      <c r="C63" s="283">
        <v>15.494</v>
      </c>
      <c r="D63" s="283">
        <v>15.494</v>
      </c>
      <c r="E63" s="205">
        <f t="shared" si="5"/>
        <v>100</v>
      </c>
      <c r="F63" s="205">
        <f t="shared" si="4"/>
        <v>0</v>
      </c>
    </row>
    <row r="64" spans="1:6" s="139" customFormat="1" ht="17.25" customHeight="1">
      <c r="A64" s="208" t="s">
        <v>35</v>
      </c>
      <c r="B64" s="209" t="s">
        <v>229</v>
      </c>
      <c r="C64" s="281">
        <f>C65</f>
        <v>103.383</v>
      </c>
      <c r="D64" s="281">
        <f>D65</f>
        <v>103.383</v>
      </c>
      <c r="E64" s="202">
        <f t="shared" si="5"/>
        <v>100</v>
      </c>
      <c r="F64" s="202">
        <f t="shared" si="4"/>
        <v>0</v>
      </c>
    </row>
    <row r="65" spans="1:6" ht="17.25" customHeight="1">
      <c r="A65" s="210" t="s">
        <v>230</v>
      </c>
      <c r="B65" s="211" t="s">
        <v>231</v>
      </c>
      <c r="C65" s="283">
        <v>103.383</v>
      </c>
      <c r="D65" s="283">
        <v>103.383</v>
      </c>
      <c r="E65" s="205">
        <f t="shared" si="5"/>
        <v>100</v>
      </c>
      <c r="F65" s="205">
        <f t="shared" si="4"/>
        <v>0</v>
      </c>
    </row>
    <row r="66" spans="1:6" s="139" customFormat="1" ht="17.25" customHeight="1">
      <c r="A66" s="200" t="s">
        <v>37</v>
      </c>
      <c r="B66" s="201" t="s">
        <v>232</v>
      </c>
      <c r="C66" s="281">
        <f>C69+C70+C71</f>
        <v>15</v>
      </c>
      <c r="D66" s="281">
        <f>SUM(D69+D70+D71)</f>
        <v>14.81148</v>
      </c>
      <c r="E66" s="202">
        <f t="shared" si="5"/>
        <v>98.7432</v>
      </c>
      <c r="F66" s="202">
        <f t="shared" si="4"/>
        <v>-0.18852000000000046</v>
      </c>
    </row>
    <row r="67" spans="1:6" ht="17.25" customHeight="1" hidden="1">
      <c r="A67" s="203" t="s">
        <v>233</v>
      </c>
      <c r="B67" s="206" t="s">
        <v>234</v>
      </c>
      <c r="C67" s="283"/>
      <c r="D67" s="283"/>
      <c r="E67" s="202" t="e">
        <f t="shared" si="5"/>
        <v>#DIV/0!</v>
      </c>
      <c r="F67" s="202">
        <f t="shared" si="4"/>
        <v>0</v>
      </c>
    </row>
    <row r="68" spans="1:6" ht="17.25" customHeight="1" hidden="1">
      <c r="A68" s="212" t="s">
        <v>235</v>
      </c>
      <c r="B68" s="206" t="s">
        <v>317</v>
      </c>
      <c r="C68" s="283"/>
      <c r="D68" s="283"/>
      <c r="E68" s="202" t="e">
        <f t="shared" si="5"/>
        <v>#DIV/0!</v>
      </c>
      <c r="F68" s="202">
        <f t="shared" si="4"/>
        <v>0</v>
      </c>
    </row>
    <row r="69" spans="1:6" ht="18" customHeight="1">
      <c r="A69" s="213" t="s">
        <v>237</v>
      </c>
      <c r="B69" s="214" t="s">
        <v>238</v>
      </c>
      <c r="C69" s="283">
        <v>3</v>
      </c>
      <c r="D69" s="283">
        <v>2.81148</v>
      </c>
      <c r="E69" s="202">
        <f t="shared" si="5"/>
        <v>93.716</v>
      </c>
      <c r="F69" s="202">
        <f t="shared" si="4"/>
        <v>-0.18852000000000002</v>
      </c>
    </row>
    <row r="70" spans="1:6" ht="18" customHeight="1">
      <c r="A70" s="213" t="s">
        <v>239</v>
      </c>
      <c r="B70" s="214" t="s">
        <v>240</v>
      </c>
      <c r="C70" s="283">
        <v>10</v>
      </c>
      <c r="D70" s="283">
        <v>10</v>
      </c>
      <c r="E70" s="205">
        <f t="shared" si="5"/>
        <v>100</v>
      </c>
      <c r="F70" s="205">
        <f t="shared" si="4"/>
        <v>0</v>
      </c>
    </row>
    <row r="71" spans="1:6" ht="18" customHeight="1">
      <c r="A71" s="213" t="s">
        <v>241</v>
      </c>
      <c r="B71" s="214" t="s">
        <v>363</v>
      </c>
      <c r="C71" s="283">
        <v>2</v>
      </c>
      <c r="D71" s="283">
        <v>2</v>
      </c>
      <c r="E71" s="205"/>
      <c r="F71" s="205"/>
    </row>
    <row r="72" spans="1:6" s="139" customFormat="1" ht="15.75" customHeight="1">
      <c r="A72" s="200" t="s">
        <v>39</v>
      </c>
      <c r="B72" s="201" t="s">
        <v>243</v>
      </c>
      <c r="C72" s="251">
        <f>SUM(C73:C76)</f>
        <v>2780.2559</v>
      </c>
      <c r="D72" s="251">
        <f>D73+D74+D75+D76</f>
        <v>2742.44728</v>
      </c>
      <c r="E72" s="202">
        <f aca="true" t="shared" si="6" ref="E72:E86">SUM(D72/C72*100)</f>
        <v>98.64010287686108</v>
      </c>
      <c r="F72" s="202">
        <f aca="true" t="shared" si="7" ref="F72:F87">SUM(D72-C72)</f>
        <v>-37.808620000000246</v>
      </c>
    </row>
    <row r="73" spans="1:6" ht="16.5" customHeight="1">
      <c r="A73" s="203" t="s">
        <v>246</v>
      </c>
      <c r="B73" s="206" t="s">
        <v>319</v>
      </c>
      <c r="C73" s="284"/>
      <c r="D73" s="283">
        <v>0</v>
      </c>
      <c r="E73" s="205" t="e">
        <f t="shared" si="6"/>
        <v>#DIV/0!</v>
      </c>
      <c r="F73" s="205">
        <f t="shared" si="7"/>
        <v>0</v>
      </c>
    </row>
    <row r="74" spans="1:7" s="139" customFormat="1" ht="19.5" customHeight="1">
      <c r="A74" s="203" t="s">
        <v>248</v>
      </c>
      <c r="B74" s="206" t="s">
        <v>320</v>
      </c>
      <c r="C74" s="284">
        <v>24.457</v>
      </c>
      <c r="D74" s="283">
        <v>23.2</v>
      </c>
      <c r="E74" s="205">
        <f t="shared" si="6"/>
        <v>94.8603671750419</v>
      </c>
      <c r="F74" s="205">
        <f t="shared" si="7"/>
        <v>-1.2570000000000014</v>
      </c>
      <c r="G74" s="142"/>
    </row>
    <row r="75" spans="1:6" ht="17.25" customHeight="1">
      <c r="A75" s="203" t="s">
        <v>250</v>
      </c>
      <c r="B75" s="206" t="s">
        <v>251</v>
      </c>
      <c r="C75" s="284">
        <v>2699.4139</v>
      </c>
      <c r="D75" s="283">
        <v>2692.84728</v>
      </c>
      <c r="E75" s="205">
        <f t="shared" si="6"/>
        <v>99.75673904620554</v>
      </c>
      <c r="F75" s="205">
        <f t="shared" si="7"/>
        <v>-6.566620000000057</v>
      </c>
    </row>
    <row r="76" spans="1:6" ht="15.75" customHeight="1">
      <c r="A76" s="203" t="s">
        <v>252</v>
      </c>
      <c r="B76" s="206" t="s">
        <v>253</v>
      </c>
      <c r="C76" s="284">
        <v>56.385</v>
      </c>
      <c r="D76" s="283">
        <v>26.4</v>
      </c>
      <c r="E76" s="205">
        <f t="shared" si="6"/>
        <v>46.82096302208034</v>
      </c>
      <c r="F76" s="205">
        <f t="shared" si="7"/>
        <v>-29.985</v>
      </c>
    </row>
    <row r="77" spans="1:6" s="139" customFormat="1" ht="16.5" customHeight="1">
      <c r="A77" s="200" t="s">
        <v>41</v>
      </c>
      <c r="B77" s="201" t="s">
        <v>254</v>
      </c>
      <c r="C77" s="281">
        <f>SUM(C78:C80)</f>
        <v>3629.26095</v>
      </c>
      <c r="D77" s="281">
        <f>SUM(D80+D79)</f>
        <v>3606.38785</v>
      </c>
      <c r="E77" s="202">
        <f t="shared" si="6"/>
        <v>99.3697587383459</v>
      </c>
      <c r="F77" s="202">
        <f t="shared" si="7"/>
        <v>-22.873099999999795</v>
      </c>
    </row>
    <row r="78" spans="1:6" ht="15.75" customHeight="1" hidden="1">
      <c r="A78" s="203" t="s">
        <v>255</v>
      </c>
      <c r="B78" s="217" t="s">
        <v>256</v>
      </c>
      <c r="C78" s="283">
        <v>0</v>
      </c>
      <c r="D78" s="283">
        <v>0</v>
      </c>
      <c r="E78" s="205" t="e">
        <f t="shared" si="6"/>
        <v>#DIV/0!</v>
      </c>
      <c r="F78" s="205">
        <f t="shared" si="7"/>
        <v>0</v>
      </c>
    </row>
    <row r="79" spans="1:6" ht="20.25" customHeight="1">
      <c r="A79" s="203" t="s">
        <v>257</v>
      </c>
      <c r="B79" s="217" t="s">
        <v>258</v>
      </c>
      <c r="C79" s="283">
        <v>2571.57474</v>
      </c>
      <c r="D79" s="283">
        <v>2568.76869</v>
      </c>
      <c r="E79" s="205">
        <f t="shared" si="6"/>
        <v>99.89088203596212</v>
      </c>
      <c r="F79" s="205">
        <f t="shared" si="7"/>
        <v>-2.806050000000141</v>
      </c>
    </row>
    <row r="80" spans="1:6" ht="17.25" customHeight="1">
      <c r="A80" s="203" t="s">
        <v>259</v>
      </c>
      <c r="B80" s="206" t="s">
        <v>260</v>
      </c>
      <c r="C80" s="283">
        <v>1057.68621</v>
      </c>
      <c r="D80" s="283">
        <v>1037.61916</v>
      </c>
      <c r="E80" s="205">
        <f t="shared" si="6"/>
        <v>98.10274069849127</v>
      </c>
      <c r="F80" s="205">
        <f t="shared" si="7"/>
        <v>-20.06705000000011</v>
      </c>
    </row>
    <row r="81" spans="1:6" s="139" customFormat="1" ht="17.25" customHeight="1">
      <c r="A81" s="200" t="s">
        <v>47</v>
      </c>
      <c r="B81" s="201" t="s">
        <v>275</v>
      </c>
      <c r="C81" s="281">
        <f>C82</f>
        <v>913.385</v>
      </c>
      <c r="D81" s="281">
        <f>D82</f>
        <v>896.90538</v>
      </c>
      <c r="E81" s="202">
        <f t="shared" si="6"/>
        <v>98.19576410823475</v>
      </c>
      <c r="F81" s="202">
        <f t="shared" si="7"/>
        <v>-16.479619999999954</v>
      </c>
    </row>
    <row r="82" spans="1:6" ht="15" customHeight="1">
      <c r="A82" s="203" t="s">
        <v>276</v>
      </c>
      <c r="B82" s="206" t="s">
        <v>277</v>
      </c>
      <c r="C82" s="283">
        <v>913.385</v>
      </c>
      <c r="D82" s="283">
        <v>896.90538</v>
      </c>
      <c r="E82" s="205">
        <f t="shared" si="6"/>
        <v>98.19576410823475</v>
      </c>
      <c r="F82" s="205">
        <f t="shared" si="7"/>
        <v>-16.479619999999954</v>
      </c>
    </row>
    <row r="83" spans="1:6" s="139" customFormat="1" ht="0.75" customHeight="1" hidden="1">
      <c r="A83" s="218">
        <v>1000</v>
      </c>
      <c r="B83" s="201" t="s">
        <v>280</v>
      </c>
      <c r="C83" s="281">
        <f>SUM(C84:C87)</f>
        <v>0</v>
      </c>
      <c r="D83" s="281">
        <f>SUM(D84:D87)</f>
        <v>0</v>
      </c>
      <c r="E83" s="202" t="e">
        <f t="shared" si="6"/>
        <v>#DIV/0!</v>
      </c>
      <c r="F83" s="202">
        <f t="shared" si="7"/>
        <v>0</v>
      </c>
    </row>
    <row r="84" spans="1:6" ht="0.75" customHeight="1" hidden="1">
      <c r="A84" s="219">
        <v>1001</v>
      </c>
      <c r="B84" s="220" t="s">
        <v>281</v>
      </c>
      <c r="C84" s="283"/>
      <c r="D84" s="283"/>
      <c r="E84" s="205" t="e">
        <f t="shared" si="6"/>
        <v>#DIV/0!</v>
      </c>
      <c r="F84" s="205">
        <f t="shared" si="7"/>
        <v>0</v>
      </c>
    </row>
    <row r="85" spans="1:6" ht="17.25" customHeight="1" hidden="1">
      <c r="A85" s="219">
        <v>1003</v>
      </c>
      <c r="B85" s="220" t="s">
        <v>282</v>
      </c>
      <c r="C85" s="283">
        <v>0</v>
      </c>
      <c r="D85" s="283">
        <v>0</v>
      </c>
      <c r="E85" s="205" t="e">
        <f t="shared" si="6"/>
        <v>#DIV/0!</v>
      </c>
      <c r="F85" s="205">
        <f t="shared" si="7"/>
        <v>0</v>
      </c>
    </row>
    <row r="86" spans="1:6" ht="17.25" customHeight="1" hidden="1">
      <c r="A86" s="219">
        <v>1004</v>
      </c>
      <c r="B86" s="220" t="s">
        <v>283</v>
      </c>
      <c r="C86" s="283"/>
      <c r="D86" s="285"/>
      <c r="E86" s="205" t="e">
        <f t="shared" si="6"/>
        <v>#DIV/0!</v>
      </c>
      <c r="F86" s="205">
        <f t="shared" si="7"/>
        <v>0</v>
      </c>
    </row>
    <row r="87" spans="1:6" ht="17.25" customHeight="1" hidden="1">
      <c r="A87" s="203" t="s">
        <v>284</v>
      </c>
      <c r="B87" s="206" t="s">
        <v>285</v>
      </c>
      <c r="C87" s="283">
        <v>0</v>
      </c>
      <c r="D87" s="283">
        <v>0</v>
      </c>
      <c r="E87" s="205"/>
      <c r="F87" s="205">
        <f t="shared" si="7"/>
        <v>0</v>
      </c>
    </row>
    <row r="88" spans="1:6" ht="17.25" customHeight="1">
      <c r="A88" s="200" t="s">
        <v>51</v>
      </c>
      <c r="B88" s="201" t="s">
        <v>286</v>
      </c>
      <c r="C88" s="281">
        <f>C89+C90+C91+C92+C93</f>
        <v>30</v>
      </c>
      <c r="D88" s="281">
        <f>D89+D90+D91+D92+D93</f>
        <v>30</v>
      </c>
      <c r="E88" s="205">
        <f aca="true" t="shared" si="8" ref="E88:E98">SUM(D88/C88*100)</f>
        <v>100</v>
      </c>
      <c r="F88" s="190">
        <f>F89+F90+F91+F92+F93</f>
        <v>0</v>
      </c>
    </row>
    <row r="89" spans="1:6" ht="17.25" customHeight="1">
      <c r="A89" s="203" t="s">
        <v>287</v>
      </c>
      <c r="B89" s="206" t="s">
        <v>288</v>
      </c>
      <c r="C89" s="283">
        <v>30</v>
      </c>
      <c r="D89" s="283">
        <v>30</v>
      </c>
      <c r="E89" s="205">
        <f t="shared" si="8"/>
        <v>100</v>
      </c>
      <c r="F89" s="205">
        <f>SUM(D89-C89)</f>
        <v>0</v>
      </c>
    </row>
    <row r="90" spans="1:6" ht="15.75" customHeight="1" hidden="1">
      <c r="A90" s="203" t="s">
        <v>289</v>
      </c>
      <c r="B90" s="206" t="s">
        <v>290</v>
      </c>
      <c r="C90" s="283"/>
      <c r="D90" s="283"/>
      <c r="E90" s="205" t="e">
        <f t="shared" si="8"/>
        <v>#DIV/0!</v>
      </c>
      <c r="F90" s="205">
        <f>SUM(D90-C90)</f>
        <v>0</v>
      </c>
    </row>
    <row r="91" spans="1:6" ht="15.75" customHeight="1" hidden="1">
      <c r="A91" s="203" t="s">
        <v>291</v>
      </c>
      <c r="B91" s="206" t="s">
        <v>292</v>
      </c>
      <c r="C91" s="283"/>
      <c r="D91" s="283"/>
      <c r="E91" s="205" t="e">
        <f t="shared" si="8"/>
        <v>#DIV/0!</v>
      </c>
      <c r="F91" s="205"/>
    </row>
    <row r="92" spans="1:6" ht="15.75" customHeight="1" hidden="1">
      <c r="A92" s="203" t="s">
        <v>293</v>
      </c>
      <c r="B92" s="206" t="s">
        <v>294</v>
      </c>
      <c r="C92" s="283"/>
      <c r="D92" s="283"/>
      <c r="E92" s="205" t="e">
        <f t="shared" si="8"/>
        <v>#DIV/0!</v>
      </c>
      <c r="F92" s="205"/>
    </row>
    <row r="93" spans="1:6" ht="15.75" customHeight="1" hidden="1">
      <c r="A93" s="203" t="s">
        <v>295</v>
      </c>
      <c r="B93" s="206" t="s">
        <v>296</v>
      </c>
      <c r="C93" s="283"/>
      <c r="D93" s="283"/>
      <c r="E93" s="205" t="e">
        <f t="shared" si="8"/>
        <v>#DIV/0!</v>
      </c>
      <c r="F93" s="205"/>
    </row>
    <row r="94" spans="1:6" s="139" customFormat="1" ht="15.75" customHeight="1" hidden="1">
      <c r="A94" s="218">
        <v>1400</v>
      </c>
      <c r="B94" s="222" t="s">
        <v>303</v>
      </c>
      <c r="C94" s="251">
        <f>C95+C96+C97</f>
        <v>0</v>
      </c>
      <c r="D94" s="251">
        <f>SUM(D95:D97)</f>
        <v>0</v>
      </c>
      <c r="E94" s="202" t="e">
        <f t="shared" si="8"/>
        <v>#DIV/0!</v>
      </c>
      <c r="F94" s="202">
        <f>SUM(D94-C94)</f>
        <v>0</v>
      </c>
    </row>
    <row r="95" spans="1:6" ht="15.75" customHeight="1" hidden="1">
      <c r="A95" s="219">
        <v>1401</v>
      </c>
      <c r="B95" s="220" t="s">
        <v>304</v>
      </c>
      <c r="C95" s="284"/>
      <c r="D95" s="283"/>
      <c r="E95" s="205" t="e">
        <f t="shared" si="8"/>
        <v>#DIV/0!</v>
      </c>
      <c r="F95" s="205">
        <f>SUM(D95-C95)</f>
        <v>0</v>
      </c>
    </row>
    <row r="96" spans="1:6" ht="18" customHeight="1" hidden="1">
      <c r="A96" s="219">
        <v>1402</v>
      </c>
      <c r="B96" s="220" t="s">
        <v>305</v>
      </c>
      <c r="C96" s="295"/>
      <c r="D96" s="250"/>
      <c r="E96" s="205" t="e">
        <f t="shared" si="8"/>
        <v>#DIV/0!</v>
      </c>
      <c r="F96" s="205">
        <f>SUM(D96-C96)</f>
        <v>0</v>
      </c>
    </row>
    <row r="97" spans="1:6" ht="15.75" customHeight="1" hidden="1">
      <c r="A97" s="219">
        <v>1403</v>
      </c>
      <c r="B97" s="220" t="s">
        <v>306</v>
      </c>
      <c r="C97" s="284">
        <v>0</v>
      </c>
      <c r="D97" s="283">
        <v>0</v>
      </c>
      <c r="E97" s="205" t="e">
        <f t="shared" si="8"/>
        <v>#DIV/0!</v>
      </c>
      <c r="F97" s="205">
        <f>SUM(D97-C97)</f>
        <v>0</v>
      </c>
    </row>
    <row r="98" spans="1:8" s="139" customFormat="1" ht="16.5" customHeight="1">
      <c r="A98" s="218"/>
      <c r="B98" s="223" t="s">
        <v>307</v>
      </c>
      <c r="C98" s="309">
        <f>C56+C64+C66+C72+C77+C81+C83+C88+C94</f>
        <v>8820.13985</v>
      </c>
      <c r="D98" s="310">
        <f>D56+D64+D66+D72+D77+D81+D88</f>
        <v>8720.39063</v>
      </c>
      <c r="E98" s="202">
        <f t="shared" si="8"/>
        <v>98.86907439455169</v>
      </c>
      <c r="F98" s="202">
        <f>SUM(D98-C98)</f>
        <v>-99.7492199999997</v>
      </c>
      <c r="G98" s="308"/>
      <c r="H98" s="308"/>
    </row>
    <row r="99" spans="3:4" ht="20.25" customHeight="1">
      <c r="C99" s="226"/>
      <c r="D99" s="227"/>
    </row>
    <row r="100" spans="1:4" s="143" customFormat="1" ht="13.5" customHeight="1">
      <c r="A100" s="228" t="s">
        <v>308</v>
      </c>
      <c r="B100" s="228"/>
      <c r="C100" s="265"/>
      <c r="D100" s="254"/>
    </row>
    <row r="101" spans="1:4" s="143" customFormat="1" ht="12.75">
      <c r="A101" s="230" t="s">
        <v>309</v>
      </c>
      <c r="B101" s="230"/>
      <c r="C101" s="298" t="s">
        <v>310</v>
      </c>
      <c r="D101" s="298"/>
    </row>
    <row r="102" ht="5.25" customHeight="1">
      <c r="C102" s="264"/>
    </row>
    <row r="144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view="pageBreakPreview" zoomScale="70" zoomScaleSheetLayoutView="70" zoomScalePageLayoutView="0" workbookViewId="0" topLeftCell="A43">
      <selection activeCell="D89" sqref="D89"/>
    </sheetView>
  </sheetViews>
  <sheetFormatPr defaultColWidth="9.140625" defaultRowHeight="12.75"/>
  <cols>
    <col min="1" max="1" width="14.7109375" style="135" customWidth="1"/>
    <col min="2" max="2" width="57.57421875" style="136" customWidth="1"/>
    <col min="3" max="3" width="17.7109375" style="137" customWidth="1"/>
    <col min="4" max="4" width="15.7109375" style="137" customWidth="1"/>
    <col min="5" max="5" width="12.57421875" style="137" customWidth="1"/>
    <col min="6" max="6" width="9.8515625" style="137" customWidth="1"/>
    <col min="7" max="7" width="19.421875" style="138" customWidth="1"/>
    <col min="8" max="8" width="14.421875" style="138" customWidth="1"/>
    <col min="9" max="16384" width="9.140625" style="138" customWidth="1"/>
  </cols>
  <sheetData>
    <row r="1" spans="1:6" ht="12.75" customHeight="1">
      <c r="A1" s="469" t="s">
        <v>436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C5+C12+C17+C7+C14</f>
        <v>1108.88</v>
      </c>
      <c r="D4" s="150">
        <f>D5+D12+D14+D17+D20+D7</f>
        <v>1038.26726</v>
      </c>
      <c r="E4" s="150">
        <f aca="true" t="shared" si="0" ref="E4:E33">SUM(D4/C4*100)</f>
        <v>93.63206658971214</v>
      </c>
      <c r="F4" s="150">
        <f aca="true" t="shared" si="1" ref="F4:F14">SUM(D4-C4)</f>
        <v>-70.61274000000003</v>
      </c>
    </row>
    <row r="5" spans="1:6" s="139" customFormat="1" ht="15.75">
      <c r="A5" s="151">
        <v>1010000000</v>
      </c>
      <c r="B5" s="152" t="s">
        <v>146</v>
      </c>
      <c r="C5" s="150">
        <f>C6</f>
        <v>102</v>
      </c>
      <c r="D5" s="150">
        <f>D6</f>
        <v>101.66852</v>
      </c>
      <c r="E5" s="150">
        <f t="shared" si="0"/>
        <v>99.67501960784314</v>
      </c>
      <c r="F5" s="150">
        <f t="shared" si="1"/>
        <v>-0.3314799999999991</v>
      </c>
    </row>
    <row r="6" spans="1:6" ht="15.75">
      <c r="A6" s="153">
        <v>1010200001</v>
      </c>
      <c r="B6" s="154" t="s">
        <v>147</v>
      </c>
      <c r="C6" s="155">
        <v>102</v>
      </c>
      <c r="D6" s="156">
        <v>101.66852</v>
      </c>
      <c r="E6" s="155">
        <f t="shared" si="0"/>
        <v>99.67501960784314</v>
      </c>
      <c r="F6" s="155">
        <f t="shared" si="1"/>
        <v>-0.3314799999999991</v>
      </c>
    </row>
    <row r="7" spans="1:6" ht="31.5">
      <c r="A7" s="148">
        <v>1030000000</v>
      </c>
      <c r="B7" s="157" t="s">
        <v>148</v>
      </c>
      <c r="C7" s="150">
        <f>C8+C10+C9</f>
        <v>356.08</v>
      </c>
      <c r="D7" s="150">
        <f>D8+D10+D9+D11</f>
        <v>400.01315999999997</v>
      </c>
      <c r="E7" s="155">
        <f t="shared" si="0"/>
        <v>112.33800269602337</v>
      </c>
      <c r="F7" s="155">
        <f t="shared" si="1"/>
        <v>43.93315999999999</v>
      </c>
    </row>
    <row r="8" spans="1:6" ht="15.75">
      <c r="A8" s="153">
        <v>1030223001</v>
      </c>
      <c r="B8" s="154" t="s">
        <v>149</v>
      </c>
      <c r="C8" s="155">
        <v>132.82</v>
      </c>
      <c r="D8" s="156">
        <v>184.66991</v>
      </c>
      <c r="E8" s="155">
        <f t="shared" si="0"/>
        <v>139.03772775184459</v>
      </c>
      <c r="F8" s="155">
        <f t="shared" si="1"/>
        <v>51.849909999999994</v>
      </c>
    </row>
    <row r="9" spans="1:6" ht="15.75">
      <c r="A9" s="153">
        <v>1030224001</v>
      </c>
      <c r="B9" s="154" t="s">
        <v>150</v>
      </c>
      <c r="C9" s="155">
        <v>1.42</v>
      </c>
      <c r="D9" s="156">
        <v>1.29873</v>
      </c>
      <c r="E9" s="155">
        <f t="shared" si="0"/>
        <v>91.45985915492957</v>
      </c>
      <c r="F9" s="155">
        <f t="shared" si="1"/>
        <v>-0.12126999999999999</v>
      </c>
    </row>
    <row r="10" spans="1:6" ht="15.75">
      <c r="A10" s="153">
        <v>1030225001</v>
      </c>
      <c r="B10" s="154" t="s">
        <v>151</v>
      </c>
      <c r="C10" s="155">
        <v>221.84</v>
      </c>
      <c r="D10" s="156">
        <v>245.53547</v>
      </c>
      <c r="E10" s="155">
        <f t="shared" si="0"/>
        <v>110.68133339343672</v>
      </c>
      <c r="F10" s="155">
        <f t="shared" si="1"/>
        <v>23.69547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-31.49095</v>
      </c>
      <c r="E11" s="155" t="e">
        <f t="shared" si="0"/>
        <v>#DIV/0!</v>
      </c>
      <c r="F11" s="155">
        <f t="shared" si="1"/>
        <v>-31.49095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94.8</v>
      </c>
      <c r="D12" s="150">
        <f>SUM(D13:D13)</f>
        <v>92.3601</v>
      </c>
      <c r="E12" s="150">
        <f t="shared" si="0"/>
        <v>97.42626582278481</v>
      </c>
      <c r="F12" s="150">
        <f t="shared" si="1"/>
        <v>-2.4398999999999944</v>
      </c>
    </row>
    <row r="13" spans="1:6" ht="15.75" customHeight="1">
      <c r="A13" s="153">
        <v>1050300000</v>
      </c>
      <c r="B13" s="158" t="s">
        <v>156</v>
      </c>
      <c r="C13" s="159">
        <v>94.8</v>
      </c>
      <c r="D13" s="156">
        <v>92.3601</v>
      </c>
      <c r="E13" s="155">
        <f t="shared" si="0"/>
        <v>97.42626582278481</v>
      </c>
      <c r="F13" s="155">
        <f t="shared" si="1"/>
        <v>-2.4398999999999944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551</v>
      </c>
      <c r="D14" s="150">
        <f>D15+D16</f>
        <v>439.12548</v>
      </c>
      <c r="E14" s="155">
        <f t="shared" si="0"/>
        <v>79.6960943738657</v>
      </c>
      <c r="F14" s="155">
        <f t="shared" si="1"/>
        <v>-111.87452000000002</v>
      </c>
    </row>
    <row r="15" spans="1:6" s="139" customFormat="1" ht="15.75" customHeight="1">
      <c r="A15" s="153">
        <v>1060100000</v>
      </c>
      <c r="B15" s="158" t="s">
        <v>159</v>
      </c>
      <c r="C15" s="311">
        <v>91</v>
      </c>
      <c r="D15" s="156">
        <v>84.55374</v>
      </c>
      <c r="E15" s="155">
        <f t="shared" si="0"/>
        <v>92.91619780219781</v>
      </c>
      <c r="F15" s="155">
        <f>SUM(D15-C14)</f>
        <v>-466.44626</v>
      </c>
    </row>
    <row r="16" spans="1:6" ht="15.75" customHeight="1">
      <c r="A16" s="153">
        <v>1060600000</v>
      </c>
      <c r="B16" s="158" t="s">
        <v>162</v>
      </c>
      <c r="C16" s="155">
        <v>460</v>
      </c>
      <c r="D16" s="156">
        <v>354.57174</v>
      </c>
      <c r="E16" s="155">
        <f t="shared" si="0"/>
        <v>77.08081304347826</v>
      </c>
      <c r="F16" s="155">
        <f aca="true" t="shared" si="2" ref="F16:F33">SUM(D16-C16)</f>
        <v>-105.42826000000002</v>
      </c>
    </row>
    <row r="17" spans="1:6" s="139" customFormat="1" ht="15.75">
      <c r="A17" s="148">
        <v>1080000000</v>
      </c>
      <c r="B17" s="149" t="s">
        <v>165</v>
      </c>
      <c r="C17" s="150">
        <f>C18</f>
        <v>5</v>
      </c>
      <c r="D17" s="150">
        <f>D18</f>
        <v>5.1</v>
      </c>
      <c r="E17" s="150">
        <f t="shared" si="0"/>
        <v>102</v>
      </c>
      <c r="F17" s="150">
        <f t="shared" si="2"/>
        <v>0.09999999999999964</v>
      </c>
    </row>
    <row r="18" spans="1:6" ht="18.75" customHeight="1">
      <c r="A18" s="153">
        <v>1080400001</v>
      </c>
      <c r="B18" s="154" t="s">
        <v>167</v>
      </c>
      <c r="C18" s="155">
        <v>5</v>
      </c>
      <c r="D18" s="156">
        <v>5.1</v>
      </c>
      <c r="E18" s="155">
        <f t="shared" si="0"/>
        <v>102</v>
      </c>
      <c r="F18" s="155">
        <f t="shared" si="2"/>
        <v>0.09999999999999964</v>
      </c>
    </row>
    <row r="19" spans="1:6" ht="15.7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2"/>
        <v>0</v>
      </c>
    </row>
    <row r="20" spans="1:6" s="140" customFormat="1" ht="0.75" customHeight="1" hidden="1">
      <c r="A20" s="151">
        <v>1090000000</v>
      </c>
      <c r="B20" s="160" t="s">
        <v>169</v>
      </c>
      <c r="C20" s="150">
        <f>C21+C22+C23+C24</f>
        <v>0</v>
      </c>
      <c r="D20" s="150">
        <f>D22</f>
        <v>0</v>
      </c>
      <c r="E20" s="150" t="e">
        <f t="shared" si="0"/>
        <v>#DIV/0!</v>
      </c>
      <c r="F20" s="150">
        <f t="shared" si="2"/>
        <v>0</v>
      </c>
    </row>
    <row r="21" spans="1:6" s="140" customFormat="1" ht="15.75" customHeight="1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2"/>
        <v>0</v>
      </c>
    </row>
    <row r="22" spans="1:6" s="140" customFormat="1" ht="16.5" customHeight="1" hidden="1">
      <c r="A22" s="153">
        <v>1090400000</v>
      </c>
      <c r="B22" s="154" t="s">
        <v>341</v>
      </c>
      <c r="C22" s="155">
        <v>0</v>
      </c>
      <c r="D22" s="156">
        <v>0</v>
      </c>
      <c r="E22" s="155" t="e">
        <f t="shared" si="0"/>
        <v>#DIV/0!</v>
      </c>
      <c r="F22" s="155">
        <f t="shared" si="2"/>
        <v>0</v>
      </c>
    </row>
    <row r="23" spans="1:6" s="140" customFormat="1" ht="0.75" customHeight="1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2"/>
        <v>0</v>
      </c>
    </row>
    <row r="24" spans="1:6" s="140" customFormat="1" ht="15.75" customHeight="1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2"/>
        <v>0</v>
      </c>
    </row>
    <row r="25" spans="1:6" s="139" customFormat="1" ht="15.75" customHeight="1">
      <c r="A25" s="148"/>
      <c r="B25" s="149" t="s">
        <v>17</v>
      </c>
      <c r="C25" s="150">
        <f>C26+C29+C31+C37+C34</f>
        <v>155.7</v>
      </c>
      <c r="D25" s="150">
        <f>D26+D29+D31+D37+D34</f>
        <v>227.31946</v>
      </c>
      <c r="E25" s="150">
        <f t="shared" si="0"/>
        <v>145.998368657675</v>
      </c>
      <c r="F25" s="150">
        <f t="shared" si="2"/>
        <v>71.61946</v>
      </c>
    </row>
    <row r="26" spans="1:6" s="139" customFormat="1" ht="15.75" customHeight="1">
      <c r="A26" s="151">
        <v>1110000000</v>
      </c>
      <c r="B26" s="160" t="s">
        <v>174</v>
      </c>
      <c r="C26" s="150">
        <f>C27+C28</f>
        <v>85.7</v>
      </c>
      <c r="D26" s="150">
        <f>D27+D28</f>
        <v>86.4716</v>
      </c>
      <c r="E26" s="150">
        <f t="shared" si="0"/>
        <v>100.90035005834307</v>
      </c>
      <c r="F26" s="150">
        <f t="shared" si="2"/>
        <v>0.7715999999999923</v>
      </c>
    </row>
    <row r="27" spans="1:6" ht="15.75" customHeight="1">
      <c r="A27" s="162">
        <v>1110502510</v>
      </c>
      <c r="B27" s="163" t="s">
        <v>177</v>
      </c>
      <c r="C27" s="159">
        <v>85.7</v>
      </c>
      <c r="D27" s="156">
        <v>86.4716</v>
      </c>
      <c r="E27" s="155">
        <f t="shared" si="0"/>
        <v>100.90035005834307</v>
      </c>
      <c r="F27" s="155">
        <f t="shared" si="2"/>
        <v>0.7715999999999923</v>
      </c>
    </row>
    <row r="28" spans="1:6" ht="17.25" customHeight="1">
      <c r="A28" s="153">
        <v>1110503505</v>
      </c>
      <c r="B28" s="158" t="s">
        <v>178</v>
      </c>
      <c r="C28" s="159">
        <v>0</v>
      </c>
      <c r="D28" s="156">
        <v>0</v>
      </c>
      <c r="E28" s="155" t="e">
        <f t="shared" si="0"/>
        <v>#DIV/0!</v>
      </c>
      <c r="F28" s="155">
        <f t="shared" si="2"/>
        <v>0</v>
      </c>
    </row>
    <row r="29" spans="1:6" s="140" customFormat="1" ht="33.75" customHeight="1">
      <c r="A29" s="151">
        <v>1130000000</v>
      </c>
      <c r="B29" s="160" t="s">
        <v>185</v>
      </c>
      <c r="C29" s="150">
        <f>C30</f>
        <v>70</v>
      </c>
      <c r="D29" s="150">
        <f>D30</f>
        <v>68.05603</v>
      </c>
      <c r="E29" s="150">
        <f t="shared" si="0"/>
        <v>97.22290000000001</v>
      </c>
      <c r="F29" s="150">
        <f t="shared" si="2"/>
        <v>-1.943969999999993</v>
      </c>
    </row>
    <row r="30" spans="1:6" ht="30" customHeight="1">
      <c r="A30" s="153">
        <v>1130206005</v>
      </c>
      <c r="B30" s="154" t="s">
        <v>187</v>
      </c>
      <c r="C30" s="155">
        <v>70</v>
      </c>
      <c r="D30" s="156">
        <v>68.05603</v>
      </c>
      <c r="E30" s="155">
        <f t="shared" si="0"/>
        <v>97.22290000000001</v>
      </c>
      <c r="F30" s="155">
        <f t="shared" si="2"/>
        <v>-1.943969999999993</v>
      </c>
    </row>
    <row r="31" spans="1:6" ht="27" customHeight="1">
      <c r="A31" s="164">
        <v>1140000000</v>
      </c>
      <c r="B31" s="165" t="s">
        <v>188</v>
      </c>
      <c r="C31" s="150">
        <f>C32+C33</f>
        <v>0</v>
      </c>
      <c r="D31" s="150">
        <f>D32+D33</f>
        <v>56.06</v>
      </c>
      <c r="E31" s="150" t="e">
        <f t="shared" si="0"/>
        <v>#DIV/0!</v>
      </c>
      <c r="F31" s="150">
        <f t="shared" si="2"/>
        <v>56.06</v>
      </c>
    </row>
    <row r="32" spans="1:6" ht="27" customHeight="1">
      <c r="A32" s="162">
        <v>1140200000</v>
      </c>
      <c r="B32" s="166" t="s">
        <v>189</v>
      </c>
      <c r="C32" s="155">
        <v>0</v>
      </c>
      <c r="D32" s="156">
        <v>56.06</v>
      </c>
      <c r="E32" s="155" t="e">
        <f t="shared" si="0"/>
        <v>#DIV/0!</v>
      </c>
      <c r="F32" s="155">
        <f t="shared" si="2"/>
        <v>56.06</v>
      </c>
    </row>
    <row r="33" spans="1:6" ht="25.5" customHeight="1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2"/>
        <v>0</v>
      </c>
    </row>
    <row r="34" spans="1:6" ht="23.25" customHeight="1">
      <c r="A34" s="148">
        <v>1160000000</v>
      </c>
      <c r="B34" s="157" t="s">
        <v>325</v>
      </c>
      <c r="C34" s="161">
        <f>C35</f>
        <v>0</v>
      </c>
      <c r="D34" s="161">
        <f>D35+D36</f>
        <v>16.73183</v>
      </c>
      <c r="E34" s="161" t="e">
        <f>E35</f>
        <v>#DIV/0!</v>
      </c>
      <c r="F34" s="161">
        <f>F35</f>
        <v>0</v>
      </c>
    </row>
    <row r="35" spans="1:6" ht="25.5" customHeight="1">
      <c r="A35" s="153">
        <v>1160701000</v>
      </c>
      <c r="B35" s="154" t="s">
        <v>420</v>
      </c>
      <c r="C35" s="155">
        <v>0</v>
      </c>
      <c r="D35" s="156">
        <v>16.73183</v>
      </c>
      <c r="E35" s="156" t="e">
        <f>E37</f>
        <v>#DIV/0!</v>
      </c>
      <c r="F35" s="156">
        <f>F37</f>
        <v>0</v>
      </c>
    </row>
    <row r="36" spans="1:6" ht="24.75" customHeight="1">
      <c r="A36" s="153">
        <v>1169005010</v>
      </c>
      <c r="B36" s="154" t="s">
        <v>364</v>
      </c>
      <c r="C36" s="155">
        <v>0</v>
      </c>
      <c r="D36" s="156">
        <v>0</v>
      </c>
      <c r="E36" s="156" t="e">
        <f>E38</f>
        <v>#DIV/0!</v>
      </c>
      <c r="F36" s="156">
        <f>F38</f>
        <v>0</v>
      </c>
    </row>
    <row r="37" spans="1:6" ht="23.25" customHeight="1">
      <c r="A37" s="148">
        <v>1170000000</v>
      </c>
      <c r="B37" s="157" t="s">
        <v>198</v>
      </c>
      <c r="C37" s="150">
        <f>C38+C39</f>
        <v>0</v>
      </c>
      <c r="D37" s="150">
        <f>D38+D39</f>
        <v>0</v>
      </c>
      <c r="E37" s="155" t="e">
        <f aca="true" t="shared" si="3" ref="E37:E47">SUM(D37/C37*100)</f>
        <v>#DIV/0!</v>
      </c>
      <c r="F37" s="150">
        <f aca="true" t="shared" si="4" ref="F37:F51">SUM(D37-C37)</f>
        <v>0</v>
      </c>
    </row>
    <row r="38" spans="1:6" ht="19.5" customHeight="1">
      <c r="A38" s="153">
        <v>1170105005</v>
      </c>
      <c r="B38" s="154" t="s">
        <v>199</v>
      </c>
      <c r="C38" s="155">
        <v>0</v>
      </c>
      <c r="D38" s="155">
        <v>0</v>
      </c>
      <c r="E38" s="155" t="e">
        <f t="shared" si="3"/>
        <v>#DIV/0!</v>
      </c>
      <c r="F38" s="155">
        <f t="shared" si="4"/>
        <v>0</v>
      </c>
    </row>
    <row r="39" spans="1:6" ht="18" customHeight="1">
      <c r="A39" s="153">
        <v>1170505005</v>
      </c>
      <c r="B39" s="158" t="s">
        <v>200</v>
      </c>
      <c r="C39" s="155">
        <v>0</v>
      </c>
      <c r="D39" s="156">
        <v>0</v>
      </c>
      <c r="E39" s="155" t="e">
        <f t="shared" si="3"/>
        <v>#DIV/0!</v>
      </c>
      <c r="F39" s="155">
        <f t="shared" si="4"/>
        <v>0</v>
      </c>
    </row>
    <row r="40" spans="1:6" s="139" customFormat="1" ht="17.25" customHeight="1">
      <c r="A40" s="148">
        <v>1000000000</v>
      </c>
      <c r="B40" s="149" t="s">
        <v>26</v>
      </c>
      <c r="C40" s="168">
        <f>SUM(C4,C25)</f>
        <v>1264.5800000000002</v>
      </c>
      <c r="D40" s="168">
        <f>D4+D25</f>
        <v>1265.58672</v>
      </c>
      <c r="E40" s="150">
        <f t="shared" si="3"/>
        <v>100.0796090401556</v>
      </c>
      <c r="F40" s="150">
        <f t="shared" si="4"/>
        <v>1.0067199999998593</v>
      </c>
    </row>
    <row r="41" spans="1:7" s="139" customFormat="1" ht="15.75">
      <c r="A41" s="148">
        <v>2000000000</v>
      </c>
      <c r="B41" s="149" t="s">
        <v>201</v>
      </c>
      <c r="C41" s="150">
        <f>C42+C44+C45+C46+C47+C48+C43+C50</f>
        <v>10549.326829999998</v>
      </c>
      <c r="D41" s="189">
        <f>D42+D44+D45+D46+D47+D48+D43+D50</f>
        <v>8829.165949999999</v>
      </c>
      <c r="E41" s="150">
        <f t="shared" si="3"/>
        <v>83.69411709656929</v>
      </c>
      <c r="F41" s="150">
        <f t="shared" si="4"/>
        <v>-1720.1608799999995</v>
      </c>
      <c r="G41" s="170"/>
    </row>
    <row r="42" spans="1:6" ht="16.5" customHeight="1">
      <c r="A42" s="162">
        <v>2021000000</v>
      </c>
      <c r="B42" s="163" t="s">
        <v>202</v>
      </c>
      <c r="C42" s="159">
        <v>3247.3</v>
      </c>
      <c r="D42" s="159">
        <v>3247.3</v>
      </c>
      <c r="E42" s="155">
        <f t="shared" si="3"/>
        <v>100</v>
      </c>
      <c r="F42" s="155">
        <f t="shared" si="4"/>
        <v>0</v>
      </c>
    </row>
    <row r="43" spans="1:6" ht="17.25" customHeight="1">
      <c r="A43" s="162">
        <v>2021500200</v>
      </c>
      <c r="B43" s="163" t="s">
        <v>205</v>
      </c>
      <c r="C43" s="159">
        <v>0</v>
      </c>
      <c r="D43" s="172">
        <v>0</v>
      </c>
      <c r="E43" s="155" t="e">
        <f t="shared" si="3"/>
        <v>#DIV/0!</v>
      </c>
      <c r="F43" s="155">
        <f t="shared" si="4"/>
        <v>0</v>
      </c>
    </row>
    <row r="44" spans="1:6" ht="15.75">
      <c r="A44" s="162">
        <v>2022000000</v>
      </c>
      <c r="B44" s="163" t="s">
        <v>206</v>
      </c>
      <c r="C44" s="159">
        <v>2509.64888</v>
      </c>
      <c r="D44" s="156">
        <v>789.788</v>
      </c>
      <c r="E44" s="155">
        <f t="shared" si="3"/>
        <v>31.47005966826722</v>
      </c>
      <c r="F44" s="155">
        <f t="shared" si="4"/>
        <v>-1719.8608800000002</v>
      </c>
    </row>
    <row r="45" spans="1:6" ht="17.25" customHeight="1">
      <c r="A45" s="162">
        <v>2023000000</v>
      </c>
      <c r="B45" s="163" t="s">
        <v>207</v>
      </c>
      <c r="C45" s="159">
        <v>103.383</v>
      </c>
      <c r="D45" s="174">
        <v>103.383</v>
      </c>
      <c r="E45" s="155">
        <f t="shared" si="3"/>
        <v>100</v>
      </c>
      <c r="F45" s="155">
        <f t="shared" si="4"/>
        <v>0</v>
      </c>
    </row>
    <row r="46" spans="1:6" ht="23.25" customHeight="1">
      <c r="A46" s="162">
        <v>2020400000</v>
      </c>
      <c r="B46" s="163" t="s">
        <v>102</v>
      </c>
      <c r="C46" s="159">
        <v>4670.69495</v>
      </c>
      <c r="D46" s="175">
        <v>4670.39495</v>
      </c>
      <c r="E46" s="155">
        <f t="shared" si="3"/>
        <v>99.99357697295132</v>
      </c>
      <c r="F46" s="155">
        <f t="shared" si="4"/>
        <v>-0.3000000000001819</v>
      </c>
    </row>
    <row r="47" spans="1:6" ht="21.75" customHeight="1" hidden="1">
      <c r="A47" s="162">
        <v>2020900000</v>
      </c>
      <c r="B47" s="166" t="s">
        <v>329</v>
      </c>
      <c r="C47" s="159"/>
      <c r="D47" s="175"/>
      <c r="E47" s="155" t="e">
        <f t="shared" si="3"/>
        <v>#DIV/0!</v>
      </c>
      <c r="F47" s="155">
        <f t="shared" si="4"/>
        <v>0</v>
      </c>
    </row>
    <row r="48" spans="1:6" ht="23.25" customHeight="1" hidden="1">
      <c r="A48" s="153">
        <v>2190500005</v>
      </c>
      <c r="B48" s="158" t="s">
        <v>209</v>
      </c>
      <c r="C48" s="161"/>
      <c r="D48" s="161"/>
      <c r="E48" s="150"/>
      <c r="F48" s="150">
        <f t="shared" si="4"/>
        <v>0</v>
      </c>
    </row>
    <row r="49" spans="1:6" s="139" customFormat="1" ht="27.75" customHeight="1">
      <c r="A49" s="148">
        <v>3000000000</v>
      </c>
      <c r="B49" s="157" t="s">
        <v>210</v>
      </c>
      <c r="C49" s="260">
        <v>0</v>
      </c>
      <c r="D49" s="161">
        <v>0</v>
      </c>
      <c r="E49" s="150" t="e">
        <f>SUM(D49/C49*100)</f>
        <v>#DIV/0!</v>
      </c>
      <c r="F49" s="150">
        <f t="shared" si="4"/>
        <v>0</v>
      </c>
    </row>
    <row r="50" spans="1:6" s="139" customFormat="1" ht="34.5" customHeight="1">
      <c r="A50" s="153">
        <v>2070500010</v>
      </c>
      <c r="B50" s="154" t="s">
        <v>355</v>
      </c>
      <c r="C50" s="159">
        <v>18.3</v>
      </c>
      <c r="D50" s="156">
        <v>18.3</v>
      </c>
      <c r="E50" s="155">
        <f>SUM(D50/C50*100)</f>
        <v>100</v>
      </c>
      <c r="F50" s="155">
        <f t="shared" si="4"/>
        <v>0</v>
      </c>
    </row>
    <row r="51" spans="1:8" s="139" customFormat="1" ht="19.5" customHeight="1">
      <c r="A51" s="148"/>
      <c r="B51" s="149" t="s">
        <v>211</v>
      </c>
      <c r="C51" s="288">
        <f>C40+C41</f>
        <v>11813.906829999998</v>
      </c>
      <c r="D51" s="279">
        <f>D40+D41</f>
        <v>10094.752669999998</v>
      </c>
      <c r="E51" s="270">
        <f>SUM(D51/C51*100)</f>
        <v>85.44804707927428</v>
      </c>
      <c r="F51" s="270">
        <f t="shared" si="4"/>
        <v>-1719.15416</v>
      </c>
      <c r="G51" s="186"/>
      <c r="H51" s="186"/>
    </row>
    <row r="52" spans="1:6" s="139" customFormat="1" ht="15.75">
      <c r="A52" s="148"/>
      <c r="B52" s="188" t="s">
        <v>212</v>
      </c>
      <c r="C52" s="270">
        <f>C51-C98</f>
        <v>-29.91055000000233</v>
      </c>
      <c r="D52" s="270">
        <f>D51-D98</f>
        <v>280.3815199999972</v>
      </c>
      <c r="E52" s="190"/>
      <c r="F52" s="190"/>
    </row>
    <row r="53" spans="1:6" ht="15.75">
      <c r="A53" s="191"/>
      <c r="B53" s="192"/>
      <c r="C53" s="193"/>
      <c r="D53" s="193"/>
      <c r="E53" s="194"/>
      <c r="F53" s="243"/>
    </row>
    <row r="54" spans="1:6" ht="46.5" customHeight="1">
      <c r="A54" s="196" t="s">
        <v>141</v>
      </c>
      <c r="B54" s="196" t="s">
        <v>213</v>
      </c>
      <c r="C54" s="145" t="s">
        <v>143</v>
      </c>
      <c r="D54" s="146" t="s">
        <v>426</v>
      </c>
      <c r="E54" s="145" t="s">
        <v>144</v>
      </c>
      <c r="F54" s="147" t="s">
        <v>145</v>
      </c>
    </row>
    <row r="55" spans="1:6" ht="15.75">
      <c r="A55" s="245">
        <v>1</v>
      </c>
      <c r="B55" s="196">
        <v>2</v>
      </c>
      <c r="C55" s="199">
        <v>3</v>
      </c>
      <c r="D55" s="199">
        <v>4</v>
      </c>
      <c r="E55" s="199">
        <v>5</v>
      </c>
      <c r="F55" s="199">
        <v>6</v>
      </c>
    </row>
    <row r="56" spans="1:6" s="139" customFormat="1" ht="29.25" customHeight="1">
      <c r="A56" s="200" t="s">
        <v>33</v>
      </c>
      <c r="B56" s="201" t="s">
        <v>214</v>
      </c>
      <c r="C56" s="299">
        <f>C57+C58+C59+C60+C61+C63+C62</f>
        <v>1801.894</v>
      </c>
      <c r="D56" s="290">
        <f>D57+D58+D59+D60+D61+D63+D62</f>
        <v>1785.86077</v>
      </c>
      <c r="E56" s="202">
        <f>SUM(D56/C56*100)</f>
        <v>99.11020126600121</v>
      </c>
      <c r="F56" s="202">
        <f>SUM(D56-C56)</f>
        <v>-16.033230000000003</v>
      </c>
    </row>
    <row r="57" spans="1:6" s="139" customFormat="1" ht="31.5" hidden="1">
      <c r="A57" s="203" t="s">
        <v>215</v>
      </c>
      <c r="B57" s="204" t="s">
        <v>216</v>
      </c>
      <c r="C57" s="283"/>
      <c r="D57" s="312"/>
      <c r="E57" s="205"/>
      <c r="F57" s="205"/>
    </row>
    <row r="58" spans="1:6" ht="15.75">
      <c r="A58" s="203" t="s">
        <v>217</v>
      </c>
      <c r="B58" s="206" t="s">
        <v>218</v>
      </c>
      <c r="C58" s="283">
        <v>1764.4</v>
      </c>
      <c r="D58" s="283">
        <v>1757.36677</v>
      </c>
      <c r="E58" s="205">
        <f>SUM(D58/C58*100)</f>
        <v>99.60138120607573</v>
      </c>
      <c r="F58" s="205">
        <f aca="true" t="shared" si="5" ref="F58:F87">SUM(D58-C58)</f>
        <v>-7.033230000000003</v>
      </c>
    </row>
    <row r="59" spans="1:6" ht="16.5" customHeight="1" hidden="1">
      <c r="A59" s="203" t="s">
        <v>219</v>
      </c>
      <c r="B59" s="206" t="s">
        <v>220</v>
      </c>
      <c r="C59" s="283"/>
      <c r="D59" s="283"/>
      <c r="E59" s="205"/>
      <c r="F59" s="205">
        <f t="shared" si="5"/>
        <v>0</v>
      </c>
    </row>
    <row r="60" spans="1:6" ht="31.5" customHeight="1" hidden="1">
      <c r="A60" s="203" t="s">
        <v>221</v>
      </c>
      <c r="B60" s="206" t="s">
        <v>222</v>
      </c>
      <c r="C60" s="283"/>
      <c r="D60" s="283"/>
      <c r="E60" s="205" t="e">
        <f aca="true" t="shared" si="6" ref="E60:E86">SUM(D60/C60*100)</f>
        <v>#DIV/0!</v>
      </c>
      <c r="F60" s="205">
        <f t="shared" si="5"/>
        <v>0</v>
      </c>
    </row>
    <row r="61" spans="1:6" ht="17.25" customHeight="1">
      <c r="A61" s="203" t="s">
        <v>223</v>
      </c>
      <c r="B61" s="206" t="s">
        <v>224</v>
      </c>
      <c r="C61" s="283">
        <v>10.26</v>
      </c>
      <c r="D61" s="283">
        <v>10.26</v>
      </c>
      <c r="E61" s="205">
        <f t="shared" si="6"/>
        <v>100</v>
      </c>
      <c r="F61" s="205">
        <f t="shared" si="5"/>
        <v>0</v>
      </c>
    </row>
    <row r="62" spans="1:6" ht="15.75" customHeight="1">
      <c r="A62" s="203" t="s">
        <v>225</v>
      </c>
      <c r="B62" s="206" t="s">
        <v>226</v>
      </c>
      <c r="C62" s="293">
        <v>5</v>
      </c>
      <c r="D62" s="293">
        <v>0</v>
      </c>
      <c r="E62" s="205">
        <f t="shared" si="6"/>
        <v>0</v>
      </c>
      <c r="F62" s="205">
        <f t="shared" si="5"/>
        <v>-5</v>
      </c>
    </row>
    <row r="63" spans="1:6" ht="18" customHeight="1">
      <c r="A63" s="203" t="s">
        <v>227</v>
      </c>
      <c r="B63" s="206" t="s">
        <v>228</v>
      </c>
      <c r="C63" s="283">
        <v>22.234</v>
      </c>
      <c r="D63" s="283">
        <v>18.234</v>
      </c>
      <c r="E63" s="205">
        <f t="shared" si="6"/>
        <v>82.00953494647837</v>
      </c>
      <c r="F63" s="205">
        <f t="shared" si="5"/>
        <v>-4</v>
      </c>
    </row>
    <row r="64" spans="1:6" s="139" customFormat="1" ht="15.75">
      <c r="A64" s="208" t="s">
        <v>35</v>
      </c>
      <c r="B64" s="209" t="s">
        <v>229</v>
      </c>
      <c r="C64" s="281">
        <f>C65</f>
        <v>103.383</v>
      </c>
      <c r="D64" s="281">
        <f>D65</f>
        <v>103.383</v>
      </c>
      <c r="E64" s="202">
        <f t="shared" si="6"/>
        <v>100</v>
      </c>
      <c r="F64" s="202">
        <f t="shared" si="5"/>
        <v>0</v>
      </c>
    </row>
    <row r="65" spans="1:6" ht="15.75">
      <c r="A65" s="210" t="s">
        <v>230</v>
      </c>
      <c r="B65" s="211" t="s">
        <v>231</v>
      </c>
      <c r="C65" s="283">
        <v>103.383</v>
      </c>
      <c r="D65" s="283">
        <v>103.383</v>
      </c>
      <c r="E65" s="205">
        <f t="shared" si="6"/>
        <v>100</v>
      </c>
      <c r="F65" s="205">
        <f t="shared" si="5"/>
        <v>0</v>
      </c>
    </row>
    <row r="66" spans="1:6" s="139" customFormat="1" ht="18.75" customHeight="1">
      <c r="A66" s="200" t="s">
        <v>37</v>
      </c>
      <c r="B66" s="201" t="s">
        <v>232</v>
      </c>
      <c r="C66" s="281">
        <f>C69+C70+C71</f>
        <v>18.5</v>
      </c>
      <c r="D66" s="281">
        <f>SUM(D69+D70+D71)</f>
        <v>10.71148</v>
      </c>
      <c r="E66" s="202">
        <f t="shared" si="6"/>
        <v>57.89989189189188</v>
      </c>
      <c r="F66" s="202">
        <f t="shared" si="5"/>
        <v>-7.78852</v>
      </c>
    </row>
    <row r="67" spans="1:6" ht="15.75" hidden="1">
      <c r="A67" s="203" t="s">
        <v>233</v>
      </c>
      <c r="B67" s="206" t="s">
        <v>234</v>
      </c>
      <c r="C67" s="283"/>
      <c r="D67" s="283"/>
      <c r="E67" s="202" t="e">
        <f t="shared" si="6"/>
        <v>#DIV/0!</v>
      </c>
      <c r="F67" s="202">
        <f t="shared" si="5"/>
        <v>0</v>
      </c>
    </row>
    <row r="68" spans="1:6" ht="15.75" hidden="1">
      <c r="A68" s="212" t="s">
        <v>235</v>
      </c>
      <c r="B68" s="206" t="s">
        <v>317</v>
      </c>
      <c r="C68" s="283"/>
      <c r="D68" s="283"/>
      <c r="E68" s="202" t="e">
        <f t="shared" si="6"/>
        <v>#DIV/0!</v>
      </c>
      <c r="F68" s="202">
        <f t="shared" si="5"/>
        <v>0</v>
      </c>
    </row>
    <row r="69" spans="1:6" ht="16.5" customHeight="1">
      <c r="A69" s="213" t="s">
        <v>237</v>
      </c>
      <c r="B69" s="214" t="s">
        <v>238</v>
      </c>
      <c r="C69" s="291">
        <v>3</v>
      </c>
      <c r="D69" s="283">
        <v>2.81148</v>
      </c>
      <c r="E69" s="205">
        <f t="shared" si="6"/>
        <v>93.716</v>
      </c>
      <c r="F69" s="205">
        <f t="shared" si="5"/>
        <v>-0.18852000000000002</v>
      </c>
    </row>
    <row r="70" spans="1:6" ht="15.75" customHeight="1">
      <c r="A70" s="213" t="s">
        <v>239</v>
      </c>
      <c r="B70" s="214" t="s">
        <v>240</v>
      </c>
      <c r="C70" s="283">
        <v>13.5</v>
      </c>
      <c r="D70" s="283">
        <v>5.9</v>
      </c>
      <c r="E70" s="205">
        <f t="shared" si="6"/>
        <v>43.7037037037037</v>
      </c>
      <c r="F70" s="205">
        <f t="shared" si="5"/>
        <v>-7.6</v>
      </c>
    </row>
    <row r="71" spans="1:6" ht="15.75" customHeight="1">
      <c r="A71" s="213" t="s">
        <v>241</v>
      </c>
      <c r="B71" s="214" t="s">
        <v>345</v>
      </c>
      <c r="C71" s="283">
        <v>2</v>
      </c>
      <c r="D71" s="283">
        <v>2</v>
      </c>
      <c r="E71" s="205">
        <f t="shared" si="6"/>
        <v>100</v>
      </c>
      <c r="F71" s="205">
        <f t="shared" si="5"/>
        <v>0</v>
      </c>
    </row>
    <row r="72" spans="1:6" s="139" customFormat="1" ht="15" customHeight="1">
      <c r="A72" s="200" t="s">
        <v>39</v>
      </c>
      <c r="B72" s="201" t="s">
        <v>243</v>
      </c>
      <c r="C72" s="251">
        <f>SUM(C73:C76)</f>
        <v>1213.47855</v>
      </c>
      <c r="D72" s="251">
        <f>SUM(D73:D76)</f>
        <v>1181.06449</v>
      </c>
      <c r="E72" s="202">
        <f t="shared" si="6"/>
        <v>97.32883123480015</v>
      </c>
      <c r="F72" s="202">
        <f t="shared" si="5"/>
        <v>-32.41406000000006</v>
      </c>
    </row>
    <row r="73" spans="1:6" ht="15.75" customHeight="1" hidden="1">
      <c r="A73" s="203" t="s">
        <v>246</v>
      </c>
      <c r="B73" s="206" t="s">
        <v>319</v>
      </c>
      <c r="C73" s="284"/>
      <c r="D73" s="283">
        <v>0</v>
      </c>
      <c r="E73" s="205" t="e">
        <f t="shared" si="6"/>
        <v>#DIV/0!</v>
      </c>
      <c r="F73" s="205">
        <f t="shared" si="5"/>
        <v>0</v>
      </c>
    </row>
    <row r="74" spans="1:7" s="139" customFormat="1" ht="19.5" customHeight="1" hidden="1">
      <c r="A74" s="203" t="s">
        <v>248</v>
      </c>
      <c r="B74" s="206" t="s">
        <v>320</v>
      </c>
      <c r="C74" s="284"/>
      <c r="D74" s="283"/>
      <c r="E74" s="205" t="e">
        <f t="shared" si="6"/>
        <v>#DIV/0!</v>
      </c>
      <c r="F74" s="205">
        <f t="shared" si="5"/>
        <v>0</v>
      </c>
      <c r="G74" s="142"/>
    </row>
    <row r="75" spans="1:6" ht="15.75">
      <c r="A75" s="203" t="s">
        <v>250</v>
      </c>
      <c r="B75" s="206" t="s">
        <v>251</v>
      </c>
      <c r="C75" s="284">
        <v>1153.47855</v>
      </c>
      <c r="D75" s="283">
        <v>1140.06449</v>
      </c>
      <c r="E75" s="205">
        <f t="shared" si="6"/>
        <v>98.83707763789799</v>
      </c>
      <c r="F75" s="205">
        <f t="shared" si="5"/>
        <v>-13.414060000000063</v>
      </c>
    </row>
    <row r="76" spans="1:6" ht="16.5" customHeight="1">
      <c r="A76" s="203" t="s">
        <v>252</v>
      </c>
      <c r="B76" s="206" t="s">
        <v>253</v>
      </c>
      <c r="C76" s="284">
        <v>60</v>
      </c>
      <c r="D76" s="283">
        <v>41</v>
      </c>
      <c r="E76" s="205">
        <f t="shared" si="6"/>
        <v>68.33333333333333</v>
      </c>
      <c r="F76" s="205">
        <f t="shared" si="5"/>
        <v>-19</v>
      </c>
    </row>
    <row r="77" spans="1:6" s="139" customFormat="1" ht="14.25" customHeight="1">
      <c r="A77" s="200" t="s">
        <v>41</v>
      </c>
      <c r="B77" s="201" t="s">
        <v>254</v>
      </c>
      <c r="C77" s="281">
        <f>SUM(C78:C80)</f>
        <v>7255.87183</v>
      </c>
      <c r="D77" s="281">
        <f>SUM(D78:D80)</f>
        <v>5282.66141</v>
      </c>
      <c r="E77" s="202">
        <f t="shared" si="6"/>
        <v>72.8053297214871</v>
      </c>
      <c r="F77" s="202">
        <f t="shared" si="5"/>
        <v>-1973.2104200000003</v>
      </c>
    </row>
    <row r="78" spans="1:6" ht="18" customHeight="1" hidden="1">
      <c r="A78" s="203" t="s">
        <v>255</v>
      </c>
      <c r="B78" s="217" t="s">
        <v>256</v>
      </c>
      <c r="C78" s="283">
        <v>0</v>
      </c>
      <c r="D78" s="283">
        <v>0</v>
      </c>
      <c r="E78" s="205" t="e">
        <f t="shared" si="6"/>
        <v>#DIV/0!</v>
      </c>
      <c r="F78" s="205">
        <f t="shared" si="5"/>
        <v>0</v>
      </c>
    </row>
    <row r="79" spans="1:6" ht="17.25" customHeight="1">
      <c r="A79" s="203" t="s">
        <v>257</v>
      </c>
      <c r="B79" s="217" t="s">
        <v>258</v>
      </c>
      <c r="C79" s="283">
        <v>4757.26495</v>
      </c>
      <c r="D79" s="283">
        <v>4566.99741</v>
      </c>
      <c r="E79" s="205">
        <f t="shared" si="6"/>
        <v>96.00048469026305</v>
      </c>
      <c r="F79" s="205">
        <f t="shared" si="5"/>
        <v>-190.26753999999983</v>
      </c>
    </row>
    <row r="80" spans="1:6" ht="15.75">
      <c r="A80" s="203" t="s">
        <v>259</v>
      </c>
      <c r="B80" s="206" t="s">
        <v>260</v>
      </c>
      <c r="C80" s="283">
        <v>2498.60688</v>
      </c>
      <c r="D80" s="283">
        <v>715.664</v>
      </c>
      <c r="E80" s="205">
        <f t="shared" si="6"/>
        <v>28.642520987535264</v>
      </c>
      <c r="F80" s="205">
        <f t="shared" si="5"/>
        <v>-1782.9428799999998</v>
      </c>
    </row>
    <row r="81" spans="1:6" s="139" customFormat="1" ht="15.75">
      <c r="A81" s="200" t="s">
        <v>47</v>
      </c>
      <c r="B81" s="201" t="s">
        <v>275</v>
      </c>
      <c r="C81" s="281">
        <f>C82</f>
        <v>1441.325</v>
      </c>
      <c r="D81" s="281">
        <f>SUM(D82)</f>
        <v>1441.325</v>
      </c>
      <c r="E81" s="202">
        <f t="shared" si="6"/>
        <v>100</v>
      </c>
      <c r="F81" s="202">
        <f t="shared" si="5"/>
        <v>0</v>
      </c>
    </row>
    <row r="82" spans="1:6" ht="17.25" customHeight="1">
      <c r="A82" s="203" t="s">
        <v>276</v>
      </c>
      <c r="B82" s="206" t="s">
        <v>277</v>
      </c>
      <c r="C82" s="283">
        <v>1441.325</v>
      </c>
      <c r="D82" s="283">
        <v>1441.325</v>
      </c>
      <c r="E82" s="205">
        <f t="shared" si="6"/>
        <v>100</v>
      </c>
      <c r="F82" s="205">
        <f t="shared" si="5"/>
        <v>0</v>
      </c>
    </row>
    <row r="83" spans="1:6" s="139" customFormat="1" ht="21.75" customHeight="1" hidden="1">
      <c r="A83" s="218">
        <v>1000</v>
      </c>
      <c r="B83" s="201" t="s">
        <v>280</v>
      </c>
      <c r="C83" s="281">
        <f>SUM(C84:C87)</f>
        <v>0</v>
      </c>
      <c r="D83" s="281">
        <f>SUM(D84:D87)</f>
        <v>0</v>
      </c>
      <c r="E83" s="202" t="e">
        <f t="shared" si="6"/>
        <v>#DIV/0!</v>
      </c>
      <c r="F83" s="202">
        <f t="shared" si="5"/>
        <v>0</v>
      </c>
    </row>
    <row r="84" spans="1:6" ht="18" customHeight="1" hidden="1">
      <c r="A84" s="219">
        <v>1001</v>
      </c>
      <c r="B84" s="220" t="s">
        <v>281</v>
      </c>
      <c r="C84" s="283"/>
      <c r="D84" s="283"/>
      <c r="E84" s="205" t="e">
        <f t="shared" si="6"/>
        <v>#DIV/0!</v>
      </c>
      <c r="F84" s="205">
        <f t="shared" si="5"/>
        <v>0</v>
      </c>
    </row>
    <row r="85" spans="1:6" ht="17.25" customHeight="1" hidden="1">
      <c r="A85" s="219">
        <v>1003</v>
      </c>
      <c r="B85" s="220" t="s">
        <v>282</v>
      </c>
      <c r="C85" s="283">
        <v>0</v>
      </c>
      <c r="D85" s="283">
        <v>0</v>
      </c>
      <c r="E85" s="205" t="e">
        <f t="shared" si="6"/>
        <v>#DIV/0!</v>
      </c>
      <c r="F85" s="205">
        <f t="shared" si="5"/>
        <v>0</v>
      </c>
    </row>
    <row r="86" spans="1:6" ht="23.25" customHeight="1" hidden="1">
      <c r="A86" s="219">
        <v>1004</v>
      </c>
      <c r="B86" s="220" t="s">
        <v>283</v>
      </c>
      <c r="C86" s="283"/>
      <c r="D86" s="285"/>
      <c r="E86" s="205" t="e">
        <f t="shared" si="6"/>
        <v>#DIV/0!</v>
      </c>
      <c r="F86" s="205">
        <f t="shared" si="5"/>
        <v>0</v>
      </c>
    </row>
    <row r="87" spans="1:6" ht="17.25" customHeight="1" hidden="1">
      <c r="A87" s="203" t="s">
        <v>284</v>
      </c>
      <c r="B87" s="206" t="s">
        <v>285</v>
      </c>
      <c r="C87" s="283">
        <v>0</v>
      </c>
      <c r="D87" s="283">
        <v>0</v>
      </c>
      <c r="E87" s="205"/>
      <c r="F87" s="205">
        <f t="shared" si="5"/>
        <v>0</v>
      </c>
    </row>
    <row r="88" spans="1:6" ht="15.75">
      <c r="A88" s="200" t="s">
        <v>51</v>
      </c>
      <c r="B88" s="201" t="s">
        <v>286</v>
      </c>
      <c r="C88" s="281">
        <f>C89+C90+C91+C92+C93</f>
        <v>9.365</v>
      </c>
      <c r="D88" s="281">
        <f>D89</f>
        <v>9.365</v>
      </c>
      <c r="E88" s="205">
        <f aca="true" t="shared" si="7" ref="E88:E98">SUM(D88/C88*100)</f>
        <v>100</v>
      </c>
      <c r="F88" s="190">
        <f>F89+F90+F91+F92+F93</f>
        <v>0</v>
      </c>
    </row>
    <row r="89" spans="1:7" ht="19.5" customHeight="1">
      <c r="A89" s="203" t="s">
        <v>287</v>
      </c>
      <c r="B89" s="206" t="s">
        <v>288</v>
      </c>
      <c r="C89" s="283">
        <v>9.365</v>
      </c>
      <c r="D89" s="283">
        <v>9.365</v>
      </c>
      <c r="E89" s="205">
        <f t="shared" si="7"/>
        <v>100</v>
      </c>
      <c r="F89" s="205">
        <f>SUM(D89-C89)</f>
        <v>0</v>
      </c>
      <c r="G89" s="313"/>
    </row>
    <row r="90" spans="1:6" ht="15.75" customHeight="1" hidden="1">
      <c r="A90" s="203" t="s">
        <v>289</v>
      </c>
      <c r="B90" s="206" t="s">
        <v>290</v>
      </c>
      <c r="C90" s="283"/>
      <c r="D90" s="283"/>
      <c r="E90" s="205" t="e">
        <f t="shared" si="7"/>
        <v>#DIV/0!</v>
      </c>
      <c r="F90" s="205">
        <f>SUM(D90-C90)</f>
        <v>0</v>
      </c>
    </row>
    <row r="91" spans="1:6" ht="15.75" customHeight="1" hidden="1">
      <c r="A91" s="203" t="s">
        <v>291</v>
      </c>
      <c r="B91" s="206" t="s">
        <v>292</v>
      </c>
      <c r="C91" s="283"/>
      <c r="D91" s="283" t="s">
        <v>365</v>
      </c>
      <c r="E91" s="205" t="e">
        <f t="shared" si="7"/>
        <v>#VALUE!</v>
      </c>
      <c r="F91" s="205"/>
    </row>
    <row r="92" spans="1:6" ht="15.75" customHeight="1" hidden="1">
      <c r="A92" s="203" t="s">
        <v>293</v>
      </c>
      <c r="B92" s="206" t="s">
        <v>294</v>
      </c>
      <c r="C92" s="283"/>
      <c r="D92" s="283"/>
      <c r="E92" s="205" t="e">
        <f t="shared" si="7"/>
        <v>#DIV/0!</v>
      </c>
      <c r="F92" s="205"/>
    </row>
    <row r="93" spans="1:6" ht="15.75" customHeight="1" hidden="1">
      <c r="A93" s="203" t="s">
        <v>295</v>
      </c>
      <c r="B93" s="206" t="s">
        <v>296</v>
      </c>
      <c r="C93" s="283"/>
      <c r="D93" s="283"/>
      <c r="E93" s="205" t="e">
        <f t="shared" si="7"/>
        <v>#DIV/0!</v>
      </c>
      <c r="F93" s="205"/>
    </row>
    <row r="94" spans="1:6" s="139" customFormat="1" ht="15.75" customHeight="1" hidden="1">
      <c r="A94" s="218">
        <v>1400</v>
      </c>
      <c r="B94" s="222" t="s">
        <v>303</v>
      </c>
      <c r="C94" s="251">
        <f>C95+C96+C97</f>
        <v>0</v>
      </c>
      <c r="D94" s="251">
        <f>SUM(D95:D97)</f>
        <v>0</v>
      </c>
      <c r="E94" s="202" t="e">
        <f t="shared" si="7"/>
        <v>#DIV/0!</v>
      </c>
      <c r="F94" s="202">
        <f>SUM(D94-C94)</f>
        <v>0</v>
      </c>
    </row>
    <row r="95" spans="1:6" ht="15.75" customHeight="1" hidden="1">
      <c r="A95" s="219">
        <v>1401</v>
      </c>
      <c r="B95" s="220" t="s">
        <v>304</v>
      </c>
      <c r="C95" s="284"/>
      <c r="D95" s="283"/>
      <c r="E95" s="205" t="e">
        <f t="shared" si="7"/>
        <v>#DIV/0!</v>
      </c>
      <c r="F95" s="205">
        <f>SUM(D95-C95)</f>
        <v>0</v>
      </c>
    </row>
    <row r="96" spans="1:6" ht="15.75" customHeight="1" hidden="1">
      <c r="A96" s="219">
        <v>1402</v>
      </c>
      <c r="B96" s="220" t="s">
        <v>305</v>
      </c>
      <c r="C96" s="284"/>
      <c r="D96" s="283"/>
      <c r="E96" s="205" t="e">
        <f t="shared" si="7"/>
        <v>#DIV/0!</v>
      </c>
      <c r="F96" s="205">
        <f>SUM(D96-C96)</f>
        <v>0</v>
      </c>
    </row>
    <row r="97" spans="1:6" ht="15.75" customHeight="1" hidden="1">
      <c r="A97" s="219">
        <v>1403</v>
      </c>
      <c r="B97" s="220" t="s">
        <v>306</v>
      </c>
      <c r="C97" s="284">
        <v>0</v>
      </c>
      <c r="D97" s="283">
        <v>0</v>
      </c>
      <c r="E97" s="205" t="e">
        <f t="shared" si="7"/>
        <v>#DIV/0!</v>
      </c>
      <c r="F97" s="205">
        <f>SUM(D97-C97)</f>
        <v>0</v>
      </c>
    </row>
    <row r="98" spans="1:8" s="139" customFormat="1" ht="15.75" customHeight="1">
      <c r="A98" s="218"/>
      <c r="B98" s="223" t="s">
        <v>307</v>
      </c>
      <c r="C98" s="309">
        <f>C56+C64+C66+C72+C77+C81+C83+C88+C94</f>
        <v>11843.81738</v>
      </c>
      <c r="D98" s="278">
        <f>D56+D64+D66+D72+D77+D81+D83+D88+D94</f>
        <v>9814.37115</v>
      </c>
      <c r="E98" s="202">
        <f t="shared" si="7"/>
        <v>82.86493142466877</v>
      </c>
      <c r="F98" s="202">
        <f>SUM(D98-C98)</f>
        <v>-2029.4462299999996</v>
      </c>
      <c r="G98" s="186"/>
      <c r="H98" s="186"/>
    </row>
    <row r="99" spans="3:4" ht="15.75">
      <c r="C99" s="226"/>
      <c r="D99" s="227"/>
    </row>
    <row r="100" spans="1:5" s="143" customFormat="1" ht="16.5" customHeight="1">
      <c r="A100" s="228" t="s">
        <v>308</v>
      </c>
      <c r="B100" s="228"/>
      <c r="C100" s="229"/>
      <c r="D100" s="229"/>
      <c r="E100" s="314"/>
    </row>
    <row r="101" spans="1:3" s="143" customFormat="1" ht="20.25" customHeight="1">
      <c r="A101" s="230" t="s">
        <v>309</v>
      </c>
      <c r="B101" s="230"/>
      <c r="C101" s="143" t="s">
        <v>310</v>
      </c>
    </row>
    <row r="102" ht="13.5" customHeight="1">
      <c r="C102" s="264"/>
    </row>
    <row r="104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view="pageBreakPreview" zoomScale="70" zoomScaleSheetLayoutView="70" zoomScalePageLayoutView="0" workbookViewId="0" topLeftCell="A44">
      <selection activeCell="D89" sqref="D89"/>
    </sheetView>
  </sheetViews>
  <sheetFormatPr defaultColWidth="9.140625" defaultRowHeight="12.75"/>
  <cols>
    <col min="1" max="1" width="14.7109375" style="135" customWidth="1"/>
    <col min="2" max="2" width="57.57421875" style="136" customWidth="1"/>
    <col min="3" max="3" width="15.00390625" style="137" customWidth="1"/>
    <col min="4" max="4" width="17.421875" style="137" customWidth="1"/>
    <col min="5" max="5" width="10.8515625" style="137" customWidth="1"/>
    <col min="6" max="6" width="12.57421875" style="137" customWidth="1"/>
    <col min="7" max="7" width="15.421875" style="138" customWidth="1"/>
    <col min="8" max="16384" width="9.140625" style="138" customWidth="1"/>
  </cols>
  <sheetData>
    <row r="1" spans="1:6" ht="12.75" customHeight="1">
      <c r="A1" s="470" t="s">
        <v>437</v>
      </c>
      <c r="B1" s="470"/>
      <c r="C1" s="470"/>
      <c r="D1" s="470"/>
      <c r="E1" s="470"/>
      <c r="F1" s="470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C5+C12+C14+C17+C7</f>
        <v>786.0699999999999</v>
      </c>
      <c r="D4" s="150">
        <f>D5+D12+D14+D17+D7</f>
        <v>897.62096</v>
      </c>
      <c r="E4" s="150">
        <f aca="true" t="shared" si="0" ref="E4:E47">SUM(D4/C4*100)</f>
        <v>114.1909702698233</v>
      </c>
      <c r="F4" s="150">
        <f aca="true" t="shared" si="1" ref="F4:F47">SUM(D4-C4)</f>
        <v>111.55096000000003</v>
      </c>
    </row>
    <row r="5" spans="1:6" s="139" customFormat="1" ht="15.75">
      <c r="A5" s="151">
        <v>1010000000</v>
      </c>
      <c r="B5" s="152" t="s">
        <v>146</v>
      </c>
      <c r="C5" s="150">
        <f>C6</f>
        <v>59.1</v>
      </c>
      <c r="D5" s="150">
        <f>D6</f>
        <v>51.11637</v>
      </c>
      <c r="E5" s="150">
        <f t="shared" si="0"/>
        <v>86.49131979695431</v>
      </c>
      <c r="F5" s="150">
        <f t="shared" si="1"/>
        <v>-7.983629999999998</v>
      </c>
    </row>
    <row r="6" spans="1:6" ht="15.75">
      <c r="A6" s="153">
        <v>1010200001</v>
      </c>
      <c r="B6" s="154" t="s">
        <v>147</v>
      </c>
      <c r="C6" s="155">
        <v>59.1</v>
      </c>
      <c r="D6" s="156">
        <v>51.11637</v>
      </c>
      <c r="E6" s="155">
        <f t="shared" si="0"/>
        <v>86.49131979695431</v>
      </c>
      <c r="F6" s="155">
        <f t="shared" si="1"/>
        <v>-7.983629999999998</v>
      </c>
    </row>
    <row r="7" spans="1:6" ht="31.5">
      <c r="A7" s="148">
        <v>1030000000</v>
      </c>
      <c r="B7" s="157" t="s">
        <v>148</v>
      </c>
      <c r="C7" s="150">
        <f>C8+C10+C9</f>
        <v>365.96999999999997</v>
      </c>
      <c r="D7" s="150">
        <f>D8+D10+D9+D11</f>
        <v>411.12463</v>
      </c>
      <c r="E7" s="150">
        <f t="shared" si="0"/>
        <v>112.33834194059624</v>
      </c>
      <c r="F7" s="150">
        <f t="shared" si="1"/>
        <v>45.154630000000054</v>
      </c>
    </row>
    <row r="8" spans="1:6" ht="15.75">
      <c r="A8" s="153">
        <v>1030223001</v>
      </c>
      <c r="B8" s="154" t="s">
        <v>149</v>
      </c>
      <c r="C8" s="155">
        <v>136.51</v>
      </c>
      <c r="D8" s="156">
        <v>189.79963</v>
      </c>
      <c r="E8" s="155">
        <f t="shared" si="0"/>
        <v>139.03716211266575</v>
      </c>
      <c r="F8" s="155">
        <f t="shared" si="1"/>
        <v>53.28963000000002</v>
      </c>
    </row>
    <row r="9" spans="1:6" ht="15.75">
      <c r="A9" s="153">
        <v>1030224001</v>
      </c>
      <c r="B9" s="154" t="s">
        <v>150</v>
      </c>
      <c r="C9" s="155">
        <v>1.46</v>
      </c>
      <c r="D9" s="156">
        <v>1.33482</v>
      </c>
      <c r="E9" s="155">
        <f t="shared" si="0"/>
        <v>91.42602739726027</v>
      </c>
      <c r="F9" s="155">
        <f t="shared" si="1"/>
        <v>-0.12518000000000007</v>
      </c>
    </row>
    <row r="10" spans="1:6" ht="15.75">
      <c r="A10" s="153">
        <v>1030225001</v>
      </c>
      <c r="B10" s="154" t="s">
        <v>151</v>
      </c>
      <c r="C10" s="155">
        <v>228</v>
      </c>
      <c r="D10" s="156">
        <v>252.35589</v>
      </c>
      <c r="E10" s="155">
        <f t="shared" si="0"/>
        <v>110.68240789473684</v>
      </c>
      <c r="F10" s="155">
        <f t="shared" si="1"/>
        <v>24.355889999999988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-32.36571</v>
      </c>
      <c r="E11" s="155" t="e">
        <f t="shared" si="0"/>
        <v>#DIV/0!</v>
      </c>
      <c r="F11" s="155">
        <f t="shared" si="1"/>
        <v>-32.36571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10</v>
      </c>
      <c r="D12" s="150">
        <f>SUM(D13:D13)</f>
        <v>15.50624</v>
      </c>
      <c r="E12" s="150">
        <f t="shared" si="0"/>
        <v>155.0624</v>
      </c>
      <c r="F12" s="150">
        <f t="shared" si="1"/>
        <v>5.50624</v>
      </c>
    </row>
    <row r="13" spans="1:6" ht="15.75" customHeight="1">
      <c r="A13" s="153">
        <v>1050300000</v>
      </c>
      <c r="B13" s="158" t="s">
        <v>156</v>
      </c>
      <c r="C13" s="159">
        <v>10</v>
      </c>
      <c r="D13" s="156">
        <v>15.50624</v>
      </c>
      <c r="E13" s="155">
        <f t="shared" si="0"/>
        <v>155.0624</v>
      </c>
      <c r="F13" s="155">
        <f t="shared" si="1"/>
        <v>5.50624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348</v>
      </c>
      <c r="D14" s="150">
        <f>D15+D16</f>
        <v>418.47372</v>
      </c>
      <c r="E14" s="150">
        <f t="shared" si="0"/>
        <v>120.25106896551725</v>
      </c>
      <c r="F14" s="150">
        <f t="shared" si="1"/>
        <v>70.47372000000001</v>
      </c>
    </row>
    <row r="15" spans="1:6" s="139" customFormat="1" ht="15.75" customHeight="1">
      <c r="A15" s="153">
        <v>1060100000</v>
      </c>
      <c r="B15" s="158" t="s">
        <v>159</v>
      </c>
      <c r="C15" s="155">
        <v>75</v>
      </c>
      <c r="D15" s="156">
        <v>81.73976</v>
      </c>
      <c r="E15" s="155">
        <f t="shared" si="0"/>
        <v>108.98634666666666</v>
      </c>
      <c r="F15" s="155">
        <f t="shared" si="1"/>
        <v>6.739760000000004</v>
      </c>
    </row>
    <row r="16" spans="1:6" ht="15.75" customHeight="1">
      <c r="A16" s="153">
        <v>1060600000</v>
      </c>
      <c r="B16" s="158" t="s">
        <v>162</v>
      </c>
      <c r="C16" s="155">
        <v>273</v>
      </c>
      <c r="D16" s="156">
        <v>336.73396</v>
      </c>
      <c r="E16" s="155">
        <f t="shared" si="0"/>
        <v>123.3457728937729</v>
      </c>
      <c r="F16" s="155">
        <f t="shared" si="1"/>
        <v>63.733960000000025</v>
      </c>
    </row>
    <row r="17" spans="1:6" s="139" customFormat="1" ht="15.75">
      <c r="A17" s="148">
        <v>1080000000</v>
      </c>
      <c r="B17" s="149" t="s">
        <v>165</v>
      </c>
      <c r="C17" s="150">
        <f>C18</f>
        <v>3</v>
      </c>
      <c r="D17" s="150">
        <f>D18</f>
        <v>1.4</v>
      </c>
      <c r="E17" s="150">
        <f t="shared" si="0"/>
        <v>46.666666666666664</v>
      </c>
      <c r="F17" s="150">
        <f t="shared" si="1"/>
        <v>-1.6</v>
      </c>
    </row>
    <row r="18" spans="1:6" ht="16.5" customHeight="1">
      <c r="A18" s="153">
        <v>1080400001</v>
      </c>
      <c r="B18" s="154" t="s">
        <v>167</v>
      </c>
      <c r="C18" s="155">
        <v>3</v>
      </c>
      <c r="D18" s="156">
        <v>1.4</v>
      </c>
      <c r="E18" s="155">
        <f t="shared" si="0"/>
        <v>46.666666666666664</v>
      </c>
      <c r="F18" s="155">
        <f t="shared" si="1"/>
        <v>-1.6</v>
      </c>
    </row>
    <row r="19" spans="1:6" ht="47.2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36" customHeight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32.25" customHeight="1">
      <c r="A21" s="153">
        <v>1090100000</v>
      </c>
      <c r="B21" s="154" t="s">
        <v>170</v>
      </c>
      <c r="C21" s="155">
        <v>0</v>
      </c>
      <c r="D21" s="156">
        <v>0</v>
      </c>
      <c r="E21" s="155" t="e">
        <f t="shared" si="0"/>
        <v>#DIV/0!</v>
      </c>
      <c r="F21" s="155">
        <f t="shared" si="1"/>
        <v>0</v>
      </c>
    </row>
    <row r="22" spans="1:6" s="140" customFormat="1" ht="30" customHeight="1" hidden="1">
      <c r="A22" s="153">
        <v>1090400000</v>
      </c>
      <c r="B22" s="154" t="s">
        <v>341</v>
      </c>
      <c r="C22" s="150"/>
      <c r="D22" s="161"/>
      <c r="E22" s="155" t="e">
        <f t="shared" si="0"/>
        <v>#DIV/0!</v>
      </c>
      <c r="F22" s="155">
        <f t="shared" si="1"/>
        <v>0</v>
      </c>
    </row>
    <row r="23" spans="1:6" s="140" customFormat="1" ht="30.75" customHeight="1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20.25" customHeight="1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5" customHeight="1" hidden="1">
      <c r="A25" s="148"/>
      <c r="B25" s="149" t="s">
        <v>17</v>
      </c>
      <c r="C25" s="150">
        <f>C26+C29+C31+C37+C34</f>
        <v>186</v>
      </c>
      <c r="D25" s="150">
        <f>D26+D29+D31+D37+D34</f>
        <v>359.17474999999996</v>
      </c>
      <c r="E25" s="150">
        <f t="shared" si="0"/>
        <v>193.10470430107526</v>
      </c>
      <c r="F25" s="150">
        <f t="shared" si="1"/>
        <v>173.17474999999996</v>
      </c>
    </row>
    <row r="26" spans="1:6" s="139" customFormat="1" ht="30" customHeight="1">
      <c r="A26" s="151">
        <v>1110000000</v>
      </c>
      <c r="B26" s="160" t="s">
        <v>174</v>
      </c>
      <c r="C26" s="150">
        <f>C27+C28</f>
        <v>166</v>
      </c>
      <c r="D26" s="150">
        <f>D27+D28</f>
        <v>317.69624999999996</v>
      </c>
      <c r="E26" s="150">
        <f t="shared" si="0"/>
        <v>191.3832831325301</v>
      </c>
      <c r="F26" s="150">
        <f t="shared" si="1"/>
        <v>151.69624999999996</v>
      </c>
    </row>
    <row r="27" spans="1:6" ht="15.75">
      <c r="A27" s="162">
        <v>1110502510</v>
      </c>
      <c r="B27" s="163" t="s">
        <v>177</v>
      </c>
      <c r="C27" s="159">
        <v>140</v>
      </c>
      <c r="D27" s="156">
        <v>291.68505</v>
      </c>
      <c r="E27" s="155">
        <f t="shared" si="0"/>
        <v>208.3464642857143</v>
      </c>
      <c r="F27" s="155">
        <f t="shared" si="1"/>
        <v>151.68505</v>
      </c>
    </row>
    <row r="28" spans="1:6" ht="18.75" customHeight="1">
      <c r="A28" s="153">
        <v>1110503505</v>
      </c>
      <c r="B28" s="158" t="s">
        <v>178</v>
      </c>
      <c r="C28" s="159">
        <v>26</v>
      </c>
      <c r="D28" s="156">
        <v>26.0112</v>
      </c>
      <c r="E28" s="155">
        <f t="shared" si="0"/>
        <v>100.04307692307692</v>
      </c>
      <c r="F28" s="155">
        <f t="shared" si="1"/>
        <v>0.011199999999998766</v>
      </c>
    </row>
    <row r="29" spans="1:6" s="140" customFormat="1" ht="37.5" customHeight="1">
      <c r="A29" s="151">
        <v>1130000000</v>
      </c>
      <c r="B29" s="160" t="s">
        <v>185</v>
      </c>
      <c r="C29" s="150">
        <f>C30</f>
        <v>20</v>
      </c>
      <c r="D29" s="150">
        <f>D30</f>
        <v>41.4785</v>
      </c>
      <c r="E29" s="150">
        <f t="shared" si="0"/>
        <v>207.3925</v>
      </c>
      <c r="F29" s="150">
        <f t="shared" si="1"/>
        <v>21.478499999999997</v>
      </c>
    </row>
    <row r="30" spans="1:6" ht="15.75">
      <c r="A30" s="153">
        <v>1130206005</v>
      </c>
      <c r="B30" s="154" t="s">
        <v>187</v>
      </c>
      <c r="C30" s="155">
        <v>20</v>
      </c>
      <c r="D30" s="156">
        <v>41.4785</v>
      </c>
      <c r="E30" s="155">
        <f t="shared" si="0"/>
        <v>207.3925</v>
      </c>
      <c r="F30" s="155">
        <f t="shared" si="1"/>
        <v>21.478499999999997</v>
      </c>
    </row>
    <row r="31" spans="1:6" ht="27" customHeight="1">
      <c r="A31" s="164">
        <v>1140000000</v>
      </c>
      <c r="B31" s="165" t="s">
        <v>188</v>
      </c>
      <c r="C31" s="150">
        <f>C32+C33</f>
        <v>0</v>
      </c>
      <c r="D31" s="150">
        <f>D32+D33</f>
        <v>0</v>
      </c>
      <c r="E31" s="150" t="e">
        <f t="shared" si="0"/>
        <v>#DIV/0!</v>
      </c>
      <c r="F31" s="150">
        <f t="shared" si="1"/>
        <v>0</v>
      </c>
    </row>
    <row r="32" spans="1:6" ht="15.75">
      <c r="A32" s="162">
        <v>1140200000</v>
      </c>
      <c r="B32" s="166" t="s">
        <v>189</v>
      </c>
      <c r="C32" s="155">
        <v>0</v>
      </c>
      <c r="D32" s="156">
        <v>0</v>
      </c>
      <c r="E32" s="155" t="e">
        <f t="shared" si="0"/>
        <v>#DIV/0!</v>
      </c>
      <c r="F32" s="155">
        <f t="shared" si="1"/>
        <v>0</v>
      </c>
    </row>
    <row r="33" spans="1:6" ht="15.75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15" customHeight="1">
      <c r="A34" s="148">
        <v>1160000000</v>
      </c>
      <c r="B34" s="157" t="s">
        <v>325</v>
      </c>
      <c r="C34" s="161">
        <f>C35+C36</f>
        <v>0</v>
      </c>
      <c r="D34" s="161">
        <f>D35+D36</f>
        <v>0</v>
      </c>
      <c r="E34" s="150" t="e">
        <f t="shared" si="0"/>
        <v>#DIV/0!</v>
      </c>
      <c r="F34" s="150">
        <f t="shared" si="1"/>
        <v>0</v>
      </c>
    </row>
    <row r="35" spans="1:6" ht="47.25">
      <c r="A35" s="153">
        <v>1163305010</v>
      </c>
      <c r="B35" s="154" t="s">
        <v>348</v>
      </c>
      <c r="C35" s="155">
        <v>0</v>
      </c>
      <c r="D35" s="156">
        <v>0</v>
      </c>
      <c r="E35" s="155" t="e">
        <f t="shared" si="0"/>
        <v>#DIV/0!</v>
      </c>
      <c r="F35" s="155">
        <f t="shared" si="1"/>
        <v>0</v>
      </c>
    </row>
    <row r="36" spans="1:6" ht="47.25">
      <c r="A36" s="153">
        <v>1169005010</v>
      </c>
      <c r="B36" s="154" t="s">
        <v>366</v>
      </c>
      <c r="C36" s="155">
        <v>0</v>
      </c>
      <c r="D36" s="156">
        <v>0</v>
      </c>
      <c r="E36" s="155" t="e">
        <f t="shared" si="0"/>
        <v>#DIV/0!</v>
      </c>
      <c r="F36" s="155">
        <f t="shared" si="1"/>
        <v>0</v>
      </c>
    </row>
    <row r="37" spans="1:6" ht="21" customHeight="1">
      <c r="A37" s="148">
        <v>1170000000</v>
      </c>
      <c r="B37" s="157" t="s">
        <v>198</v>
      </c>
      <c r="C37" s="150">
        <f>C38+C39</f>
        <v>0</v>
      </c>
      <c r="D37" s="150">
        <f>D38+D39</f>
        <v>0</v>
      </c>
      <c r="E37" s="150" t="e">
        <f t="shared" si="0"/>
        <v>#DIV/0!</v>
      </c>
      <c r="F37" s="150">
        <f t="shared" si="1"/>
        <v>0</v>
      </c>
    </row>
    <row r="38" spans="1:6" ht="17.25" customHeight="1">
      <c r="A38" s="153">
        <v>1170105005</v>
      </c>
      <c r="B38" s="154" t="s">
        <v>199</v>
      </c>
      <c r="C38" s="155">
        <v>0</v>
      </c>
      <c r="D38" s="155">
        <v>0</v>
      </c>
      <c r="E38" s="155" t="e">
        <f t="shared" si="0"/>
        <v>#DIV/0!</v>
      </c>
      <c r="F38" s="155">
        <f t="shared" si="1"/>
        <v>0</v>
      </c>
    </row>
    <row r="39" spans="1:6" ht="18" customHeight="1">
      <c r="A39" s="153">
        <v>1170505005</v>
      </c>
      <c r="B39" s="158" t="s">
        <v>200</v>
      </c>
      <c r="C39" s="155">
        <v>0</v>
      </c>
      <c r="D39" s="156">
        <v>0</v>
      </c>
      <c r="E39" s="155" t="e">
        <f t="shared" si="0"/>
        <v>#DIV/0!</v>
      </c>
      <c r="F39" s="155">
        <f t="shared" si="1"/>
        <v>0</v>
      </c>
    </row>
    <row r="40" spans="1:6" s="139" customFormat="1" ht="15.75">
      <c r="A40" s="148">
        <v>1000000000</v>
      </c>
      <c r="B40" s="149" t="s">
        <v>26</v>
      </c>
      <c r="C40" s="168">
        <f>SUM(C4,C25)</f>
        <v>972.0699999999999</v>
      </c>
      <c r="D40" s="168">
        <f>D4+D25</f>
        <v>1256.7957099999999</v>
      </c>
      <c r="E40" s="150">
        <f t="shared" si="0"/>
        <v>129.2906591089119</v>
      </c>
      <c r="F40" s="150">
        <f t="shared" si="1"/>
        <v>284.72570999999994</v>
      </c>
    </row>
    <row r="41" spans="1:7" s="139" customFormat="1" ht="15.75">
      <c r="A41" s="148">
        <v>2000000000</v>
      </c>
      <c r="B41" s="149" t="s">
        <v>201</v>
      </c>
      <c r="C41" s="189">
        <f>C42+C43+C44+C45+C46+C47+C50</f>
        <v>7187.768349999999</v>
      </c>
      <c r="D41" s="150">
        <f>D42+D43+D44+D45+D46+D47+D50</f>
        <v>7105.25565</v>
      </c>
      <c r="E41" s="150">
        <f t="shared" si="0"/>
        <v>98.8520400772237</v>
      </c>
      <c r="F41" s="150">
        <f t="shared" si="1"/>
        <v>-82.51269999999931</v>
      </c>
      <c r="G41" s="170"/>
    </row>
    <row r="42" spans="1:6" ht="15" customHeight="1">
      <c r="A42" s="162">
        <v>2021000000</v>
      </c>
      <c r="B42" s="163" t="s">
        <v>202</v>
      </c>
      <c r="C42" s="159">
        <v>2122.2</v>
      </c>
      <c r="D42" s="159">
        <v>2122.2</v>
      </c>
      <c r="E42" s="155">
        <f t="shared" si="0"/>
        <v>100</v>
      </c>
      <c r="F42" s="155">
        <f t="shared" si="1"/>
        <v>0</v>
      </c>
    </row>
    <row r="43" spans="1:6" ht="15.75" customHeight="1">
      <c r="A43" s="162">
        <v>2021500200</v>
      </c>
      <c r="B43" s="163" t="s">
        <v>205</v>
      </c>
      <c r="C43" s="159"/>
      <c r="D43" s="172">
        <v>0</v>
      </c>
      <c r="E43" s="155" t="e">
        <f t="shared" si="0"/>
        <v>#DIV/0!</v>
      </c>
      <c r="F43" s="155">
        <f t="shared" si="1"/>
        <v>0</v>
      </c>
    </row>
    <row r="44" spans="1:6" ht="18" customHeight="1">
      <c r="A44" s="162">
        <v>2022000000</v>
      </c>
      <c r="B44" s="163" t="s">
        <v>206</v>
      </c>
      <c r="C44" s="159">
        <v>3233.5907</v>
      </c>
      <c r="D44" s="156">
        <v>3233.578</v>
      </c>
      <c r="E44" s="155">
        <f t="shared" si="0"/>
        <v>99.99960724775711</v>
      </c>
      <c r="F44" s="155">
        <f t="shared" si="1"/>
        <v>-0.012700000000222644</v>
      </c>
    </row>
    <row r="45" spans="1:6" ht="15.75" customHeight="1">
      <c r="A45" s="162">
        <v>2023000000</v>
      </c>
      <c r="B45" s="163" t="s">
        <v>207</v>
      </c>
      <c r="C45" s="159">
        <v>103.383</v>
      </c>
      <c r="D45" s="174">
        <v>103.383</v>
      </c>
      <c r="E45" s="155">
        <f t="shared" si="0"/>
        <v>100</v>
      </c>
      <c r="F45" s="155">
        <f t="shared" si="1"/>
        <v>0</v>
      </c>
    </row>
    <row r="46" spans="1:6" ht="15.75" customHeight="1">
      <c r="A46" s="162">
        <v>2024000000</v>
      </c>
      <c r="B46" s="163" t="s">
        <v>102</v>
      </c>
      <c r="C46" s="159">
        <v>1428.118</v>
      </c>
      <c r="D46" s="175">
        <v>1395.618</v>
      </c>
      <c r="E46" s="155">
        <f t="shared" si="0"/>
        <v>97.72427768573745</v>
      </c>
      <c r="F46" s="155">
        <f t="shared" si="1"/>
        <v>-32.5</v>
      </c>
    </row>
    <row r="47" spans="1:6" ht="17.25" customHeight="1">
      <c r="A47" s="162">
        <v>2020900000</v>
      </c>
      <c r="B47" s="166" t="s">
        <v>329</v>
      </c>
      <c r="C47" s="159"/>
      <c r="D47" s="175"/>
      <c r="E47" s="155" t="e">
        <f t="shared" si="0"/>
        <v>#DIV/0!</v>
      </c>
      <c r="F47" s="155">
        <f t="shared" si="1"/>
        <v>0</v>
      </c>
    </row>
    <row r="48" spans="1:6" ht="17.25" customHeight="1">
      <c r="A48" s="162">
        <v>2080500010</v>
      </c>
      <c r="B48" s="166" t="s">
        <v>367</v>
      </c>
      <c r="C48" s="159"/>
      <c r="D48" s="175"/>
      <c r="E48" s="155"/>
      <c r="F48" s="155"/>
    </row>
    <row r="49" spans="1:6" s="139" customFormat="1" ht="15.75" customHeight="1">
      <c r="A49" s="148">
        <v>3000000000</v>
      </c>
      <c r="B49" s="157" t="s">
        <v>210</v>
      </c>
      <c r="C49" s="260">
        <v>0</v>
      </c>
      <c r="D49" s="161">
        <v>0</v>
      </c>
      <c r="E49" s="150" t="e">
        <f>SUM(D49/C49*100)</f>
        <v>#DIV/0!</v>
      </c>
      <c r="F49" s="150">
        <f>SUM(D49-C49)</f>
        <v>0</v>
      </c>
    </row>
    <row r="50" spans="1:6" s="139" customFormat="1" ht="17.25" customHeight="1">
      <c r="A50" s="162">
        <v>2027000000</v>
      </c>
      <c r="B50" s="154" t="s">
        <v>355</v>
      </c>
      <c r="C50" s="159">
        <v>300.47665</v>
      </c>
      <c r="D50" s="156">
        <v>250.47665</v>
      </c>
      <c r="E50" s="155">
        <f>SUM(D50/C50*100)</f>
        <v>83.35977188244078</v>
      </c>
      <c r="F50" s="155">
        <f>SUM(D50-C50)</f>
        <v>-50</v>
      </c>
    </row>
    <row r="51" spans="1:8" s="139" customFormat="1" ht="17.25" customHeight="1">
      <c r="A51" s="153">
        <v>2070500010</v>
      </c>
      <c r="B51" s="149" t="s">
        <v>211</v>
      </c>
      <c r="C51" s="307">
        <f>C40+C41</f>
        <v>8159.838349999999</v>
      </c>
      <c r="D51" s="315">
        <f>D40+D41</f>
        <v>8362.05136</v>
      </c>
      <c r="E51" s="270">
        <f>SUM(D51/C51*100)</f>
        <v>102.47814970501223</v>
      </c>
      <c r="F51" s="270">
        <f>SUM(D51-C51)</f>
        <v>202.2130100000004</v>
      </c>
      <c r="G51" s="141"/>
      <c r="H51" s="308"/>
    </row>
    <row r="52" spans="1:6" s="139" customFormat="1" ht="16.5" customHeight="1">
      <c r="A52" s="153"/>
      <c r="B52" s="188" t="s">
        <v>316</v>
      </c>
      <c r="C52" s="307">
        <f>C51-C98</f>
        <v>-194.84275000000252</v>
      </c>
      <c r="D52" s="307">
        <f>D51-D98</f>
        <v>105.08541999999943</v>
      </c>
      <c r="E52" s="289"/>
      <c r="F52" s="289"/>
    </row>
    <row r="53" spans="1:6" ht="15.75">
      <c r="A53" s="148"/>
      <c r="B53" s="192"/>
      <c r="C53" s="282"/>
      <c r="D53" s="282"/>
      <c r="E53" s="194"/>
      <c r="F53" s="243"/>
    </row>
    <row r="54" spans="1:6" ht="32.25" customHeight="1">
      <c r="A54" s="191"/>
      <c r="B54" s="196" t="s">
        <v>213</v>
      </c>
      <c r="C54" s="145" t="s">
        <v>143</v>
      </c>
      <c r="D54" s="146" t="s">
        <v>426</v>
      </c>
      <c r="E54" s="145" t="s">
        <v>144</v>
      </c>
      <c r="F54" s="147" t="s">
        <v>145</v>
      </c>
    </row>
    <row r="55" spans="1:6" ht="47.25" customHeight="1">
      <c r="A55" s="196" t="s">
        <v>141</v>
      </c>
      <c r="B55" s="196">
        <v>2</v>
      </c>
      <c r="C55" s="199">
        <v>3</v>
      </c>
      <c r="D55" s="199">
        <v>4</v>
      </c>
      <c r="E55" s="199">
        <v>5</v>
      </c>
      <c r="F55" s="199">
        <v>6</v>
      </c>
    </row>
    <row r="56" spans="1:6" s="139" customFormat="1" ht="15.75">
      <c r="A56" s="245">
        <v>1</v>
      </c>
      <c r="B56" s="201" t="s">
        <v>214</v>
      </c>
      <c r="C56" s="316">
        <f>C57+C58+C59+C60+C61+C63+C62</f>
        <v>1428.112</v>
      </c>
      <c r="D56" s="290">
        <f>D57+D58+D59+D60+D61+D63+D62</f>
        <v>1393.0022900000001</v>
      </c>
      <c r="E56" s="202">
        <f>SUM(D56/C56*100)</f>
        <v>97.54152965593735</v>
      </c>
      <c r="F56" s="202">
        <f>SUM(D56-C56)</f>
        <v>-35.10970999999995</v>
      </c>
    </row>
    <row r="57" spans="1:6" s="139" customFormat="1" ht="15.75" customHeight="1" hidden="1">
      <c r="A57" s="200" t="s">
        <v>33</v>
      </c>
      <c r="B57" s="204" t="s">
        <v>216</v>
      </c>
      <c r="C57" s="317"/>
      <c r="D57" s="317"/>
      <c r="E57" s="205"/>
      <c r="F57" s="205"/>
    </row>
    <row r="58" spans="1:6" ht="17.25" customHeight="1">
      <c r="A58" s="203" t="s">
        <v>217</v>
      </c>
      <c r="B58" s="206" t="s">
        <v>218</v>
      </c>
      <c r="C58" s="317">
        <v>1404.75</v>
      </c>
      <c r="D58" s="317">
        <v>1374.64029</v>
      </c>
      <c r="E58" s="205">
        <f>SUM(D58/C58*100)</f>
        <v>97.85657875066738</v>
      </c>
      <c r="F58" s="205">
        <f aca="true" t="shared" si="2" ref="F58:F87">SUM(D58-C58)</f>
        <v>-30.10970999999995</v>
      </c>
    </row>
    <row r="59" spans="1:6" ht="17.25" customHeight="1" hidden="1">
      <c r="A59" s="203" t="s">
        <v>217</v>
      </c>
      <c r="B59" s="206" t="s">
        <v>220</v>
      </c>
      <c r="C59" s="317"/>
      <c r="D59" s="317"/>
      <c r="E59" s="205"/>
      <c r="F59" s="205">
        <f t="shared" si="2"/>
        <v>0</v>
      </c>
    </row>
    <row r="60" spans="1:6" ht="15.75" customHeight="1" hidden="1">
      <c r="A60" s="203" t="s">
        <v>219</v>
      </c>
      <c r="B60" s="206" t="s">
        <v>222</v>
      </c>
      <c r="C60" s="317"/>
      <c r="D60" s="317"/>
      <c r="E60" s="205" t="e">
        <f aca="true" t="shared" si="3" ref="E60:E98">SUM(D60/C60*100)</f>
        <v>#DIV/0!</v>
      </c>
      <c r="F60" s="205">
        <f t="shared" si="2"/>
        <v>0</v>
      </c>
    </row>
    <row r="61" spans="1:6" ht="15" customHeight="1">
      <c r="A61" s="203" t="s">
        <v>223</v>
      </c>
      <c r="B61" s="206" t="s">
        <v>224</v>
      </c>
      <c r="C61" s="317"/>
      <c r="D61" s="317">
        <v>0</v>
      </c>
      <c r="E61" s="205" t="e">
        <f t="shared" si="3"/>
        <v>#DIV/0!</v>
      </c>
      <c r="F61" s="205">
        <f t="shared" si="2"/>
        <v>0</v>
      </c>
    </row>
    <row r="62" spans="1:6" ht="15.75" customHeight="1">
      <c r="A62" s="203" t="s">
        <v>225</v>
      </c>
      <c r="B62" s="206" t="s">
        <v>226</v>
      </c>
      <c r="C62" s="318">
        <v>5</v>
      </c>
      <c r="D62" s="318">
        <v>0</v>
      </c>
      <c r="E62" s="205">
        <f t="shared" si="3"/>
        <v>0</v>
      </c>
      <c r="F62" s="205">
        <f t="shared" si="2"/>
        <v>-5</v>
      </c>
    </row>
    <row r="63" spans="1:6" ht="19.5" customHeight="1">
      <c r="A63" s="203" t="s">
        <v>227</v>
      </c>
      <c r="B63" s="206" t="s">
        <v>228</v>
      </c>
      <c r="C63" s="317">
        <v>18.362</v>
      </c>
      <c r="D63" s="317">
        <v>18.362</v>
      </c>
      <c r="E63" s="205">
        <f t="shared" si="3"/>
        <v>100</v>
      </c>
      <c r="F63" s="205">
        <f t="shared" si="2"/>
        <v>0</v>
      </c>
    </row>
    <row r="64" spans="1:6" s="139" customFormat="1" ht="15.75">
      <c r="A64" s="200" t="s">
        <v>35</v>
      </c>
      <c r="B64" s="209" t="s">
        <v>229</v>
      </c>
      <c r="C64" s="290">
        <f>C65</f>
        <v>103.383</v>
      </c>
      <c r="D64" s="290">
        <f>D65</f>
        <v>103.383</v>
      </c>
      <c r="E64" s="202">
        <f t="shared" si="3"/>
        <v>100</v>
      </c>
      <c r="F64" s="202">
        <f t="shared" si="2"/>
        <v>0</v>
      </c>
    </row>
    <row r="65" spans="1:6" ht="15.75">
      <c r="A65" s="319" t="s">
        <v>230</v>
      </c>
      <c r="B65" s="211" t="s">
        <v>231</v>
      </c>
      <c r="C65" s="317">
        <v>103.383</v>
      </c>
      <c r="D65" s="317">
        <v>103.383</v>
      </c>
      <c r="E65" s="205">
        <f t="shared" si="3"/>
        <v>100</v>
      </c>
      <c r="F65" s="205">
        <f t="shared" si="2"/>
        <v>0</v>
      </c>
    </row>
    <row r="66" spans="1:6" s="139" customFormat="1" ht="18" customHeight="1">
      <c r="A66" s="210" t="s">
        <v>37</v>
      </c>
      <c r="B66" s="201" t="s">
        <v>232</v>
      </c>
      <c r="C66" s="290">
        <f>C69+C70+C71</f>
        <v>18.5</v>
      </c>
      <c r="D66" s="290">
        <f>D69+D70+D71</f>
        <v>18.31148</v>
      </c>
      <c r="E66" s="202">
        <f t="shared" si="3"/>
        <v>98.98097297297296</v>
      </c>
      <c r="F66" s="202">
        <f t="shared" si="2"/>
        <v>-0.18852000000000046</v>
      </c>
    </row>
    <row r="67" spans="1:6" ht="1.5" customHeight="1" hidden="1">
      <c r="A67" s="200" t="s">
        <v>37</v>
      </c>
      <c r="B67" s="206" t="s">
        <v>234</v>
      </c>
      <c r="C67" s="317">
        <v>0</v>
      </c>
      <c r="D67" s="290">
        <v>0</v>
      </c>
      <c r="E67" s="202" t="e">
        <f t="shared" si="3"/>
        <v>#DIV/0!</v>
      </c>
      <c r="F67" s="202">
        <f t="shared" si="2"/>
        <v>0</v>
      </c>
    </row>
    <row r="68" spans="1:6" ht="20.25" customHeight="1" hidden="1">
      <c r="A68" s="203" t="s">
        <v>233</v>
      </c>
      <c r="B68" s="206" t="s">
        <v>317</v>
      </c>
      <c r="C68" s="317">
        <v>0</v>
      </c>
      <c r="D68" s="290">
        <v>0</v>
      </c>
      <c r="E68" s="202" t="e">
        <f t="shared" si="3"/>
        <v>#DIV/0!</v>
      </c>
      <c r="F68" s="202">
        <f t="shared" si="2"/>
        <v>0</v>
      </c>
    </row>
    <row r="69" spans="1:6" ht="17.25" customHeight="1">
      <c r="A69" s="212" t="s">
        <v>237</v>
      </c>
      <c r="B69" s="214" t="s">
        <v>238</v>
      </c>
      <c r="C69" s="317">
        <v>3</v>
      </c>
      <c r="D69" s="317">
        <v>2.81148</v>
      </c>
      <c r="E69" s="202">
        <f t="shared" si="3"/>
        <v>93.716</v>
      </c>
      <c r="F69" s="202">
        <f t="shared" si="2"/>
        <v>-0.18852000000000002</v>
      </c>
    </row>
    <row r="70" spans="1:6" ht="15.75">
      <c r="A70" s="213" t="s">
        <v>239</v>
      </c>
      <c r="B70" s="214" t="s">
        <v>240</v>
      </c>
      <c r="C70" s="317">
        <v>13.5</v>
      </c>
      <c r="D70" s="317">
        <v>13.5</v>
      </c>
      <c r="E70" s="202">
        <f t="shared" si="3"/>
        <v>100</v>
      </c>
      <c r="F70" s="202">
        <f t="shared" si="2"/>
        <v>0</v>
      </c>
    </row>
    <row r="71" spans="1:6" ht="15.75">
      <c r="A71" s="213" t="s">
        <v>241</v>
      </c>
      <c r="B71" s="214" t="s">
        <v>345</v>
      </c>
      <c r="C71" s="317">
        <v>2</v>
      </c>
      <c r="D71" s="317">
        <v>2</v>
      </c>
      <c r="E71" s="202">
        <f t="shared" si="3"/>
        <v>100</v>
      </c>
      <c r="F71" s="202">
        <f t="shared" si="2"/>
        <v>0</v>
      </c>
    </row>
    <row r="72" spans="1:9" s="139" customFormat="1" ht="17.25" customHeight="1">
      <c r="A72" s="320" t="s">
        <v>39</v>
      </c>
      <c r="B72" s="201" t="s">
        <v>243</v>
      </c>
      <c r="C72" s="290">
        <f>SUM(C73:C76)</f>
        <v>3289.03055</v>
      </c>
      <c r="D72" s="290">
        <f>SUM(D73:D76)</f>
        <v>3237.21937</v>
      </c>
      <c r="E72" s="202">
        <f t="shared" si="3"/>
        <v>98.42472791868715</v>
      </c>
      <c r="F72" s="202">
        <f t="shared" si="2"/>
        <v>-51.81118000000015</v>
      </c>
      <c r="I72" s="321"/>
    </row>
    <row r="73" spans="1:6" ht="15" customHeight="1">
      <c r="A73" s="203" t="s">
        <v>246</v>
      </c>
      <c r="B73" s="206" t="s">
        <v>319</v>
      </c>
      <c r="C73" s="317"/>
      <c r="D73" s="317">
        <v>0</v>
      </c>
      <c r="E73" s="205" t="e">
        <f t="shared" si="3"/>
        <v>#DIV/0!</v>
      </c>
      <c r="F73" s="205">
        <f t="shared" si="2"/>
        <v>0</v>
      </c>
    </row>
    <row r="74" spans="1:7" s="139" customFormat="1" ht="19.5" customHeight="1">
      <c r="A74" s="203" t="s">
        <v>248</v>
      </c>
      <c r="B74" s="206" t="s">
        <v>320</v>
      </c>
      <c r="C74" s="317">
        <v>0</v>
      </c>
      <c r="D74" s="317">
        <v>0</v>
      </c>
      <c r="E74" s="205" t="e">
        <f t="shared" si="3"/>
        <v>#DIV/0!</v>
      </c>
      <c r="F74" s="205">
        <f t="shared" si="2"/>
        <v>0</v>
      </c>
      <c r="G74" s="142"/>
    </row>
    <row r="75" spans="1:6" ht="15.75">
      <c r="A75" s="203" t="s">
        <v>250</v>
      </c>
      <c r="B75" s="206" t="s">
        <v>251</v>
      </c>
      <c r="C75" s="317">
        <v>3064.63155</v>
      </c>
      <c r="D75" s="317">
        <v>3012.86937</v>
      </c>
      <c r="E75" s="205">
        <f t="shared" si="3"/>
        <v>98.3109819514845</v>
      </c>
      <c r="F75" s="205">
        <f t="shared" si="2"/>
        <v>-51.76218000000017</v>
      </c>
    </row>
    <row r="76" spans="1:6" ht="15.75">
      <c r="A76" s="203" t="s">
        <v>252</v>
      </c>
      <c r="B76" s="206" t="s">
        <v>253</v>
      </c>
      <c r="C76" s="317">
        <v>224.399</v>
      </c>
      <c r="D76" s="317">
        <v>224.35</v>
      </c>
      <c r="E76" s="205">
        <f t="shared" si="3"/>
        <v>99.97816389556104</v>
      </c>
      <c r="F76" s="205">
        <f t="shared" si="2"/>
        <v>-0.049000000000006594</v>
      </c>
    </row>
    <row r="77" spans="1:6" s="139" customFormat="1" ht="14.25" customHeight="1">
      <c r="A77" s="200" t="s">
        <v>41</v>
      </c>
      <c r="B77" s="201" t="s">
        <v>254</v>
      </c>
      <c r="C77" s="290">
        <f>SUM(C78:C80)</f>
        <v>2738.4055500000004</v>
      </c>
      <c r="D77" s="290">
        <f>SUM(D78:D80)</f>
        <v>2730.7928</v>
      </c>
      <c r="E77" s="202">
        <f t="shared" si="3"/>
        <v>99.72200063646525</v>
      </c>
      <c r="F77" s="202">
        <f t="shared" si="2"/>
        <v>-7.612750000000233</v>
      </c>
    </row>
    <row r="78" spans="1:6" ht="15.75" customHeight="1" hidden="1">
      <c r="A78" s="200" t="s">
        <v>41</v>
      </c>
      <c r="B78" s="217" t="s">
        <v>256</v>
      </c>
      <c r="C78" s="317"/>
      <c r="D78" s="317"/>
      <c r="E78" s="205" t="e">
        <f t="shared" si="3"/>
        <v>#DIV/0!</v>
      </c>
      <c r="F78" s="205">
        <f t="shared" si="2"/>
        <v>0</v>
      </c>
    </row>
    <row r="79" spans="1:6" ht="17.25" customHeight="1">
      <c r="A79" s="203" t="s">
        <v>257</v>
      </c>
      <c r="B79" s="217" t="s">
        <v>258</v>
      </c>
      <c r="C79" s="317">
        <v>1290.7887</v>
      </c>
      <c r="D79" s="317">
        <v>1283.1858</v>
      </c>
      <c r="E79" s="205">
        <f t="shared" si="3"/>
        <v>99.41098802615795</v>
      </c>
      <c r="F79" s="205">
        <f t="shared" si="2"/>
        <v>-7.602900000000091</v>
      </c>
    </row>
    <row r="80" spans="1:6" ht="15.75">
      <c r="A80" s="203" t="s">
        <v>259</v>
      </c>
      <c r="B80" s="206" t="s">
        <v>260</v>
      </c>
      <c r="C80" s="317">
        <v>1447.61685</v>
      </c>
      <c r="D80" s="317">
        <v>1447.607</v>
      </c>
      <c r="E80" s="205">
        <f t="shared" si="3"/>
        <v>99.99931957133545</v>
      </c>
      <c r="F80" s="205">
        <f t="shared" si="2"/>
        <v>-0.009850000000142245</v>
      </c>
    </row>
    <row r="81" spans="1:6" s="139" customFormat="1" ht="15.75">
      <c r="A81" s="200" t="s">
        <v>47</v>
      </c>
      <c r="B81" s="201" t="s">
        <v>275</v>
      </c>
      <c r="C81" s="290">
        <f>C82</f>
        <v>767.25</v>
      </c>
      <c r="D81" s="290">
        <f>SUM(D82)</f>
        <v>767.25</v>
      </c>
      <c r="E81" s="202">
        <f t="shared" si="3"/>
        <v>100</v>
      </c>
      <c r="F81" s="202">
        <f t="shared" si="2"/>
        <v>0</v>
      </c>
    </row>
    <row r="82" spans="1:12" ht="15.75" customHeight="1">
      <c r="A82" s="203" t="s">
        <v>276</v>
      </c>
      <c r="B82" s="206" t="s">
        <v>277</v>
      </c>
      <c r="C82" s="317">
        <v>767.25</v>
      </c>
      <c r="D82" s="317">
        <v>767.25</v>
      </c>
      <c r="E82" s="205">
        <f t="shared" si="3"/>
        <v>100</v>
      </c>
      <c r="F82" s="205">
        <f t="shared" si="2"/>
        <v>0</v>
      </c>
      <c r="L82" s="322"/>
    </row>
    <row r="83" spans="1:6" s="139" customFormat="1" ht="15.75" hidden="1">
      <c r="A83" s="203" t="s">
        <v>49</v>
      </c>
      <c r="B83" s="201" t="s">
        <v>280</v>
      </c>
      <c r="C83" s="290">
        <f>SUM(C84:C87)</f>
        <v>0</v>
      </c>
      <c r="D83" s="290">
        <f>SUM(D84:D87)</f>
        <v>0</v>
      </c>
      <c r="E83" s="202" t="e">
        <f t="shared" si="3"/>
        <v>#DIV/0!</v>
      </c>
      <c r="F83" s="202">
        <f t="shared" si="2"/>
        <v>0</v>
      </c>
    </row>
    <row r="84" spans="1:6" ht="15.75" hidden="1">
      <c r="A84" s="218">
        <v>1000</v>
      </c>
      <c r="B84" s="220" t="s">
        <v>281</v>
      </c>
      <c r="C84" s="317"/>
      <c r="D84" s="317"/>
      <c r="E84" s="202" t="e">
        <f t="shared" si="3"/>
        <v>#DIV/0!</v>
      </c>
      <c r="F84" s="202">
        <f t="shared" si="2"/>
        <v>0</v>
      </c>
    </row>
    <row r="85" spans="1:6" ht="15.75" hidden="1">
      <c r="A85" s="219">
        <v>1001</v>
      </c>
      <c r="B85" s="220" t="s">
        <v>282</v>
      </c>
      <c r="C85" s="317"/>
      <c r="D85" s="317"/>
      <c r="E85" s="202" t="e">
        <f t="shared" si="3"/>
        <v>#DIV/0!</v>
      </c>
      <c r="F85" s="202">
        <f t="shared" si="2"/>
        <v>0</v>
      </c>
    </row>
    <row r="86" spans="1:6" ht="15.75" hidden="1">
      <c r="A86" s="219">
        <v>1003</v>
      </c>
      <c r="B86" s="220" t="s">
        <v>283</v>
      </c>
      <c r="C86" s="317"/>
      <c r="D86" s="323"/>
      <c r="E86" s="202" t="e">
        <f t="shared" si="3"/>
        <v>#DIV/0!</v>
      </c>
      <c r="F86" s="202">
        <f t="shared" si="2"/>
        <v>0</v>
      </c>
    </row>
    <row r="87" spans="1:6" ht="15" customHeight="1" hidden="1">
      <c r="A87" s="219">
        <v>1004</v>
      </c>
      <c r="B87" s="206" t="s">
        <v>285</v>
      </c>
      <c r="C87" s="317">
        <v>0</v>
      </c>
      <c r="D87" s="317">
        <v>0</v>
      </c>
      <c r="E87" s="202" t="e">
        <f t="shared" si="3"/>
        <v>#DIV/0!</v>
      </c>
      <c r="F87" s="202">
        <f t="shared" si="2"/>
        <v>0</v>
      </c>
    </row>
    <row r="88" spans="1:6" ht="19.5" customHeight="1">
      <c r="A88" s="200" t="s">
        <v>51</v>
      </c>
      <c r="B88" s="201" t="s">
        <v>286</v>
      </c>
      <c r="C88" s="290">
        <f>C89+C90+C91+C92+C93</f>
        <v>10</v>
      </c>
      <c r="D88" s="290">
        <f>D89+D90+D91+D92+D93</f>
        <v>7.007</v>
      </c>
      <c r="E88" s="205">
        <f t="shared" si="3"/>
        <v>70.07</v>
      </c>
      <c r="F88" s="190">
        <f>F89+F90+F91+F92+F93</f>
        <v>-2.9930000000000003</v>
      </c>
    </row>
    <row r="89" spans="1:6" ht="15.75" customHeight="1">
      <c r="A89" s="203" t="s">
        <v>287</v>
      </c>
      <c r="B89" s="206" t="s">
        <v>288</v>
      </c>
      <c r="C89" s="317">
        <v>10</v>
      </c>
      <c r="D89" s="317">
        <v>7.007</v>
      </c>
      <c r="E89" s="205">
        <f t="shared" si="3"/>
        <v>70.07</v>
      </c>
      <c r="F89" s="205">
        <f>SUM(D89-C89)</f>
        <v>-2.9930000000000003</v>
      </c>
    </row>
    <row r="90" spans="1:6" ht="0.75" customHeight="1" hidden="1">
      <c r="A90" s="203" t="s">
        <v>287</v>
      </c>
      <c r="B90" s="206" t="s">
        <v>290</v>
      </c>
      <c r="C90" s="317"/>
      <c r="D90" s="317">
        <v>0</v>
      </c>
      <c r="E90" s="205" t="e">
        <f t="shared" si="3"/>
        <v>#DIV/0!</v>
      </c>
      <c r="F90" s="205">
        <f>SUM(D90-C90)</f>
        <v>0</v>
      </c>
    </row>
    <row r="91" spans="1:6" ht="15.75" customHeight="1" hidden="1">
      <c r="A91" s="203" t="s">
        <v>289</v>
      </c>
      <c r="B91" s="206" t="s">
        <v>292</v>
      </c>
      <c r="C91" s="317"/>
      <c r="D91" s="317"/>
      <c r="E91" s="205" t="e">
        <f t="shared" si="3"/>
        <v>#DIV/0!</v>
      </c>
      <c r="F91" s="205"/>
    </row>
    <row r="92" spans="1:6" ht="3" customHeight="1" hidden="1">
      <c r="A92" s="203" t="s">
        <v>291</v>
      </c>
      <c r="B92" s="206" t="s">
        <v>294</v>
      </c>
      <c r="C92" s="317"/>
      <c r="D92" s="317"/>
      <c r="E92" s="205" t="e">
        <f t="shared" si="3"/>
        <v>#DIV/0!</v>
      </c>
      <c r="F92" s="205"/>
    </row>
    <row r="93" spans="1:6" ht="15" customHeight="1" hidden="1">
      <c r="A93" s="203" t="s">
        <v>293</v>
      </c>
      <c r="B93" s="206" t="s">
        <v>296</v>
      </c>
      <c r="C93" s="317"/>
      <c r="D93" s="317"/>
      <c r="E93" s="205" t="e">
        <f t="shared" si="3"/>
        <v>#DIV/0!</v>
      </c>
      <c r="F93" s="205"/>
    </row>
    <row r="94" spans="1:6" s="139" customFormat="1" ht="12" customHeight="1" hidden="1">
      <c r="A94" s="203" t="s">
        <v>295</v>
      </c>
      <c r="B94" s="222" t="s">
        <v>303</v>
      </c>
      <c r="C94" s="290">
        <f>C95+C96+C97</f>
        <v>0</v>
      </c>
      <c r="D94" s="290">
        <f>SUM(D95:D97)</f>
        <v>0</v>
      </c>
      <c r="E94" s="202" t="e">
        <f t="shared" si="3"/>
        <v>#DIV/0!</v>
      </c>
      <c r="F94" s="202">
        <f>SUM(D94-C94)</f>
        <v>0</v>
      </c>
    </row>
    <row r="95" spans="1:6" ht="15.75" customHeight="1" hidden="1">
      <c r="A95" s="218">
        <v>1400</v>
      </c>
      <c r="B95" s="220" t="s">
        <v>304</v>
      </c>
      <c r="C95" s="317"/>
      <c r="D95" s="317"/>
      <c r="E95" s="205" t="e">
        <f t="shared" si="3"/>
        <v>#DIV/0!</v>
      </c>
      <c r="F95" s="205">
        <f>SUM(D95-C95)</f>
        <v>0</v>
      </c>
    </row>
    <row r="96" spans="1:6" ht="15.75" hidden="1">
      <c r="A96" s="219">
        <v>1401</v>
      </c>
      <c r="B96" s="220" t="s">
        <v>305</v>
      </c>
      <c r="C96" s="317"/>
      <c r="D96" s="317"/>
      <c r="E96" s="205" t="e">
        <f t="shared" si="3"/>
        <v>#DIV/0!</v>
      </c>
      <c r="F96" s="205">
        <f>SUM(D96-C96)</f>
        <v>0</v>
      </c>
    </row>
    <row r="97" spans="1:6" ht="23.25" customHeight="1" hidden="1">
      <c r="A97" s="219">
        <v>1402</v>
      </c>
      <c r="B97" s="220" t="s">
        <v>306</v>
      </c>
      <c r="C97" s="317"/>
      <c r="D97" s="317"/>
      <c r="E97" s="205" t="e">
        <f t="shared" si="3"/>
        <v>#DIV/0!</v>
      </c>
      <c r="F97" s="205">
        <f>SUM(D97-C97)</f>
        <v>0</v>
      </c>
    </row>
    <row r="98" spans="1:8" s="139" customFormat="1" ht="16.5" customHeight="1">
      <c r="A98" s="219"/>
      <c r="B98" s="223" t="s">
        <v>307</v>
      </c>
      <c r="C98" s="310">
        <f>C56+C64+C66+C72+C77+C81+C88+C83</f>
        <v>8354.681100000002</v>
      </c>
      <c r="D98" s="310">
        <f>D56+D64+D66+D72+D77+D81+D88+D83</f>
        <v>8256.96594</v>
      </c>
      <c r="E98" s="202">
        <f t="shared" si="3"/>
        <v>98.83041424525466</v>
      </c>
      <c r="F98" s="202">
        <f>SUM(D98-C98)</f>
        <v>-97.71516000000156</v>
      </c>
      <c r="G98" s="280"/>
      <c r="H98" s="280"/>
    </row>
    <row r="99" spans="1:4" ht="20.25" customHeight="1">
      <c r="A99" s="218"/>
      <c r="C99" s="226"/>
      <c r="D99" s="227"/>
    </row>
    <row r="100" spans="1:5" s="143" customFormat="1" ht="13.5" customHeight="1">
      <c r="A100" s="135"/>
      <c r="B100" s="228"/>
      <c r="C100" s="265"/>
      <c r="D100" s="254"/>
      <c r="E100" s="254"/>
    </row>
    <row r="101" spans="1:4" s="143" customFormat="1" ht="12.75">
      <c r="A101" s="228" t="s">
        <v>308</v>
      </c>
      <c r="B101" s="230"/>
      <c r="C101" s="298" t="s">
        <v>310</v>
      </c>
      <c r="D101" s="298"/>
    </row>
    <row r="102" spans="1:3" ht="15.75">
      <c r="A102" s="230" t="s">
        <v>309</v>
      </c>
      <c r="C102" s="264"/>
    </row>
    <row r="104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="70" zoomScaleSheetLayoutView="70" zoomScalePageLayoutView="0" workbookViewId="0" topLeftCell="A40">
      <selection activeCell="D68" sqref="D68"/>
    </sheetView>
  </sheetViews>
  <sheetFormatPr defaultColWidth="9.140625" defaultRowHeight="12.75"/>
  <cols>
    <col min="1" max="1" width="14.7109375" style="135" customWidth="1"/>
    <col min="2" max="2" width="57.57421875" style="136" customWidth="1"/>
    <col min="3" max="3" width="16.140625" style="137" customWidth="1"/>
    <col min="4" max="4" width="17.421875" style="137" customWidth="1"/>
    <col min="5" max="5" width="10.421875" style="137" customWidth="1"/>
    <col min="6" max="6" width="9.421875" style="137" customWidth="1"/>
    <col min="7" max="7" width="17.7109375" style="138" customWidth="1"/>
    <col min="8" max="16384" width="9.140625" style="138" customWidth="1"/>
  </cols>
  <sheetData>
    <row r="1" spans="1:6" ht="12.75" customHeight="1">
      <c r="A1" s="469" t="s">
        <v>438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43.5" customHeight="1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C5+C12+C14+C17+C7</f>
        <v>2357.9</v>
      </c>
      <c r="D4" s="150">
        <f>D5+D12+D14+D17+D7</f>
        <v>2420.85807</v>
      </c>
      <c r="E4" s="150">
        <f aca="true" t="shared" si="0" ref="E4:E50">SUM(D4/C4*100)</f>
        <v>102.67009075872599</v>
      </c>
      <c r="F4" s="150">
        <f aca="true" t="shared" si="1" ref="F4:F50">SUM(D4-C4)</f>
        <v>62.958070000000134</v>
      </c>
    </row>
    <row r="5" spans="1:6" s="139" customFormat="1" ht="15.75">
      <c r="A5" s="151">
        <v>1010000000</v>
      </c>
      <c r="B5" s="152" t="s">
        <v>146</v>
      </c>
      <c r="C5" s="150">
        <f>C6</f>
        <v>126.9</v>
      </c>
      <c r="D5" s="150">
        <f>D6</f>
        <v>132.54315</v>
      </c>
      <c r="E5" s="150">
        <f t="shared" si="0"/>
        <v>104.44692671394797</v>
      </c>
      <c r="F5" s="150">
        <f t="shared" si="1"/>
        <v>5.6431499999999915</v>
      </c>
    </row>
    <row r="6" spans="1:6" ht="15.75">
      <c r="A6" s="153">
        <v>1010200001</v>
      </c>
      <c r="B6" s="154" t="s">
        <v>147</v>
      </c>
      <c r="C6" s="155">
        <v>126.9</v>
      </c>
      <c r="D6" s="156">
        <v>132.54315</v>
      </c>
      <c r="E6" s="155">
        <f t="shared" si="0"/>
        <v>104.44692671394797</v>
      </c>
      <c r="F6" s="155">
        <f t="shared" si="1"/>
        <v>5.6431499999999915</v>
      </c>
    </row>
    <row r="7" spans="1:6" ht="31.5">
      <c r="A7" s="148">
        <v>1030000000</v>
      </c>
      <c r="B7" s="157" t="s">
        <v>148</v>
      </c>
      <c r="C7" s="150">
        <f>C8+C10+C9</f>
        <v>591</v>
      </c>
      <c r="D7" s="150">
        <f>D8+D10+D9+D11</f>
        <v>663.91072</v>
      </c>
      <c r="E7" s="150">
        <f t="shared" si="0"/>
        <v>112.33683925549916</v>
      </c>
      <c r="F7" s="150">
        <f t="shared" si="1"/>
        <v>72.91071999999997</v>
      </c>
    </row>
    <row r="8" spans="1:6" ht="15.75">
      <c r="A8" s="153">
        <v>1030223001</v>
      </c>
      <c r="B8" s="154" t="s">
        <v>149</v>
      </c>
      <c r="C8" s="155">
        <v>220.44</v>
      </c>
      <c r="D8" s="156">
        <v>306.50075</v>
      </c>
      <c r="E8" s="155">
        <f t="shared" si="0"/>
        <v>139.04044184358554</v>
      </c>
      <c r="F8" s="155">
        <f t="shared" si="1"/>
        <v>86.06074999999998</v>
      </c>
    </row>
    <row r="9" spans="1:6" ht="15.75">
      <c r="A9" s="153">
        <v>1030224001</v>
      </c>
      <c r="B9" s="154" t="s">
        <v>150</v>
      </c>
      <c r="C9" s="155">
        <v>2.36</v>
      </c>
      <c r="D9" s="156">
        <v>2.15554</v>
      </c>
      <c r="E9" s="155">
        <f t="shared" si="0"/>
        <v>91.3364406779661</v>
      </c>
      <c r="F9" s="155">
        <f t="shared" si="1"/>
        <v>-0.20446000000000009</v>
      </c>
    </row>
    <row r="10" spans="1:6" ht="15.75">
      <c r="A10" s="153">
        <v>1030225001</v>
      </c>
      <c r="B10" s="154" t="s">
        <v>151</v>
      </c>
      <c r="C10" s="155">
        <v>368.2</v>
      </c>
      <c r="D10" s="156">
        <v>407.52068</v>
      </c>
      <c r="E10" s="155">
        <f t="shared" si="0"/>
        <v>110.67916349809887</v>
      </c>
      <c r="F10" s="155">
        <f t="shared" si="1"/>
        <v>39.32068000000004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-52.26625</v>
      </c>
      <c r="E11" s="155" t="e">
        <f t="shared" si="0"/>
        <v>#DIV/0!</v>
      </c>
      <c r="F11" s="155">
        <f t="shared" si="1"/>
        <v>-52.26625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140</v>
      </c>
      <c r="D12" s="150">
        <f>SUM(D13:D13)</f>
        <v>129.3675</v>
      </c>
      <c r="E12" s="150">
        <f t="shared" si="0"/>
        <v>92.40535714285714</v>
      </c>
      <c r="F12" s="150">
        <f t="shared" si="1"/>
        <v>-10.632499999999993</v>
      </c>
    </row>
    <row r="13" spans="1:6" ht="15.75" customHeight="1">
      <c r="A13" s="153">
        <v>1050300000</v>
      </c>
      <c r="B13" s="158" t="s">
        <v>156</v>
      </c>
      <c r="C13" s="159">
        <v>140</v>
      </c>
      <c r="D13" s="156">
        <v>129.3675</v>
      </c>
      <c r="E13" s="155">
        <f t="shared" si="0"/>
        <v>92.40535714285714</v>
      </c>
      <c r="F13" s="155">
        <f t="shared" si="1"/>
        <v>-10.632499999999993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1490</v>
      </c>
      <c r="D14" s="150">
        <f>D15+D16</f>
        <v>1491.0867</v>
      </c>
      <c r="E14" s="150">
        <f t="shared" si="0"/>
        <v>100.07293288590604</v>
      </c>
      <c r="F14" s="150">
        <f t="shared" si="1"/>
        <v>1.0867000000000644</v>
      </c>
    </row>
    <row r="15" spans="1:6" s="139" customFormat="1" ht="15.75" customHeight="1">
      <c r="A15" s="153">
        <v>1060100000</v>
      </c>
      <c r="B15" s="158" t="s">
        <v>159</v>
      </c>
      <c r="C15" s="155">
        <v>340</v>
      </c>
      <c r="D15" s="156">
        <v>351.12849</v>
      </c>
      <c r="E15" s="155">
        <f t="shared" si="0"/>
        <v>103.27308529411765</v>
      </c>
      <c r="F15" s="155">
        <f t="shared" si="1"/>
        <v>11.12849</v>
      </c>
    </row>
    <row r="16" spans="1:6" ht="15.75" customHeight="1">
      <c r="A16" s="153">
        <v>1060600000</v>
      </c>
      <c r="B16" s="158" t="s">
        <v>162</v>
      </c>
      <c r="C16" s="155">
        <v>1150</v>
      </c>
      <c r="D16" s="156">
        <v>1139.95821</v>
      </c>
      <c r="E16" s="155">
        <f t="shared" si="0"/>
        <v>99.12680086956523</v>
      </c>
      <c r="F16" s="155">
        <f t="shared" si="1"/>
        <v>-10.041789999999992</v>
      </c>
    </row>
    <row r="17" spans="1:6" s="139" customFormat="1" ht="15.75">
      <c r="A17" s="148">
        <v>1080000000</v>
      </c>
      <c r="B17" s="149" t="s">
        <v>165</v>
      </c>
      <c r="C17" s="150">
        <f>C18</f>
        <v>10</v>
      </c>
      <c r="D17" s="150">
        <f>D18</f>
        <v>3.95</v>
      </c>
      <c r="E17" s="150">
        <f t="shared" si="0"/>
        <v>39.5</v>
      </c>
      <c r="F17" s="150">
        <f t="shared" si="1"/>
        <v>-6.05</v>
      </c>
    </row>
    <row r="18" spans="1:6" ht="15" customHeight="1">
      <c r="A18" s="153">
        <v>1080400001</v>
      </c>
      <c r="B18" s="154" t="s">
        <v>167</v>
      </c>
      <c r="C18" s="155">
        <v>10</v>
      </c>
      <c r="D18" s="156">
        <v>3.95</v>
      </c>
      <c r="E18" s="155">
        <f t="shared" si="0"/>
        <v>39.5</v>
      </c>
      <c r="F18" s="155">
        <f t="shared" si="1"/>
        <v>-6.05</v>
      </c>
    </row>
    <row r="19" spans="1:6" ht="47.2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29.25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15.75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15.75" hidden="1">
      <c r="A22" s="153">
        <v>1090400000</v>
      </c>
      <c r="B22" s="154" t="s">
        <v>341</v>
      </c>
      <c r="C22" s="150"/>
      <c r="D22" s="161"/>
      <c r="E22" s="155" t="e">
        <f t="shared" si="0"/>
        <v>#DIV/0!</v>
      </c>
      <c r="F22" s="155">
        <f t="shared" si="1"/>
        <v>0</v>
      </c>
    </row>
    <row r="23" spans="1:6" s="140" customFormat="1" ht="15.75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15.75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5" customHeight="1">
      <c r="A25" s="148"/>
      <c r="B25" s="149" t="s">
        <v>17</v>
      </c>
      <c r="C25" s="150">
        <f>C26+C29+C31+C34</f>
        <v>451.5</v>
      </c>
      <c r="D25" s="150">
        <f>D26+D29+D31+D34+D36</f>
        <v>602.38259</v>
      </c>
      <c r="E25" s="150">
        <f t="shared" si="0"/>
        <v>133.4180708748616</v>
      </c>
      <c r="F25" s="150">
        <f t="shared" si="1"/>
        <v>150.88259000000005</v>
      </c>
    </row>
    <row r="26" spans="1:6" s="139" customFormat="1" ht="30" customHeight="1">
      <c r="A26" s="151">
        <v>1110000000</v>
      </c>
      <c r="B26" s="160" t="s">
        <v>174</v>
      </c>
      <c r="C26" s="150">
        <f>C27+C28</f>
        <v>386.5</v>
      </c>
      <c r="D26" s="150">
        <f>D27+D28</f>
        <v>459.32084</v>
      </c>
      <c r="E26" s="150">
        <f t="shared" si="0"/>
        <v>118.84109702457954</v>
      </c>
      <c r="F26" s="150">
        <f t="shared" si="1"/>
        <v>72.82083999999998</v>
      </c>
    </row>
    <row r="27" spans="1:6" ht="15.75">
      <c r="A27" s="162">
        <v>1110502510</v>
      </c>
      <c r="B27" s="163" t="s">
        <v>177</v>
      </c>
      <c r="C27" s="159">
        <v>307</v>
      </c>
      <c r="D27" s="156">
        <v>399.49386</v>
      </c>
      <c r="E27" s="155">
        <f t="shared" si="0"/>
        <v>130.12829315960911</v>
      </c>
      <c r="F27" s="155">
        <f t="shared" si="1"/>
        <v>92.49385999999998</v>
      </c>
    </row>
    <row r="28" spans="1:6" ht="15.75">
      <c r="A28" s="153">
        <v>1110503510</v>
      </c>
      <c r="B28" s="158" t="s">
        <v>178</v>
      </c>
      <c r="C28" s="159">
        <v>79.5</v>
      </c>
      <c r="D28" s="156">
        <v>59.82698</v>
      </c>
      <c r="E28" s="155">
        <f t="shared" si="0"/>
        <v>75.25406289308177</v>
      </c>
      <c r="F28" s="155">
        <f t="shared" si="1"/>
        <v>-19.67302</v>
      </c>
    </row>
    <row r="29" spans="1:6" s="140" customFormat="1" ht="19.5" customHeight="1">
      <c r="A29" s="151">
        <v>1130000000</v>
      </c>
      <c r="B29" s="160" t="s">
        <v>185</v>
      </c>
      <c r="C29" s="150">
        <f>C30</f>
        <v>55</v>
      </c>
      <c r="D29" s="150">
        <f>D30</f>
        <v>67.49633</v>
      </c>
      <c r="E29" s="150">
        <f t="shared" si="0"/>
        <v>122.7206</v>
      </c>
      <c r="F29" s="150">
        <f t="shared" si="1"/>
        <v>12.49633</v>
      </c>
    </row>
    <row r="30" spans="1:6" ht="36.75" customHeight="1">
      <c r="A30" s="153">
        <v>1130206510</v>
      </c>
      <c r="B30" s="154" t="s">
        <v>333</v>
      </c>
      <c r="C30" s="155">
        <v>55</v>
      </c>
      <c r="D30" s="156">
        <v>67.49633</v>
      </c>
      <c r="E30" s="155">
        <f t="shared" si="0"/>
        <v>122.7206</v>
      </c>
      <c r="F30" s="155">
        <f t="shared" si="1"/>
        <v>12.49633</v>
      </c>
    </row>
    <row r="31" spans="1:6" ht="15.75" customHeight="1">
      <c r="A31" s="164">
        <v>1140000000</v>
      </c>
      <c r="B31" s="165" t="s">
        <v>188</v>
      </c>
      <c r="C31" s="150">
        <f>C32+C33</f>
        <v>10</v>
      </c>
      <c r="D31" s="150">
        <f>D32+D33</f>
        <v>10.23</v>
      </c>
      <c r="E31" s="150">
        <f t="shared" si="0"/>
        <v>102.30000000000001</v>
      </c>
      <c r="F31" s="150">
        <f t="shared" si="1"/>
        <v>0.23000000000000043</v>
      </c>
    </row>
    <row r="32" spans="1:6" ht="17.25" customHeight="1">
      <c r="A32" s="162">
        <v>1140200000</v>
      </c>
      <c r="B32" s="166" t="s">
        <v>189</v>
      </c>
      <c r="C32" s="155">
        <v>10</v>
      </c>
      <c r="D32" s="156">
        <v>10.23</v>
      </c>
      <c r="E32" s="155">
        <f t="shared" si="0"/>
        <v>102.30000000000001</v>
      </c>
      <c r="F32" s="155">
        <f t="shared" si="1"/>
        <v>0.23000000000000043</v>
      </c>
    </row>
    <row r="33" spans="1:6" ht="17.25" customHeight="1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15" customHeight="1">
      <c r="A34" s="148">
        <v>1160000000</v>
      </c>
      <c r="B34" s="157" t="s">
        <v>325</v>
      </c>
      <c r="C34" s="155">
        <f>C35</f>
        <v>0</v>
      </c>
      <c r="D34" s="161">
        <f>D35</f>
        <v>65.33542</v>
      </c>
      <c r="E34" s="155" t="e">
        <f t="shared" si="0"/>
        <v>#DIV/0!</v>
      </c>
      <c r="F34" s="155">
        <f t="shared" si="1"/>
        <v>65.33542</v>
      </c>
    </row>
    <row r="35" spans="1:6" ht="15.75" customHeight="1">
      <c r="A35" s="153">
        <v>1160701010</v>
      </c>
      <c r="B35" s="154" t="s">
        <v>422</v>
      </c>
      <c r="C35" s="155"/>
      <c r="D35" s="156">
        <v>65.33542</v>
      </c>
      <c r="E35" s="155" t="e">
        <f t="shared" si="0"/>
        <v>#DIV/0!</v>
      </c>
      <c r="F35" s="155">
        <f t="shared" si="1"/>
        <v>65.33542</v>
      </c>
    </row>
    <row r="36" spans="1:6" ht="15" customHeight="1">
      <c r="A36" s="148">
        <v>1170000000</v>
      </c>
      <c r="B36" s="157" t="s">
        <v>198</v>
      </c>
      <c r="C36" s="150">
        <f>C37+C38</f>
        <v>0</v>
      </c>
      <c r="D36" s="150">
        <f>D37+D38</f>
        <v>0</v>
      </c>
      <c r="E36" s="155" t="e">
        <f t="shared" si="0"/>
        <v>#DIV/0!</v>
      </c>
      <c r="F36" s="150">
        <f t="shared" si="1"/>
        <v>0</v>
      </c>
    </row>
    <row r="37" spans="1:6" ht="18" customHeight="1">
      <c r="A37" s="153">
        <v>1170105005</v>
      </c>
      <c r="B37" s="154" t="s">
        <v>199</v>
      </c>
      <c r="C37" s="155">
        <f>C38</f>
        <v>0</v>
      </c>
      <c r="D37" s="155"/>
      <c r="E37" s="155" t="e">
        <f t="shared" si="0"/>
        <v>#DIV/0!</v>
      </c>
      <c r="F37" s="155">
        <f t="shared" si="1"/>
        <v>0</v>
      </c>
    </row>
    <row r="38" spans="1:6" ht="15" customHeight="1" hidden="1">
      <c r="A38" s="153">
        <v>1170505005</v>
      </c>
      <c r="B38" s="158" t="s">
        <v>200</v>
      </c>
      <c r="C38" s="155">
        <v>0</v>
      </c>
      <c r="D38" s="156">
        <v>0</v>
      </c>
      <c r="E38" s="155" t="e">
        <f t="shared" si="0"/>
        <v>#DIV/0!</v>
      </c>
      <c r="F38" s="155">
        <f t="shared" si="1"/>
        <v>0</v>
      </c>
    </row>
    <row r="39" spans="1:6" s="139" customFormat="1" ht="17.25" customHeight="1">
      <c r="A39" s="148">
        <v>1000000000</v>
      </c>
      <c r="B39" s="149" t="s">
        <v>26</v>
      </c>
      <c r="C39" s="168">
        <f>SUM(C4,C25)</f>
        <v>2809.4</v>
      </c>
      <c r="D39" s="168">
        <f>SUM(D4,D25)</f>
        <v>3023.2406600000004</v>
      </c>
      <c r="E39" s="150">
        <f t="shared" si="0"/>
        <v>107.61161315583401</v>
      </c>
      <c r="F39" s="150">
        <f t="shared" si="1"/>
        <v>213.8406600000003</v>
      </c>
    </row>
    <row r="40" spans="1:7" s="139" customFormat="1" ht="15.75">
      <c r="A40" s="148">
        <v>2000000000</v>
      </c>
      <c r="B40" s="149" t="s">
        <v>201</v>
      </c>
      <c r="C40" s="240">
        <f>C41+C43+C44+C45+C46+C47+C48+C42</f>
        <v>5768.633599999999</v>
      </c>
      <c r="D40" s="240">
        <f>SUM(D41:D49)</f>
        <v>5575.368129999999</v>
      </c>
      <c r="E40" s="150">
        <f t="shared" si="0"/>
        <v>96.64971840125189</v>
      </c>
      <c r="F40" s="150">
        <f t="shared" si="1"/>
        <v>-193.26547000000028</v>
      </c>
      <c r="G40" s="170"/>
    </row>
    <row r="41" spans="1:6" ht="15" customHeight="1">
      <c r="A41" s="162">
        <v>2021000000</v>
      </c>
      <c r="B41" s="163" t="s">
        <v>202</v>
      </c>
      <c r="C41" s="159">
        <v>1697.1</v>
      </c>
      <c r="D41" s="324">
        <v>1697.1</v>
      </c>
      <c r="E41" s="155">
        <f t="shared" si="0"/>
        <v>100</v>
      </c>
      <c r="F41" s="155">
        <f t="shared" si="1"/>
        <v>0</v>
      </c>
    </row>
    <row r="42" spans="1:6" ht="15" customHeight="1">
      <c r="A42" s="162">
        <v>2021500200</v>
      </c>
      <c r="B42" s="163" t="s">
        <v>205</v>
      </c>
      <c r="C42" s="159">
        <v>0</v>
      </c>
      <c r="D42" s="172">
        <v>0</v>
      </c>
      <c r="E42" s="155" t="e">
        <f t="shared" si="0"/>
        <v>#DIV/0!</v>
      </c>
      <c r="F42" s="155">
        <f t="shared" si="1"/>
        <v>0</v>
      </c>
    </row>
    <row r="43" spans="1:6" ht="15.75">
      <c r="A43" s="162">
        <v>2022000000</v>
      </c>
      <c r="B43" s="163" t="s">
        <v>206</v>
      </c>
      <c r="C43" s="159">
        <v>1951.9506</v>
      </c>
      <c r="D43" s="156">
        <v>1951.9506</v>
      </c>
      <c r="E43" s="155">
        <f t="shared" si="0"/>
        <v>100</v>
      </c>
      <c r="F43" s="155">
        <f t="shared" si="1"/>
        <v>0</v>
      </c>
    </row>
    <row r="44" spans="1:6" ht="18.75" customHeight="1">
      <c r="A44" s="162">
        <v>2023000000</v>
      </c>
      <c r="B44" s="163" t="s">
        <v>207</v>
      </c>
      <c r="C44" s="159">
        <v>103.383</v>
      </c>
      <c r="D44" s="174">
        <v>103.383</v>
      </c>
      <c r="E44" s="155">
        <f t="shared" si="0"/>
        <v>100</v>
      </c>
      <c r="F44" s="155">
        <f t="shared" si="1"/>
        <v>0</v>
      </c>
    </row>
    <row r="45" spans="1:6" ht="21.75" customHeight="1">
      <c r="A45" s="162">
        <v>2024000000</v>
      </c>
      <c r="B45" s="163" t="s">
        <v>102</v>
      </c>
      <c r="C45" s="159">
        <v>1823.6</v>
      </c>
      <c r="D45" s="175">
        <v>1822.9539</v>
      </c>
      <c r="E45" s="155">
        <f t="shared" si="0"/>
        <v>99.96457008115816</v>
      </c>
      <c r="F45" s="155">
        <f t="shared" si="1"/>
        <v>-0.6460999999999331</v>
      </c>
    </row>
    <row r="46" spans="1:6" ht="19.5" customHeight="1">
      <c r="A46" s="162">
        <v>2020900000</v>
      </c>
      <c r="B46" s="166" t="s">
        <v>329</v>
      </c>
      <c r="C46" s="159"/>
      <c r="D46" s="175"/>
      <c r="E46" s="155" t="e">
        <f t="shared" si="0"/>
        <v>#DIV/0!</v>
      </c>
      <c r="F46" s="155">
        <f t="shared" si="1"/>
        <v>0</v>
      </c>
    </row>
    <row r="47" spans="1:6" ht="18" customHeight="1">
      <c r="A47" s="153">
        <v>2190500005</v>
      </c>
      <c r="B47" s="158" t="s">
        <v>209</v>
      </c>
      <c r="C47" s="156">
        <v>0</v>
      </c>
      <c r="D47" s="325">
        <v>0</v>
      </c>
      <c r="E47" s="150" t="e">
        <f t="shared" si="0"/>
        <v>#DIV/0!</v>
      </c>
      <c r="F47" s="150">
        <f t="shared" si="1"/>
        <v>0</v>
      </c>
    </row>
    <row r="48" spans="1:6" ht="18" customHeight="1">
      <c r="A48" s="153">
        <v>2070502010</v>
      </c>
      <c r="B48" s="158" t="s">
        <v>28</v>
      </c>
      <c r="C48" s="156">
        <v>192.6</v>
      </c>
      <c r="D48" s="156"/>
      <c r="E48" s="155">
        <f t="shared" si="0"/>
        <v>0</v>
      </c>
      <c r="F48" s="155">
        <f t="shared" si="1"/>
        <v>-192.6</v>
      </c>
    </row>
    <row r="49" spans="1:6" s="139" customFormat="1" ht="20.25" customHeight="1">
      <c r="A49" s="153">
        <v>2190000010</v>
      </c>
      <c r="B49" s="326" t="s">
        <v>209</v>
      </c>
      <c r="C49" s="159">
        <v>0</v>
      </c>
      <c r="D49" s="327">
        <v>-0.019370000000000002</v>
      </c>
      <c r="E49" s="155" t="e">
        <f t="shared" si="0"/>
        <v>#DIV/0!</v>
      </c>
      <c r="F49" s="155">
        <f t="shared" si="1"/>
        <v>-0.019370000000000002</v>
      </c>
    </row>
    <row r="50" spans="1:8" s="139" customFormat="1" ht="19.5" customHeight="1">
      <c r="A50" s="148"/>
      <c r="B50" s="149" t="s">
        <v>211</v>
      </c>
      <c r="C50" s="288">
        <f>C39+C40</f>
        <v>8578.033599999999</v>
      </c>
      <c r="D50" s="279">
        <f>D39+D40</f>
        <v>8598.608789999998</v>
      </c>
      <c r="E50" s="150">
        <f t="shared" si="0"/>
        <v>100.23985905114662</v>
      </c>
      <c r="F50" s="150">
        <f t="shared" si="1"/>
        <v>20.575189999999566</v>
      </c>
      <c r="G50" s="141"/>
      <c r="H50" s="328"/>
    </row>
    <row r="51" spans="1:6" s="139" customFormat="1" ht="15.75">
      <c r="A51" s="148"/>
      <c r="B51" s="188" t="s">
        <v>212</v>
      </c>
      <c r="C51" s="270">
        <f>C50-C97</f>
        <v>-757.3644200000017</v>
      </c>
      <c r="D51" s="270">
        <f>D50-D97</f>
        <v>-653.5992400000032</v>
      </c>
      <c r="E51" s="190"/>
      <c r="F51" s="190"/>
    </row>
    <row r="52" spans="1:6" ht="15.75">
      <c r="A52" s="191"/>
      <c r="B52" s="192"/>
      <c r="C52" s="329"/>
      <c r="D52" s="329" t="s">
        <v>311</v>
      </c>
      <c r="E52" s="194"/>
      <c r="F52" s="195"/>
    </row>
    <row r="53" spans="1:6" ht="42.75" customHeight="1">
      <c r="A53" s="196" t="s">
        <v>141</v>
      </c>
      <c r="B53" s="196" t="s">
        <v>213</v>
      </c>
      <c r="C53" s="145" t="s">
        <v>143</v>
      </c>
      <c r="D53" s="146" t="s">
        <v>426</v>
      </c>
      <c r="E53" s="145" t="s">
        <v>144</v>
      </c>
      <c r="F53" s="147" t="s">
        <v>145</v>
      </c>
    </row>
    <row r="54" spans="1:6" ht="15.75">
      <c r="A54" s="245">
        <v>1</v>
      </c>
      <c r="B54" s="196">
        <v>2</v>
      </c>
      <c r="C54" s="199">
        <v>3</v>
      </c>
      <c r="D54" s="199">
        <v>4</v>
      </c>
      <c r="E54" s="199">
        <v>5</v>
      </c>
      <c r="F54" s="199">
        <v>6</v>
      </c>
    </row>
    <row r="55" spans="1:6" s="139" customFormat="1" ht="22.5" customHeight="1">
      <c r="A55" s="200" t="s">
        <v>33</v>
      </c>
      <c r="B55" s="201" t="s">
        <v>214</v>
      </c>
      <c r="C55" s="299">
        <f>C56+C57+C58+C59+C60+C62+C61</f>
        <v>1716.0910000000001</v>
      </c>
      <c r="D55" s="281">
        <f>D56+D57+D58+D59+D60+D62+D61</f>
        <v>1693.9167400000001</v>
      </c>
      <c r="E55" s="202">
        <f aca="true" t="shared" si="2" ref="E55:E69">SUM(D55/C55*100)</f>
        <v>98.70786222875128</v>
      </c>
      <c r="F55" s="202">
        <f>SUM(D55-C55)</f>
        <v>-22.174260000000004</v>
      </c>
    </row>
    <row r="56" spans="1:6" s="139" customFormat="1" ht="31.5" hidden="1">
      <c r="A56" s="203" t="s">
        <v>215</v>
      </c>
      <c r="B56" s="204" t="s">
        <v>216</v>
      </c>
      <c r="C56" s="283"/>
      <c r="D56" s="283"/>
      <c r="E56" s="202" t="e">
        <f t="shared" si="2"/>
        <v>#DIV/0!</v>
      </c>
      <c r="F56" s="205"/>
    </row>
    <row r="57" spans="1:6" ht="14.25" customHeight="1">
      <c r="A57" s="203" t="s">
        <v>217</v>
      </c>
      <c r="B57" s="206" t="s">
        <v>218</v>
      </c>
      <c r="C57" s="283">
        <v>1625.85</v>
      </c>
      <c r="D57" s="283">
        <v>1606.33274</v>
      </c>
      <c r="E57" s="202">
        <f t="shared" si="2"/>
        <v>98.79956576559954</v>
      </c>
      <c r="F57" s="205">
        <f aca="true" t="shared" si="3" ref="F57:F69">SUM(D57-C57)</f>
        <v>-19.51725999999985</v>
      </c>
    </row>
    <row r="58" spans="1:6" ht="16.5" customHeight="1" hidden="1">
      <c r="A58" s="203" t="s">
        <v>219</v>
      </c>
      <c r="B58" s="206" t="s">
        <v>220</v>
      </c>
      <c r="C58" s="283"/>
      <c r="D58" s="283"/>
      <c r="E58" s="202" t="e">
        <f t="shared" si="2"/>
        <v>#DIV/0!</v>
      </c>
      <c r="F58" s="205">
        <f t="shared" si="3"/>
        <v>0</v>
      </c>
    </row>
    <row r="59" spans="1:6" ht="31.5" customHeight="1" hidden="1">
      <c r="A59" s="203" t="s">
        <v>221</v>
      </c>
      <c r="B59" s="206" t="s">
        <v>222</v>
      </c>
      <c r="C59" s="283"/>
      <c r="D59" s="283"/>
      <c r="E59" s="202" t="e">
        <f t="shared" si="2"/>
        <v>#DIV/0!</v>
      </c>
      <c r="F59" s="205">
        <f t="shared" si="3"/>
        <v>0</v>
      </c>
    </row>
    <row r="60" spans="1:6" ht="15.75" customHeight="1">
      <c r="A60" s="203" t="s">
        <v>223</v>
      </c>
      <c r="B60" s="206" t="s">
        <v>224</v>
      </c>
      <c r="C60" s="283">
        <v>18.4</v>
      </c>
      <c r="D60" s="283">
        <v>18.4</v>
      </c>
      <c r="E60" s="205">
        <f t="shared" si="2"/>
        <v>100</v>
      </c>
      <c r="F60" s="205">
        <f t="shared" si="3"/>
        <v>0</v>
      </c>
    </row>
    <row r="61" spans="1:6" ht="15.75">
      <c r="A61" s="203" t="s">
        <v>225</v>
      </c>
      <c r="B61" s="206" t="s">
        <v>226</v>
      </c>
      <c r="C61" s="293">
        <v>1.477</v>
      </c>
      <c r="D61" s="293">
        <v>0</v>
      </c>
      <c r="E61" s="205">
        <f t="shared" si="2"/>
        <v>0</v>
      </c>
      <c r="F61" s="205">
        <f t="shared" si="3"/>
        <v>-1.477</v>
      </c>
    </row>
    <row r="62" spans="1:6" ht="19.5" customHeight="1">
      <c r="A62" s="203" t="s">
        <v>227</v>
      </c>
      <c r="B62" s="206" t="s">
        <v>228</v>
      </c>
      <c r="C62" s="283">
        <v>70.364</v>
      </c>
      <c r="D62" s="283">
        <v>69.184</v>
      </c>
      <c r="E62" s="205">
        <f t="shared" si="2"/>
        <v>98.3230060826559</v>
      </c>
      <c r="F62" s="205">
        <f t="shared" si="3"/>
        <v>-1.1800000000000068</v>
      </c>
    </row>
    <row r="63" spans="1:6" s="139" customFormat="1" ht="15.75">
      <c r="A63" s="208" t="s">
        <v>35</v>
      </c>
      <c r="B63" s="209" t="s">
        <v>229</v>
      </c>
      <c r="C63" s="281">
        <f>C64</f>
        <v>103.383</v>
      </c>
      <c r="D63" s="281">
        <f>D64</f>
        <v>103.383</v>
      </c>
      <c r="E63" s="202">
        <f t="shared" si="2"/>
        <v>100</v>
      </c>
      <c r="F63" s="202">
        <f t="shared" si="3"/>
        <v>0</v>
      </c>
    </row>
    <row r="64" spans="1:6" ht="15.75">
      <c r="A64" s="210" t="s">
        <v>230</v>
      </c>
      <c r="B64" s="211" t="s">
        <v>231</v>
      </c>
      <c r="C64" s="283">
        <v>103.383</v>
      </c>
      <c r="D64" s="283">
        <v>103.383</v>
      </c>
      <c r="E64" s="205">
        <f t="shared" si="2"/>
        <v>100</v>
      </c>
      <c r="F64" s="205">
        <f t="shared" si="3"/>
        <v>0</v>
      </c>
    </row>
    <row r="65" spans="1:6" s="139" customFormat="1" ht="21" customHeight="1">
      <c r="A65" s="200" t="s">
        <v>37</v>
      </c>
      <c r="B65" s="201" t="s">
        <v>232</v>
      </c>
      <c r="C65" s="281">
        <f>C68+C69+C70</f>
        <v>64</v>
      </c>
      <c r="D65" s="281">
        <f>SUM(D68+D69+D70)</f>
        <v>62.03576</v>
      </c>
      <c r="E65" s="202">
        <f t="shared" si="2"/>
        <v>96.930875</v>
      </c>
      <c r="F65" s="202">
        <f t="shared" si="3"/>
        <v>-1.9642399999999967</v>
      </c>
    </row>
    <row r="66" spans="1:6" ht="15.75" hidden="1">
      <c r="A66" s="203" t="s">
        <v>233</v>
      </c>
      <c r="B66" s="206" t="s">
        <v>234</v>
      </c>
      <c r="C66" s="283"/>
      <c r="D66" s="283"/>
      <c r="E66" s="202" t="e">
        <f t="shared" si="2"/>
        <v>#DIV/0!</v>
      </c>
      <c r="F66" s="202">
        <f t="shared" si="3"/>
        <v>0</v>
      </c>
    </row>
    <row r="67" spans="1:6" ht="15.75" hidden="1">
      <c r="A67" s="212" t="s">
        <v>235</v>
      </c>
      <c r="B67" s="206" t="s">
        <v>317</v>
      </c>
      <c r="C67" s="283"/>
      <c r="D67" s="283"/>
      <c r="E67" s="202" t="e">
        <f t="shared" si="2"/>
        <v>#DIV/0!</v>
      </c>
      <c r="F67" s="202">
        <f t="shared" si="3"/>
        <v>0</v>
      </c>
    </row>
    <row r="68" spans="1:6" ht="15.75" customHeight="1">
      <c r="A68" s="213" t="s">
        <v>237</v>
      </c>
      <c r="B68" s="214" t="s">
        <v>238</v>
      </c>
      <c r="C68" s="283">
        <v>3</v>
      </c>
      <c r="D68" s="283">
        <v>2.81148</v>
      </c>
      <c r="E68" s="202">
        <f t="shared" si="2"/>
        <v>93.716</v>
      </c>
      <c r="F68" s="202">
        <f t="shared" si="3"/>
        <v>-0.18852000000000002</v>
      </c>
    </row>
    <row r="69" spans="1:6" ht="15.75">
      <c r="A69" s="213" t="s">
        <v>239</v>
      </c>
      <c r="B69" s="214" t="s">
        <v>240</v>
      </c>
      <c r="C69" s="283">
        <v>59</v>
      </c>
      <c r="D69" s="283">
        <v>57.22428</v>
      </c>
      <c r="E69" s="202">
        <f t="shared" si="2"/>
        <v>96.99030508474577</v>
      </c>
      <c r="F69" s="202">
        <f t="shared" si="3"/>
        <v>-1.7757199999999997</v>
      </c>
    </row>
    <row r="70" spans="1:6" ht="15.75">
      <c r="A70" s="213" t="s">
        <v>241</v>
      </c>
      <c r="B70" s="214" t="s">
        <v>345</v>
      </c>
      <c r="C70" s="283">
        <v>2</v>
      </c>
      <c r="D70" s="283">
        <v>2</v>
      </c>
      <c r="E70" s="202"/>
      <c r="F70" s="202"/>
    </row>
    <row r="71" spans="1:6" s="139" customFormat="1" ht="17.25" customHeight="1">
      <c r="A71" s="200" t="s">
        <v>39</v>
      </c>
      <c r="B71" s="201" t="s">
        <v>243</v>
      </c>
      <c r="C71" s="251">
        <f>SUM(C72:C75)</f>
        <v>3177.85366</v>
      </c>
      <c r="D71" s="251">
        <f>SUM(D72:D75)</f>
        <v>3160.86663</v>
      </c>
      <c r="E71" s="202">
        <f aca="true" t="shared" si="4" ref="E71:E85">SUM(D71/C71*100)</f>
        <v>99.46545587627845</v>
      </c>
      <c r="F71" s="202">
        <f aca="true" t="shared" si="5" ref="F71:F86">SUM(D71-C71)</f>
        <v>-16.98703000000023</v>
      </c>
    </row>
    <row r="72" spans="1:6" ht="15.75">
      <c r="A72" s="203" t="s">
        <v>246</v>
      </c>
      <c r="B72" s="206" t="s">
        <v>319</v>
      </c>
      <c r="C72" s="284"/>
      <c r="D72" s="283">
        <v>0</v>
      </c>
      <c r="E72" s="205" t="e">
        <f t="shared" si="4"/>
        <v>#DIV/0!</v>
      </c>
      <c r="F72" s="205">
        <f t="shared" si="5"/>
        <v>0</v>
      </c>
    </row>
    <row r="73" spans="1:7" s="139" customFormat="1" ht="15.75">
      <c r="A73" s="203" t="s">
        <v>248</v>
      </c>
      <c r="B73" s="206" t="s">
        <v>320</v>
      </c>
      <c r="C73" s="284"/>
      <c r="D73" s="283"/>
      <c r="E73" s="205" t="e">
        <f t="shared" si="4"/>
        <v>#DIV/0!</v>
      </c>
      <c r="F73" s="205">
        <f t="shared" si="5"/>
        <v>0</v>
      </c>
      <c r="G73" s="142"/>
    </row>
    <row r="74" spans="1:6" ht="15.75">
      <c r="A74" s="203" t="s">
        <v>250</v>
      </c>
      <c r="B74" s="206" t="s">
        <v>251</v>
      </c>
      <c r="C74" s="284">
        <v>3077.85366</v>
      </c>
      <c r="D74" s="283">
        <v>3063.26663</v>
      </c>
      <c r="E74" s="205">
        <f t="shared" si="4"/>
        <v>99.52606486170626</v>
      </c>
      <c r="F74" s="205">
        <f t="shared" si="5"/>
        <v>-14.58703000000014</v>
      </c>
    </row>
    <row r="75" spans="1:6" ht="15.75">
      <c r="A75" s="203" t="s">
        <v>252</v>
      </c>
      <c r="B75" s="206" t="s">
        <v>253</v>
      </c>
      <c r="C75" s="284">
        <v>100</v>
      </c>
      <c r="D75" s="283">
        <v>97.6</v>
      </c>
      <c r="E75" s="205">
        <f t="shared" si="4"/>
        <v>97.6</v>
      </c>
      <c r="F75" s="205">
        <f t="shared" si="5"/>
        <v>-2.4000000000000057</v>
      </c>
    </row>
    <row r="76" spans="1:6" s="139" customFormat="1" ht="16.5" customHeight="1">
      <c r="A76" s="200" t="s">
        <v>41</v>
      </c>
      <c r="B76" s="201" t="s">
        <v>254</v>
      </c>
      <c r="C76" s="281">
        <f>SUM(C77:C79)</f>
        <v>2827.06036</v>
      </c>
      <c r="D76" s="281">
        <f>SUM(D77:D79)</f>
        <v>2785.1041800000003</v>
      </c>
      <c r="E76" s="202">
        <f t="shared" si="4"/>
        <v>98.51590788107546</v>
      </c>
      <c r="F76" s="202">
        <f t="shared" si="5"/>
        <v>-41.95617999999968</v>
      </c>
    </row>
    <row r="77" spans="1:6" ht="0.75" customHeight="1" hidden="1">
      <c r="A77" s="203" t="s">
        <v>255</v>
      </c>
      <c r="B77" s="217" t="s">
        <v>256</v>
      </c>
      <c r="C77" s="283">
        <v>0</v>
      </c>
      <c r="D77" s="283">
        <v>0</v>
      </c>
      <c r="E77" s="205" t="e">
        <f t="shared" si="4"/>
        <v>#DIV/0!</v>
      </c>
      <c r="F77" s="205">
        <f t="shared" si="5"/>
        <v>0</v>
      </c>
    </row>
    <row r="78" spans="1:6" ht="18" customHeight="1">
      <c r="A78" s="203" t="s">
        <v>257</v>
      </c>
      <c r="B78" s="217" t="s">
        <v>258</v>
      </c>
      <c r="C78" s="283">
        <v>2028.946</v>
      </c>
      <c r="D78" s="283">
        <v>2006.93513</v>
      </c>
      <c r="E78" s="205">
        <f t="shared" si="4"/>
        <v>98.91515742656533</v>
      </c>
      <c r="F78" s="205">
        <f t="shared" si="5"/>
        <v>-22.01086999999984</v>
      </c>
    </row>
    <row r="79" spans="1:6" ht="15.75">
      <c r="A79" s="203" t="s">
        <v>259</v>
      </c>
      <c r="B79" s="206" t="s">
        <v>260</v>
      </c>
      <c r="C79" s="283">
        <v>798.11436</v>
      </c>
      <c r="D79" s="283">
        <v>778.16905</v>
      </c>
      <c r="E79" s="205">
        <f t="shared" si="4"/>
        <v>97.50094585442616</v>
      </c>
      <c r="F79" s="205">
        <f t="shared" si="5"/>
        <v>-19.945310000000063</v>
      </c>
    </row>
    <row r="80" spans="1:6" s="139" customFormat="1" ht="15.75">
      <c r="A80" s="200" t="s">
        <v>47</v>
      </c>
      <c r="B80" s="201" t="s">
        <v>275</v>
      </c>
      <c r="C80" s="281">
        <f>C81</f>
        <v>1437.91</v>
      </c>
      <c r="D80" s="281">
        <f>SUM(D81)</f>
        <v>1437.86472</v>
      </c>
      <c r="E80" s="202">
        <f t="shared" si="4"/>
        <v>99.99685098511033</v>
      </c>
      <c r="F80" s="202">
        <f t="shared" si="5"/>
        <v>-0.04528000000004795</v>
      </c>
    </row>
    <row r="81" spans="1:6" ht="15.75" customHeight="1">
      <c r="A81" s="203" t="s">
        <v>276</v>
      </c>
      <c r="B81" s="206" t="s">
        <v>277</v>
      </c>
      <c r="C81" s="283">
        <v>1437.91</v>
      </c>
      <c r="D81" s="283">
        <v>1437.86472</v>
      </c>
      <c r="E81" s="205">
        <f t="shared" si="4"/>
        <v>99.99685098511033</v>
      </c>
      <c r="F81" s="205">
        <f t="shared" si="5"/>
        <v>-0.04528000000004795</v>
      </c>
    </row>
    <row r="82" spans="1:6" s="139" customFormat="1" ht="0.75" customHeight="1" hidden="1">
      <c r="A82" s="218">
        <v>1000</v>
      </c>
      <c r="B82" s="201" t="s">
        <v>280</v>
      </c>
      <c r="C82" s="281">
        <f>SUM(C83:C86)</f>
        <v>0</v>
      </c>
      <c r="D82" s="281">
        <f>SUM(D83:D86)</f>
        <v>0</v>
      </c>
      <c r="E82" s="202" t="e">
        <f t="shared" si="4"/>
        <v>#DIV/0!</v>
      </c>
      <c r="F82" s="202">
        <f t="shared" si="5"/>
        <v>0</v>
      </c>
    </row>
    <row r="83" spans="1:6" ht="0.75" customHeight="1" hidden="1">
      <c r="A83" s="219">
        <v>1001</v>
      </c>
      <c r="B83" s="220" t="s">
        <v>281</v>
      </c>
      <c r="C83" s="283"/>
      <c r="D83" s="283"/>
      <c r="E83" s="205" t="e">
        <f t="shared" si="4"/>
        <v>#DIV/0!</v>
      </c>
      <c r="F83" s="205">
        <f t="shared" si="5"/>
        <v>0</v>
      </c>
    </row>
    <row r="84" spans="1:6" ht="15.75" hidden="1">
      <c r="A84" s="219">
        <v>1003</v>
      </c>
      <c r="B84" s="220" t="s">
        <v>282</v>
      </c>
      <c r="C84" s="283">
        <v>0</v>
      </c>
      <c r="D84" s="283">
        <v>0</v>
      </c>
      <c r="E84" s="205" t="e">
        <f t="shared" si="4"/>
        <v>#DIV/0!</v>
      </c>
      <c r="F84" s="205">
        <f t="shared" si="5"/>
        <v>0</v>
      </c>
    </row>
    <row r="85" spans="1:6" ht="15.75" hidden="1">
      <c r="A85" s="219">
        <v>1004</v>
      </c>
      <c r="B85" s="220" t="s">
        <v>283</v>
      </c>
      <c r="C85" s="283"/>
      <c r="D85" s="285"/>
      <c r="E85" s="205" t="e">
        <f t="shared" si="4"/>
        <v>#DIV/0!</v>
      </c>
      <c r="F85" s="205">
        <f t="shared" si="5"/>
        <v>0</v>
      </c>
    </row>
    <row r="86" spans="1:6" ht="15.75" hidden="1">
      <c r="A86" s="203" t="s">
        <v>284</v>
      </c>
      <c r="B86" s="206" t="s">
        <v>285</v>
      </c>
      <c r="C86" s="283">
        <v>0</v>
      </c>
      <c r="D86" s="283">
        <v>0</v>
      </c>
      <c r="E86" s="205"/>
      <c r="F86" s="205">
        <f t="shared" si="5"/>
        <v>0</v>
      </c>
    </row>
    <row r="87" spans="1:6" ht="15.75">
      <c r="A87" s="200" t="s">
        <v>51</v>
      </c>
      <c r="B87" s="201" t="s">
        <v>286</v>
      </c>
      <c r="C87" s="281">
        <f>C88+C89+C90+C91+C92</f>
        <v>9.1</v>
      </c>
      <c r="D87" s="281">
        <f>D88+D89+D90+D91+D92</f>
        <v>9.037</v>
      </c>
      <c r="E87" s="205">
        <f aca="true" t="shared" si="6" ref="E87:E97">SUM(D87/C87*100)</f>
        <v>99.30769230769232</v>
      </c>
      <c r="F87" s="190">
        <f>F88+F89+F90+F91+F92</f>
        <v>-0.06299999999999883</v>
      </c>
    </row>
    <row r="88" spans="1:6" ht="17.25" customHeight="1">
      <c r="A88" s="203" t="s">
        <v>287</v>
      </c>
      <c r="B88" s="206" t="s">
        <v>288</v>
      </c>
      <c r="C88" s="283">
        <v>9.1</v>
      </c>
      <c r="D88" s="283">
        <v>9.037</v>
      </c>
      <c r="E88" s="205">
        <f t="shared" si="6"/>
        <v>99.30769230769232</v>
      </c>
      <c r="F88" s="205">
        <f>SUM(D88-C88)</f>
        <v>-0.06299999999999883</v>
      </c>
    </row>
    <row r="89" spans="1:6" ht="15.75" customHeight="1" hidden="1">
      <c r="A89" s="203" t="s">
        <v>289</v>
      </c>
      <c r="B89" s="206" t="s">
        <v>290</v>
      </c>
      <c r="C89" s="283"/>
      <c r="D89" s="283"/>
      <c r="E89" s="205" t="e">
        <f t="shared" si="6"/>
        <v>#DIV/0!</v>
      </c>
      <c r="F89" s="205">
        <f>SUM(D89-C89)</f>
        <v>0</v>
      </c>
    </row>
    <row r="90" spans="1:6" ht="15.75" customHeight="1" hidden="1">
      <c r="A90" s="203" t="s">
        <v>291</v>
      </c>
      <c r="B90" s="206" t="s">
        <v>292</v>
      </c>
      <c r="C90" s="283"/>
      <c r="D90" s="283"/>
      <c r="E90" s="205" t="e">
        <f t="shared" si="6"/>
        <v>#DIV/0!</v>
      </c>
      <c r="F90" s="205"/>
    </row>
    <row r="91" spans="1:6" ht="15.75" customHeight="1" hidden="1">
      <c r="A91" s="203" t="s">
        <v>293</v>
      </c>
      <c r="B91" s="206" t="s">
        <v>294</v>
      </c>
      <c r="C91" s="283"/>
      <c r="D91" s="283"/>
      <c r="E91" s="205" t="e">
        <f t="shared" si="6"/>
        <v>#DIV/0!</v>
      </c>
      <c r="F91" s="205"/>
    </row>
    <row r="92" spans="1:6" ht="15.75" customHeight="1" hidden="1">
      <c r="A92" s="203" t="s">
        <v>295</v>
      </c>
      <c r="B92" s="206" t="s">
        <v>296</v>
      </c>
      <c r="C92" s="283"/>
      <c r="D92" s="283"/>
      <c r="E92" s="205" t="e">
        <f t="shared" si="6"/>
        <v>#DIV/0!</v>
      </c>
      <c r="F92" s="205"/>
    </row>
    <row r="93" spans="1:6" s="139" customFormat="1" ht="15.75" customHeight="1" hidden="1">
      <c r="A93" s="218">
        <v>1400</v>
      </c>
      <c r="B93" s="222" t="s">
        <v>303</v>
      </c>
      <c r="C93" s="251">
        <f>C94+C95+C96</f>
        <v>0</v>
      </c>
      <c r="D93" s="251">
        <f>SUM(D94:D96)</f>
        <v>0</v>
      </c>
      <c r="E93" s="202" t="e">
        <f t="shared" si="6"/>
        <v>#DIV/0!</v>
      </c>
      <c r="F93" s="202">
        <f>SUM(D93-C93)</f>
        <v>0</v>
      </c>
    </row>
    <row r="94" spans="1:6" ht="15.75" customHeight="1" hidden="1">
      <c r="A94" s="219">
        <v>1401</v>
      </c>
      <c r="B94" s="220" t="s">
        <v>304</v>
      </c>
      <c r="C94" s="284"/>
      <c r="D94" s="283"/>
      <c r="E94" s="205" t="e">
        <f t="shared" si="6"/>
        <v>#DIV/0!</v>
      </c>
      <c r="F94" s="205">
        <f>SUM(D94-C94)</f>
        <v>0</v>
      </c>
    </row>
    <row r="95" spans="1:6" ht="15.75" customHeight="1" hidden="1">
      <c r="A95" s="219">
        <v>1402</v>
      </c>
      <c r="B95" s="220" t="s">
        <v>305</v>
      </c>
      <c r="C95" s="284"/>
      <c r="D95" s="283"/>
      <c r="E95" s="205" t="e">
        <f t="shared" si="6"/>
        <v>#DIV/0!</v>
      </c>
      <c r="F95" s="205">
        <f>SUM(D95-C95)</f>
        <v>0</v>
      </c>
    </row>
    <row r="96" spans="1:6" ht="15.75" customHeight="1" hidden="1">
      <c r="A96" s="219">
        <v>1403</v>
      </c>
      <c r="B96" s="220" t="s">
        <v>306</v>
      </c>
      <c r="C96" s="284">
        <v>0</v>
      </c>
      <c r="D96" s="283">
        <v>0</v>
      </c>
      <c r="E96" s="205" t="e">
        <f t="shared" si="6"/>
        <v>#DIV/0!</v>
      </c>
      <c r="F96" s="205">
        <f>SUM(D96-C96)</f>
        <v>0</v>
      </c>
    </row>
    <row r="97" spans="1:8" s="139" customFormat="1" ht="15.75" customHeight="1">
      <c r="A97" s="218"/>
      <c r="B97" s="223" t="s">
        <v>307</v>
      </c>
      <c r="C97" s="278">
        <f>C55+C63+C71+C76+C80+C82+C87+C65+C93</f>
        <v>9335.39802</v>
      </c>
      <c r="D97" s="278">
        <f>D55+D63+D71+D76+D80+D82+D87+D65+D93</f>
        <v>9252.208030000002</v>
      </c>
      <c r="E97" s="202">
        <f t="shared" si="6"/>
        <v>99.10887580988219</v>
      </c>
      <c r="F97" s="202">
        <f>SUM(D97-C97)</f>
        <v>-83.18998999999894</v>
      </c>
      <c r="G97" s="186"/>
      <c r="H97" s="186"/>
    </row>
    <row r="98" spans="3:4" ht="15.75">
      <c r="C98" s="226"/>
      <c r="D98" s="227"/>
    </row>
    <row r="99" spans="1:5" s="143" customFormat="1" ht="16.5" customHeight="1">
      <c r="A99" s="228" t="s">
        <v>308</v>
      </c>
      <c r="B99" s="228"/>
      <c r="C99" s="229"/>
      <c r="D99" s="229"/>
      <c r="E99" s="254"/>
    </row>
    <row r="100" spans="1:3" s="143" customFormat="1" ht="20.25" customHeight="1">
      <c r="A100" s="230" t="s">
        <v>309</v>
      </c>
      <c r="B100" s="230"/>
      <c r="C100" s="143" t="s">
        <v>310</v>
      </c>
    </row>
    <row r="101" ht="13.5" customHeight="1">
      <c r="C101" s="264"/>
    </row>
    <row r="103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view="pageBreakPreview" zoomScale="70" zoomScaleSheetLayoutView="70" zoomScalePageLayoutView="0" workbookViewId="0" topLeftCell="A40">
      <selection activeCell="C91" sqref="C91"/>
    </sheetView>
  </sheetViews>
  <sheetFormatPr defaultColWidth="9.140625" defaultRowHeight="12.75"/>
  <cols>
    <col min="1" max="1" width="14.7109375" style="135" customWidth="1"/>
    <col min="2" max="2" width="57.57421875" style="136" customWidth="1"/>
    <col min="3" max="3" width="17.421875" style="137" customWidth="1"/>
    <col min="4" max="4" width="15.28125" style="137" customWidth="1"/>
    <col min="5" max="5" width="13.00390625" style="137" customWidth="1"/>
    <col min="6" max="6" width="11.8515625" style="137" customWidth="1"/>
    <col min="7" max="7" width="15.57421875" style="138" customWidth="1"/>
    <col min="8" max="8" width="11.421875" style="138" customWidth="1"/>
    <col min="9" max="16384" width="9.140625" style="138" customWidth="1"/>
  </cols>
  <sheetData>
    <row r="1" spans="1:6" ht="12.75" customHeight="1">
      <c r="A1" s="469" t="s">
        <v>439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C5+C12+C14+C17+C7</f>
        <v>1221.69</v>
      </c>
      <c r="D4" s="150">
        <f>D5+D12+D14+D17+D7</f>
        <v>1553.6083</v>
      </c>
      <c r="E4" s="150">
        <f aca="true" t="shared" si="0" ref="E4:E40">SUM(D4/C4*100)</f>
        <v>127.16878258805426</v>
      </c>
      <c r="F4" s="150">
        <f aca="true" t="shared" si="1" ref="F4:F53">SUM(D4-C4)</f>
        <v>331.91830000000004</v>
      </c>
    </row>
    <row r="5" spans="1:6" s="139" customFormat="1" ht="15.75">
      <c r="A5" s="151">
        <v>1010000000</v>
      </c>
      <c r="B5" s="152" t="s">
        <v>146</v>
      </c>
      <c r="C5" s="150">
        <f>C6</f>
        <v>200.1</v>
      </c>
      <c r="D5" s="150">
        <f>D6</f>
        <v>269.4312</v>
      </c>
      <c r="E5" s="150">
        <f t="shared" si="0"/>
        <v>134.64827586206894</v>
      </c>
      <c r="F5" s="150">
        <f t="shared" si="1"/>
        <v>69.3312</v>
      </c>
    </row>
    <row r="6" spans="1:6" ht="15.75">
      <c r="A6" s="153">
        <v>1010200001</v>
      </c>
      <c r="B6" s="154" t="s">
        <v>147</v>
      </c>
      <c r="C6" s="155">
        <v>200.1</v>
      </c>
      <c r="D6" s="156">
        <v>269.4312</v>
      </c>
      <c r="E6" s="155">
        <f t="shared" si="0"/>
        <v>134.64827586206894</v>
      </c>
      <c r="F6" s="155">
        <f t="shared" si="1"/>
        <v>69.3312</v>
      </c>
    </row>
    <row r="7" spans="1:6" ht="31.5">
      <c r="A7" s="148">
        <v>1030000000</v>
      </c>
      <c r="B7" s="157" t="s">
        <v>148</v>
      </c>
      <c r="C7" s="150">
        <f>C8+C10+C9</f>
        <v>536.59</v>
      </c>
      <c r="D7" s="240">
        <f>D8+D10+D9+D11</f>
        <v>602.7976000000001</v>
      </c>
      <c r="E7" s="150">
        <f t="shared" si="0"/>
        <v>112.33858253042361</v>
      </c>
      <c r="F7" s="150">
        <f t="shared" si="1"/>
        <v>66.20760000000007</v>
      </c>
    </row>
    <row r="8" spans="1:6" ht="15.75">
      <c r="A8" s="153">
        <v>1030223001</v>
      </c>
      <c r="B8" s="154" t="s">
        <v>149</v>
      </c>
      <c r="C8" s="155">
        <v>200.15</v>
      </c>
      <c r="D8" s="156">
        <v>278.2873</v>
      </c>
      <c r="E8" s="155">
        <f t="shared" si="0"/>
        <v>139.0393704721459</v>
      </c>
      <c r="F8" s="155">
        <f t="shared" si="1"/>
        <v>78.13730000000001</v>
      </c>
    </row>
    <row r="9" spans="1:6" ht="15.75">
      <c r="A9" s="153">
        <v>1030224001</v>
      </c>
      <c r="B9" s="154" t="s">
        <v>150</v>
      </c>
      <c r="C9" s="155">
        <v>2.15</v>
      </c>
      <c r="D9" s="156">
        <v>1.95712</v>
      </c>
      <c r="E9" s="155">
        <f t="shared" si="0"/>
        <v>91.02883720930232</v>
      </c>
      <c r="F9" s="155">
        <f t="shared" si="1"/>
        <v>-0.19287999999999994</v>
      </c>
    </row>
    <row r="10" spans="1:6" ht="15.75">
      <c r="A10" s="153">
        <v>1030225001</v>
      </c>
      <c r="B10" s="154" t="s">
        <v>151</v>
      </c>
      <c r="C10" s="155">
        <v>334.29</v>
      </c>
      <c r="D10" s="156">
        <v>370.00832</v>
      </c>
      <c r="E10" s="155">
        <f t="shared" si="0"/>
        <v>110.68483053636065</v>
      </c>
      <c r="F10" s="155">
        <f t="shared" si="1"/>
        <v>35.718320000000006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-47.45514</v>
      </c>
      <c r="E11" s="155" t="e">
        <f t="shared" si="0"/>
        <v>#DIV/0!</v>
      </c>
      <c r="F11" s="155">
        <f t="shared" si="1"/>
        <v>-47.45514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10</v>
      </c>
      <c r="D12" s="150">
        <f>SUM(D13:D13)</f>
        <v>6.10936</v>
      </c>
      <c r="E12" s="150">
        <f t="shared" si="0"/>
        <v>61.093599999999995</v>
      </c>
      <c r="F12" s="150">
        <f t="shared" si="1"/>
        <v>-3.8906400000000003</v>
      </c>
    </row>
    <row r="13" spans="1:6" ht="15.75" customHeight="1">
      <c r="A13" s="153">
        <v>1050300000</v>
      </c>
      <c r="B13" s="158" t="s">
        <v>156</v>
      </c>
      <c r="C13" s="159">
        <v>10</v>
      </c>
      <c r="D13" s="156">
        <v>6.10936</v>
      </c>
      <c r="E13" s="155">
        <f t="shared" si="0"/>
        <v>61.093599999999995</v>
      </c>
      <c r="F13" s="155">
        <f t="shared" si="1"/>
        <v>-3.8906400000000003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465</v>
      </c>
      <c r="D14" s="150">
        <f>D15+D16</f>
        <v>670.97014</v>
      </c>
      <c r="E14" s="150">
        <f t="shared" si="0"/>
        <v>144.29465376344086</v>
      </c>
      <c r="F14" s="150">
        <f t="shared" si="1"/>
        <v>205.97014000000001</v>
      </c>
    </row>
    <row r="15" spans="1:6" s="139" customFormat="1" ht="15.75" customHeight="1">
      <c r="A15" s="153">
        <v>1060100000</v>
      </c>
      <c r="B15" s="158" t="s">
        <v>159</v>
      </c>
      <c r="C15" s="155">
        <v>117</v>
      </c>
      <c r="D15" s="156">
        <v>113.97714</v>
      </c>
      <c r="E15" s="155">
        <f t="shared" si="0"/>
        <v>97.41635897435897</v>
      </c>
      <c r="F15" s="155">
        <f t="shared" si="1"/>
        <v>-3.0228599999999943</v>
      </c>
    </row>
    <row r="16" spans="1:6" ht="15.75" customHeight="1">
      <c r="A16" s="153">
        <v>1060600000</v>
      </c>
      <c r="B16" s="158" t="s">
        <v>162</v>
      </c>
      <c r="C16" s="155">
        <v>348</v>
      </c>
      <c r="D16" s="156">
        <v>556.993</v>
      </c>
      <c r="E16" s="155">
        <f t="shared" si="0"/>
        <v>160.05545977011494</v>
      </c>
      <c r="F16" s="155">
        <f t="shared" si="1"/>
        <v>208.99300000000005</v>
      </c>
    </row>
    <row r="17" spans="1:6" s="139" customFormat="1" ht="15.75">
      <c r="A17" s="148">
        <v>1080000000</v>
      </c>
      <c r="B17" s="149" t="s">
        <v>165</v>
      </c>
      <c r="C17" s="150">
        <f>C18</f>
        <v>10</v>
      </c>
      <c r="D17" s="150">
        <f>D18</f>
        <v>4.3</v>
      </c>
      <c r="E17" s="150">
        <f t="shared" si="0"/>
        <v>43</v>
      </c>
      <c r="F17" s="150">
        <f t="shared" si="1"/>
        <v>-5.7</v>
      </c>
    </row>
    <row r="18" spans="1:6" ht="17.25" customHeight="1">
      <c r="A18" s="153">
        <v>1080400001</v>
      </c>
      <c r="B18" s="154" t="s">
        <v>368</v>
      </c>
      <c r="C18" s="155">
        <v>10</v>
      </c>
      <c r="D18" s="156">
        <v>4.3</v>
      </c>
      <c r="E18" s="155">
        <f t="shared" si="0"/>
        <v>43</v>
      </c>
      <c r="F18" s="155">
        <f t="shared" si="1"/>
        <v>-5.7</v>
      </c>
    </row>
    <row r="19" spans="1:6" ht="49.5" customHeight="1" hidden="1">
      <c r="A19" s="153">
        <v>1080714001</v>
      </c>
      <c r="B19" s="154" t="s">
        <v>314</v>
      </c>
      <c r="C19" s="155">
        <v>0</v>
      </c>
      <c r="D19" s="156">
        <v>0</v>
      </c>
      <c r="E19" s="155" t="e">
        <f t="shared" si="0"/>
        <v>#DIV/0!</v>
      </c>
      <c r="F19" s="155">
        <f t="shared" si="1"/>
        <v>0</v>
      </c>
    </row>
    <row r="20" spans="1:6" s="140" customFormat="1" ht="1.5" customHeight="1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23.25" customHeight="1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21.75" customHeight="1" hidden="1">
      <c r="A22" s="153">
        <v>1090400000</v>
      </c>
      <c r="B22" s="154" t="s">
        <v>171</v>
      </c>
      <c r="C22" s="150"/>
      <c r="D22" s="161"/>
      <c r="E22" s="155" t="e">
        <f t="shared" si="0"/>
        <v>#DIV/0!</v>
      </c>
      <c r="F22" s="155">
        <f t="shared" si="1"/>
        <v>0</v>
      </c>
    </row>
    <row r="23" spans="1:6" s="140" customFormat="1" ht="24.75" customHeight="1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25.5" customHeight="1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5" customHeight="1">
      <c r="A25" s="148"/>
      <c r="B25" s="149" t="s">
        <v>17</v>
      </c>
      <c r="C25" s="150">
        <f>C26+C29+C31+C36</f>
        <v>325</v>
      </c>
      <c r="D25" s="150">
        <f>D26+D29+D31+D36+D34</f>
        <v>491.40694</v>
      </c>
      <c r="E25" s="150">
        <f t="shared" si="0"/>
        <v>151.2021353846154</v>
      </c>
      <c r="F25" s="150">
        <f t="shared" si="1"/>
        <v>166.40694000000002</v>
      </c>
    </row>
    <row r="26" spans="1:6" s="139" customFormat="1" ht="30" customHeight="1">
      <c r="A26" s="151">
        <v>1110000000</v>
      </c>
      <c r="B26" s="160" t="s">
        <v>174</v>
      </c>
      <c r="C26" s="150">
        <f>C27+C28</f>
        <v>55</v>
      </c>
      <c r="D26" s="150">
        <f>D27+D28</f>
        <v>57.99035</v>
      </c>
      <c r="E26" s="150">
        <f t="shared" si="0"/>
        <v>105.437</v>
      </c>
      <c r="F26" s="150">
        <f t="shared" si="1"/>
        <v>2.9903499999999994</v>
      </c>
    </row>
    <row r="27" spans="1:6" ht="15.75">
      <c r="A27" s="162">
        <v>1110502501</v>
      </c>
      <c r="B27" s="163" t="s">
        <v>177</v>
      </c>
      <c r="C27" s="159">
        <v>0</v>
      </c>
      <c r="D27" s="156">
        <v>0</v>
      </c>
      <c r="E27" s="155" t="e">
        <f t="shared" si="0"/>
        <v>#DIV/0!</v>
      </c>
      <c r="F27" s="155">
        <f t="shared" si="1"/>
        <v>0</v>
      </c>
    </row>
    <row r="28" spans="1:6" ht="15.75">
      <c r="A28" s="153">
        <v>1110503505</v>
      </c>
      <c r="B28" s="158" t="s">
        <v>178</v>
      </c>
      <c r="C28" s="159">
        <v>55</v>
      </c>
      <c r="D28" s="156">
        <v>57.99035</v>
      </c>
      <c r="E28" s="155">
        <f t="shared" si="0"/>
        <v>105.437</v>
      </c>
      <c r="F28" s="155">
        <f t="shared" si="1"/>
        <v>2.9903499999999994</v>
      </c>
    </row>
    <row r="29" spans="1:6" s="140" customFormat="1" ht="27.75" customHeight="1">
      <c r="A29" s="151">
        <v>1130000000</v>
      </c>
      <c r="B29" s="160" t="s">
        <v>185</v>
      </c>
      <c r="C29" s="150">
        <f>C30</f>
        <v>270</v>
      </c>
      <c r="D29" s="150">
        <f>D30</f>
        <v>425.13375</v>
      </c>
      <c r="E29" s="150">
        <f t="shared" si="0"/>
        <v>157.45694444444445</v>
      </c>
      <c r="F29" s="150">
        <f t="shared" si="1"/>
        <v>155.13375000000002</v>
      </c>
    </row>
    <row r="30" spans="1:6" ht="15.75" customHeight="1">
      <c r="A30" s="153">
        <v>1130206005</v>
      </c>
      <c r="B30" s="154" t="s">
        <v>333</v>
      </c>
      <c r="C30" s="155">
        <v>270</v>
      </c>
      <c r="D30" s="156">
        <v>425.13375</v>
      </c>
      <c r="E30" s="155">
        <f t="shared" si="0"/>
        <v>157.45694444444445</v>
      </c>
      <c r="F30" s="155">
        <f t="shared" si="1"/>
        <v>155.13375000000002</v>
      </c>
    </row>
    <row r="31" spans="1:6" ht="12.75" customHeight="1">
      <c r="A31" s="164">
        <v>1140000000</v>
      </c>
      <c r="B31" s="165" t="s">
        <v>188</v>
      </c>
      <c r="C31" s="150">
        <f>C32+C33</f>
        <v>0</v>
      </c>
      <c r="D31" s="150">
        <f>D32+D33</f>
        <v>0</v>
      </c>
      <c r="E31" s="150" t="e">
        <f t="shared" si="0"/>
        <v>#DIV/0!</v>
      </c>
      <c r="F31" s="150">
        <f t="shared" si="1"/>
        <v>0</v>
      </c>
    </row>
    <row r="32" spans="1:6" ht="17.25" customHeight="1">
      <c r="A32" s="162">
        <v>1140200000</v>
      </c>
      <c r="B32" s="166" t="s">
        <v>324</v>
      </c>
      <c r="C32" s="155">
        <v>0</v>
      </c>
      <c r="D32" s="156">
        <v>0</v>
      </c>
      <c r="E32" s="155" t="e">
        <f t="shared" si="0"/>
        <v>#DIV/0!</v>
      </c>
      <c r="F32" s="155">
        <f t="shared" si="1"/>
        <v>0</v>
      </c>
    </row>
    <row r="33" spans="1:6" ht="19.5" customHeight="1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19.5" customHeight="1">
      <c r="A34" s="148">
        <v>1160000000</v>
      </c>
      <c r="B34" s="157" t="s">
        <v>325</v>
      </c>
      <c r="C34" s="155"/>
      <c r="D34" s="156">
        <f>SUM(D35)</f>
        <v>8.28284</v>
      </c>
      <c r="E34" s="155"/>
      <c r="F34" s="155"/>
    </row>
    <row r="35" spans="1:6" ht="31.5" customHeight="1">
      <c r="A35" s="153">
        <v>11607010100</v>
      </c>
      <c r="B35" s="154" t="s">
        <v>335</v>
      </c>
      <c r="C35" s="155"/>
      <c r="D35" s="156">
        <v>8.28284</v>
      </c>
      <c r="E35" s="155"/>
      <c r="F35" s="155"/>
    </row>
    <row r="36" spans="1:6" ht="15" customHeight="1">
      <c r="A36" s="148">
        <v>1170000000</v>
      </c>
      <c r="B36" s="157" t="s">
        <v>198</v>
      </c>
      <c r="C36" s="150">
        <f>C37+C38</f>
        <v>0</v>
      </c>
      <c r="D36" s="150">
        <f>D37+D38</f>
        <v>0</v>
      </c>
      <c r="E36" s="150" t="e">
        <f t="shared" si="0"/>
        <v>#DIV/0!</v>
      </c>
      <c r="F36" s="150">
        <f t="shared" si="1"/>
        <v>0</v>
      </c>
    </row>
    <row r="37" spans="1:6" ht="19.5" customHeight="1">
      <c r="A37" s="153">
        <v>1170105010</v>
      </c>
      <c r="B37" s="154" t="s">
        <v>199</v>
      </c>
      <c r="C37" s="155">
        <v>0</v>
      </c>
      <c r="D37" s="155"/>
      <c r="E37" s="155" t="e">
        <f t="shared" si="0"/>
        <v>#DIV/0!</v>
      </c>
      <c r="F37" s="155">
        <f t="shared" si="1"/>
        <v>0</v>
      </c>
    </row>
    <row r="38" spans="1:6" ht="0.75" customHeight="1" hidden="1">
      <c r="A38" s="153">
        <v>1170505005</v>
      </c>
      <c r="B38" s="158" t="s">
        <v>200</v>
      </c>
      <c r="C38" s="155">
        <v>0</v>
      </c>
      <c r="D38" s="156">
        <v>0</v>
      </c>
      <c r="E38" s="155" t="e">
        <f t="shared" si="0"/>
        <v>#DIV/0!</v>
      </c>
      <c r="F38" s="155">
        <f t="shared" si="1"/>
        <v>0</v>
      </c>
    </row>
    <row r="39" spans="1:6" s="139" customFormat="1" ht="15" customHeight="1">
      <c r="A39" s="148">
        <v>1000000000</v>
      </c>
      <c r="B39" s="149" t="s">
        <v>26</v>
      </c>
      <c r="C39" s="168">
        <f>SUM(C4,C25)</f>
        <v>1546.69</v>
      </c>
      <c r="D39" s="168">
        <f>D4+D25</f>
        <v>2045.0152400000002</v>
      </c>
      <c r="E39" s="150">
        <f t="shared" si="0"/>
        <v>132.21881825058674</v>
      </c>
      <c r="F39" s="150">
        <f t="shared" si="1"/>
        <v>498.3252400000001</v>
      </c>
    </row>
    <row r="40" spans="1:7" s="139" customFormat="1" ht="15.75">
      <c r="A40" s="148">
        <v>2000000000</v>
      </c>
      <c r="B40" s="149" t="s">
        <v>201</v>
      </c>
      <c r="C40" s="240">
        <f>C41+C42+C43+C44+C51+C52</f>
        <v>13317.13632</v>
      </c>
      <c r="D40" s="240">
        <f>D41+D42+D43+D44+D51+D52</f>
        <v>13317.13632</v>
      </c>
      <c r="E40" s="150">
        <f t="shared" si="0"/>
        <v>100</v>
      </c>
      <c r="F40" s="150">
        <f t="shared" si="1"/>
        <v>0</v>
      </c>
      <c r="G40" s="170"/>
    </row>
    <row r="41" spans="1:6" ht="16.5" customHeight="1">
      <c r="A41" s="162">
        <v>2021000000</v>
      </c>
      <c r="B41" s="163" t="s">
        <v>202</v>
      </c>
      <c r="C41" s="159">
        <v>5087.2</v>
      </c>
      <c r="D41" s="172">
        <v>5087.2</v>
      </c>
      <c r="E41" s="155">
        <v>0</v>
      </c>
      <c r="F41" s="155">
        <f t="shared" si="1"/>
        <v>0</v>
      </c>
    </row>
    <row r="42" spans="1:6" ht="17.25" customHeight="1">
      <c r="A42" s="162">
        <v>2021500200</v>
      </c>
      <c r="B42" s="163" t="s">
        <v>205</v>
      </c>
      <c r="C42" s="159">
        <v>0</v>
      </c>
      <c r="D42" s="172">
        <v>0</v>
      </c>
      <c r="E42" s="155" t="e">
        <f aca="true" t="shared" si="2" ref="E42:E51">SUM(D42/C42*100)</f>
        <v>#DIV/0!</v>
      </c>
      <c r="F42" s="155">
        <f t="shared" si="1"/>
        <v>0</v>
      </c>
    </row>
    <row r="43" spans="1:6" ht="15.75">
      <c r="A43" s="162">
        <v>2022000000</v>
      </c>
      <c r="B43" s="163" t="s">
        <v>206</v>
      </c>
      <c r="C43" s="159">
        <v>2037.26197</v>
      </c>
      <c r="D43" s="156">
        <v>2037.26197</v>
      </c>
      <c r="E43" s="155">
        <f t="shared" si="2"/>
        <v>100</v>
      </c>
      <c r="F43" s="155">
        <f t="shared" si="1"/>
        <v>0</v>
      </c>
    </row>
    <row r="44" spans="1:6" ht="17.25" customHeight="1">
      <c r="A44" s="162">
        <v>2023000000</v>
      </c>
      <c r="B44" s="163" t="s">
        <v>207</v>
      </c>
      <c r="C44" s="159">
        <v>2903.75635</v>
      </c>
      <c r="D44" s="174">
        <v>2903.75635</v>
      </c>
      <c r="E44" s="155">
        <f t="shared" si="2"/>
        <v>100</v>
      </c>
      <c r="F44" s="155">
        <f t="shared" si="1"/>
        <v>0</v>
      </c>
    </row>
    <row r="45" spans="1:6" ht="18" customHeight="1" hidden="1">
      <c r="A45" s="162">
        <v>2020400000</v>
      </c>
      <c r="B45" s="163" t="s">
        <v>102</v>
      </c>
      <c r="C45" s="159"/>
      <c r="D45" s="175"/>
      <c r="E45" s="155" t="e">
        <f t="shared" si="2"/>
        <v>#DIV/0!</v>
      </c>
      <c r="F45" s="155">
        <f t="shared" si="1"/>
        <v>0</v>
      </c>
    </row>
    <row r="46" spans="1:6" ht="14.25" customHeight="1" hidden="1">
      <c r="A46" s="162">
        <v>2020900000</v>
      </c>
      <c r="B46" s="166" t="s">
        <v>329</v>
      </c>
      <c r="C46" s="159"/>
      <c r="D46" s="175"/>
      <c r="E46" s="155" t="e">
        <f t="shared" si="2"/>
        <v>#DIV/0!</v>
      </c>
      <c r="F46" s="155">
        <f t="shared" si="1"/>
        <v>0</v>
      </c>
    </row>
    <row r="47" spans="1:6" ht="16.5" customHeight="1" hidden="1">
      <c r="A47" s="330">
        <v>2180000000</v>
      </c>
      <c r="B47" s="331" t="s">
        <v>369</v>
      </c>
      <c r="C47" s="260">
        <f>C48</f>
        <v>0</v>
      </c>
      <c r="D47" s="332">
        <f>D48</f>
        <v>0</v>
      </c>
      <c r="E47" s="155" t="e">
        <f t="shared" si="2"/>
        <v>#DIV/0!</v>
      </c>
      <c r="F47" s="155">
        <f t="shared" si="1"/>
        <v>0</v>
      </c>
    </row>
    <row r="48" spans="1:6" ht="18" customHeight="1" hidden="1">
      <c r="A48" s="162">
        <v>2180501010</v>
      </c>
      <c r="B48" s="166" t="s">
        <v>370</v>
      </c>
      <c r="C48" s="159">
        <v>0</v>
      </c>
      <c r="D48" s="175">
        <v>0</v>
      </c>
      <c r="E48" s="155" t="e">
        <f t="shared" si="2"/>
        <v>#DIV/0!</v>
      </c>
      <c r="F48" s="155">
        <f t="shared" si="1"/>
        <v>0</v>
      </c>
    </row>
    <row r="49" spans="1:6" ht="15.75" customHeight="1">
      <c r="A49" s="153">
        <v>2190500005</v>
      </c>
      <c r="B49" s="158" t="s">
        <v>209</v>
      </c>
      <c r="C49" s="161"/>
      <c r="D49" s="161"/>
      <c r="E49" s="155" t="e">
        <f t="shared" si="2"/>
        <v>#DIV/0!</v>
      </c>
      <c r="F49" s="155">
        <f t="shared" si="1"/>
        <v>0</v>
      </c>
    </row>
    <row r="50" spans="1:6" s="139" customFormat="1" ht="15.75" customHeight="1">
      <c r="A50" s="148">
        <v>3000000000</v>
      </c>
      <c r="B50" s="157" t="s">
        <v>210</v>
      </c>
      <c r="C50" s="303">
        <v>0</v>
      </c>
      <c r="D50" s="161">
        <v>0</v>
      </c>
      <c r="E50" s="155" t="e">
        <f t="shared" si="2"/>
        <v>#DIV/0!</v>
      </c>
      <c r="F50" s="155">
        <f t="shared" si="1"/>
        <v>0</v>
      </c>
    </row>
    <row r="51" spans="1:6" s="139" customFormat="1" ht="15.75" customHeight="1">
      <c r="A51" s="153">
        <v>2020400000</v>
      </c>
      <c r="B51" s="154" t="s">
        <v>102</v>
      </c>
      <c r="C51" s="159">
        <v>3043.818</v>
      </c>
      <c r="D51" s="156">
        <v>3043.818</v>
      </c>
      <c r="E51" s="155">
        <f t="shared" si="2"/>
        <v>100</v>
      </c>
      <c r="F51" s="155">
        <f t="shared" si="1"/>
        <v>0</v>
      </c>
    </row>
    <row r="52" spans="1:6" s="139" customFormat="1" ht="15" customHeight="1">
      <c r="A52" s="153">
        <v>2070500010</v>
      </c>
      <c r="B52" s="158" t="s">
        <v>28</v>
      </c>
      <c r="C52" s="159">
        <v>245.1</v>
      </c>
      <c r="D52" s="156">
        <v>245.1</v>
      </c>
      <c r="E52" s="155">
        <v>0</v>
      </c>
      <c r="F52" s="155">
        <f t="shared" si="1"/>
        <v>0</v>
      </c>
    </row>
    <row r="53" spans="1:8" s="139" customFormat="1" ht="18" customHeight="1">
      <c r="A53" s="148"/>
      <c r="B53" s="149" t="s">
        <v>211</v>
      </c>
      <c r="C53" s="288">
        <f>C39+C40</f>
        <v>14863.82632</v>
      </c>
      <c r="D53" s="288">
        <f>D39+D40</f>
        <v>15362.15156</v>
      </c>
      <c r="E53" s="150">
        <f>SUM(D53/C53*100)</f>
        <v>103.35260402854331</v>
      </c>
      <c r="F53" s="150">
        <f t="shared" si="1"/>
        <v>498.3252400000001</v>
      </c>
      <c r="G53" s="141"/>
      <c r="H53" s="186"/>
    </row>
    <row r="54" spans="1:6" s="139" customFormat="1" ht="15.75">
      <c r="A54" s="148"/>
      <c r="B54" s="188" t="s">
        <v>212</v>
      </c>
      <c r="C54" s="270">
        <f>C53-C100</f>
        <v>-323.78600000000006</v>
      </c>
      <c r="D54" s="270">
        <f>D53-D100</f>
        <v>731.3122300000014</v>
      </c>
      <c r="E54" s="190"/>
      <c r="F54" s="190"/>
    </row>
    <row r="55" spans="1:6" ht="15.75">
      <c r="A55" s="191"/>
      <c r="B55" s="192"/>
      <c r="C55" s="242"/>
      <c r="D55" s="262"/>
      <c r="E55" s="194"/>
      <c r="F55" s="243"/>
    </row>
    <row r="56" spans="1:6" ht="63">
      <c r="A56" s="196" t="s">
        <v>141</v>
      </c>
      <c r="B56" s="196" t="s">
        <v>213</v>
      </c>
      <c r="C56" s="145" t="s">
        <v>143</v>
      </c>
      <c r="D56" s="146" t="s">
        <v>426</v>
      </c>
      <c r="E56" s="145" t="s">
        <v>144</v>
      </c>
      <c r="F56" s="147" t="s">
        <v>145</v>
      </c>
    </row>
    <row r="57" spans="1:6" ht="15.75">
      <c r="A57" s="245">
        <v>1</v>
      </c>
      <c r="B57" s="196">
        <v>2</v>
      </c>
      <c r="C57" s="199">
        <v>3</v>
      </c>
      <c r="D57" s="199">
        <v>4</v>
      </c>
      <c r="E57" s="199">
        <v>5</v>
      </c>
      <c r="F57" s="199">
        <v>6</v>
      </c>
    </row>
    <row r="58" spans="1:6" s="139" customFormat="1" ht="15" customHeight="1">
      <c r="A58" s="200" t="s">
        <v>33</v>
      </c>
      <c r="B58" s="201" t="s">
        <v>214</v>
      </c>
      <c r="C58" s="281">
        <f>C59+C60+C61+C62+C63+C65+C64</f>
        <v>1650.1619999999998</v>
      </c>
      <c r="D58" s="290">
        <f>D59+D60+D61+D62+D63+D65+D64</f>
        <v>1599.85541</v>
      </c>
      <c r="E58" s="202">
        <f>SUM(D58/C58*100)</f>
        <v>96.95141507318677</v>
      </c>
      <c r="F58" s="202">
        <f>SUM(D58-C58)</f>
        <v>-50.306589999999915</v>
      </c>
    </row>
    <row r="59" spans="1:6" s="139" customFormat="1" ht="16.5" customHeight="1" hidden="1">
      <c r="A59" s="203" t="s">
        <v>215</v>
      </c>
      <c r="B59" s="204" t="s">
        <v>216</v>
      </c>
      <c r="C59" s="283"/>
      <c r="D59" s="283"/>
      <c r="E59" s="205"/>
      <c r="F59" s="205"/>
    </row>
    <row r="60" spans="1:6" ht="14.25" customHeight="1">
      <c r="A60" s="203" t="s">
        <v>217</v>
      </c>
      <c r="B60" s="206" t="s">
        <v>218</v>
      </c>
      <c r="C60" s="283">
        <v>1627.168</v>
      </c>
      <c r="D60" s="283">
        <v>1581.86141</v>
      </c>
      <c r="E60" s="205">
        <f>SUM(D60/C60*100)</f>
        <v>97.21561694920254</v>
      </c>
      <c r="F60" s="205">
        <f aca="true" t="shared" si="3" ref="F60:F72">SUM(D60-C60)</f>
        <v>-45.306589999999915</v>
      </c>
    </row>
    <row r="61" spans="1:6" ht="15.75" customHeight="1" hidden="1">
      <c r="A61" s="203" t="s">
        <v>219</v>
      </c>
      <c r="B61" s="206" t="s">
        <v>220</v>
      </c>
      <c r="C61" s="283"/>
      <c r="D61" s="283"/>
      <c r="E61" s="205"/>
      <c r="F61" s="205">
        <f t="shared" si="3"/>
        <v>0</v>
      </c>
    </row>
    <row r="62" spans="1:6" ht="18" customHeight="1" hidden="1">
      <c r="A62" s="203" t="s">
        <v>221</v>
      </c>
      <c r="B62" s="206" t="s">
        <v>222</v>
      </c>
      <c r="C62" s="283"/>
      <c r="D62" s="283"/>
      <c r="E62" s="205" t="e">
        <f aca="true" t="shared" si="4" ref="E62:E72">SUM(D62/C62*100)</f>
        <v>#DIV/0!</v>
      </c>
      <c r="F62" s="205">
        <f t="shared" si="3"/>
        <v>0</v>
      </c>
    </row>
    <row r="63" spans="1:6" ht="15.75" customHeight="1" hidden="1">
      <c r="A63" s="203" t="s">
        <v>223</v>
      </c>
      <c r="B63" s="206" t="s">
        <v>224</v>
      </c>
      <c r="C63" s="283"/>
      <c r="D63" s="283">
        <v>0</v>
      </c>
      <c r="E63" s="205" t="e">
        <f t="shared" si="4"/>
        <v>#DIV/0!</v>
      </c>
      <c r="F63" s="205">
        <f t="shared" si="3"/>
        <v>0</v>
      </c>
    </row>
    <row r="64" spans="1:6" ht="16.5" customHeight="1">
      <c r="A64" s="203" t="s">
        <v>225</v>
      </c>
      <c r="B64" s="206" t="s">
        <v>226</v>
      </c>
      <c r="C64" s="293">
        <v>5</v>
      </c>
      <c r="D64" s="293">
        <v>0</v>
      </c>
      <c r="E64" s="205">
        <f t="shared" si="4"/>
        <v>0</v>
      </c>
      <c r="F64" s="205">
        <f t="shared" si="3"/>
        <v>-5</v>
      </c>
    </row>
    <row r="65" spans="1:6" ht="18" customHeight="1">
      <c r="A65" s="203" t="s">
        <v>227</v>
      </c>
      <c r="B65" s="206" t="s">
        <v>228</v>
      </c>
      <c r="C65" s="283">
        <v>17.994</v>
      </c>
      <c r="D65" s="283">
        <v>17.994</v>
      </c>
      <c r="E65" s="205">
        <f t="shared" si="4"/>
        <v>100</v>
      </c>
      <c r="F65" s="205">
        <f t="shared" si="3"/>
        <v>0</v>
      </c>
    </row>
    <row r="66" spans="1:6" s="139" customFormat="1" ht="15" customHeight="1">
      <c r="A66" s="208" t="s">
        <v>35</v>
      </c>
      <c r="B66" s="209" t="s">
        <v>229</v>
      </c>
      <c r="C66" s="281">
        <f>C67</f>
        <v>206.767</v>
      </c>
      <c r="D66" s="281">
        <f>D67</f>
        <v>206.767</v>
      </c>
      <c r="E66" s="202">
        <f t="shared" si="4"/>
        <v>100</v>
      </c>
      <c r="F66" s="202">
        <f t="shared" si="3"/>
        <v>0</v>
      </c>
    </row>
    <row r="67" spans="1:6" ht="15.75">
      <c r="A67" s="210" t="s">
        <v>230</v>
      </c>
      <c r="B67" s="211" t="s">
        <v>231</v>
      </c>
      <c r="C67" s="283">
        <v>206.767</v>
      </c>
      <c r="D67" s="283">
        <v>206.767</v>
      </c>
      <c r="E67" s="205">
        <f t="shared" si="4"/>
        <v>100</v>
      </c>
      <c r="F67" s="205">
        <f t="shared" si="3"/>
        <v>0</v>
      </c>
    </row>
    <row r="68" spans="1:6" s="139" customFormat="1" ht="16.5" customHeight="1">
      <c r="A68" s="200" t="s">
        <v>37</v>
      </c>
      <c r="B68" s="201" t="s">
        <v>232</v>
      </c>
      <c r="C68" s="281">
        <f>C71+C72+C73</f>
        <v>14.234</v>
      </c>
      <c r="D68" s="281">
        <f>SUM(D71+D72+D73)</f>
        <v>14.04548</v>
      </c>
      <c r="E68" s="202">
        <f t="shared" si="4"/>
        <v>98.67556554728115</v>
      </c>
      <c r="F68" s="202">
        <f t="shared" si="3"/>
        <v>-0.18852000000000046</v>
      </c>
    </row>
    <row r="69" spans="1:6" ht="15.75" hidden="1">
      <c r="A69" s="203" t="s">
        <v>233</v>
      </c>
      <c r="B69" s="206" t="s">
        <v>234</v>
      </c>
      <c r="C69" s="283"/>
      <c r="D69" s="283"/>
      <c r="E69" s="202" t="e">
        <f t="shared" si="4"/>
        <v>#DIV/0!</v>
      </c>
      <c r="F69" s="202">
        <f t="shared" si="3"/>
        <v>0</v>
      </c>
    </row>
    <row r="70" spans="1:6" ht="15.75" hidden="1">
      <c r="A70" s="212" t="s">
        <v>235</v>
      </c>
      <c r="B70" s="206" t="s">
        <v>317</v>
      </c>
      <c r="C70" s="283"/>
      <c r="D70" s="283"/>
      <c r="E70" s="202" t="e">
        <f t="shared" si="4"/>
        <v>#DIV/0!</v>
      </c>
      <c r="F70" s="202">
        <f t="shared" si="3"/>
        <v>0</v>
      </c>
    </row>
    <row r="71" spans="1:6" ht="15.75" customHeight="1">
      <c r="A71" s="213" t="s">
        <v>237</v>
      </c>
      <c r="B71" s="214" t="s">
        <v>238</v>
      </c>
      <c r="C71" s="300">
        <v>3</v>
      </c>
      <c r="D71" s="283">
        <v>2.81148</v>
      </c>
      <c r="E71" s="202">
        <f t="shared" si="4"/>
        <v>93.716</v>
      </c>
      <c r="F71" s="202">
        <f t="shared" si="3"/>
        <v>-0.18852000000000002</v>
      </c>
    </row>
    <row r="72" spans="1:6" ht="15.75" customHeight="1">
      <c r="A72" s="213" t="s">
        <v>239</v>
      </c>
      <c r="B72" s="214" t="s">
        <v>240</v>
      </c>
      <c r="C72" s="283">
        <v>9.234</v>
      </c>
      <c r="D72" s="283">
        <v>9.234</v>
      </c>
      <c r="E72" s="202">
        <f t="shared" si="4"/>
        <v>100</v>
      </c>
      <c r="F72" s="202">
        <f t="shared" si="3"/>
        <v>0</v>
      </c>
    </row>
    <row r="73" spans="1:6" ht="15.75" customHeight="1">
      <c r="A73" s="213" t="s">
        <v>241</v>
      </c>
      <c r="B73" s="214" t="s">
        <v>363</v>
      </c>
      <c r="C73" s="283">
        <v>2</v>
      </c>
      <c r="D73" s="283">
        <v>2</v>
      </c>
      <c r="E73" s="202"/>
      <c r="F73" s="202"/>
    </row>
    <row r="74" spans="1:6" s="139" customFormat="1" ht="15" customHeight="1">
      <c r="A74" s="200" t="s">
        <v>39</v>
      </c>
      <c r="B74" s="201" t="s">
        <v>243</v>
      </c>
      <c r="C74" s="251">
        <f>SUM(C75:C78)</f>
        <v>2103.19743</v>
      </c>
      <c r="D74" s="251">
        <f>SUM(D75:D78)</f>
        <v>2072.00997</v>
      </c>
      <c r="E74" s="202">
        <f aca="true" t="shared" si="5" ref="E74:E88">SUM(D74/C74*100)</f>
        <v>98.5171406376243</v>
      </c>
      <c r="F74" s="202">
        <f aca="true" t="shared" si="6" ref="F74:F89">SUM(D74-C74)</f>
        <v>-31.1874600000001</v>
      </c>
    </row>
    <row r="75" spans="1:6" ht="17.25" customHeight="1" hidden="1">
      <c r="A75" s="203" t="s">
        <v>246</v>
      </c>
      <c r="B75" s="206" t="s">
        <v>319</v>
      </c>
      <c r="C75" s="284"/>
      <c r="D75" s="283">
        <v>0</v>
      </c>
      <c r="E75" s="205" t="e">
        <f t="shared" si="5"/>
        <v>#DIV/0!</v>
      </c>
      <c r="F75" s="205">
        <f t="shared" si="6"/>
        <v>0</v>
      </c>
    </row>
    <row r="76" spans="1:7" s="139" customFormat="1" ht="19.5" customHeight="1" hidden="1">
      <c r="A76" s="203" t="s">
        <v>248</v>
      </c>
      <c r="B76" s="206" t="s">
        <v>320</v>
      </c>
      <c r="C76" s="284"/>
      <c r="D76" s="283">
        <v>0</v>
      </c>
      <c r="E76" s="205" t="e">
        <f t="shared" si="5"/>
        <v>#DIV/0!</v>
      </c>
      <c r="F76" s="205">
        <f t="shared" si="6"/>
        <v>0</v>
      </c>
      <c r="G76" s="142"/>
    </row>
    <row r="77" spans="1:6" ht="15.75">
      <c r="A77" s="203" t="s">
        <v>250</v>
      </c>
      <c r="B77" s="206" t="s">
        <v>251</v>
      </c>
      <c r="C77" s="284">
        <v>2100.69743</v>
      </c>
      <c r="D77" s="283">
        <v>2069.50997</v>
      </c>
      <c r="E77" s="205">
        <f t="shared" si="5"/>
        <v>98.51537591494078</v>
      </c>
      <c r="F77" s="205">
        <f t="shared" si="6"/>
        <v>-31.1874600000001</v>
      </c>
    </row>
    <row r="78" spans="1:6" ht="15.75">
      <c r="A78" s="203" t="s">
        <v>252</v>
      </c>
      <c r="B78" s="206" t="s">
        <v>253</v>
      </c>
      <c r="C78" s="284">
        <v>2.5</v>
      </c>
      <c r="D78" s="283">
        <v>2.5</v>
      </c>
      <c r="E78" s="205">
        <f t="shared" si="5"/>
        <v>100</v>
      </c>
      <c r="F78" s="205">
        <f t="shared" si="6"/>
        <v>0</v>
      </c>
    </row>
    <row r="79" spans="1:6" s="139" customFormat="1" ht="14.25" customHeight="1">
      <c r="A79" s="200" t="s">
        <v>41</v>
      </c>
      <c r="B79" s="201" t="s">
        <v>254</v>
      </c>
      <c r="C79" s="281">
        <f>SUM(C80:C82)</f>
        <v>8939.07589</v>
      </c>
      <c r="D79" s="281">
        <f>SUM(D80:D82)</f>
        <v>8495.0879</v>
      </c>
      <c r="E79" s="202">
        <f t="shared" si="5"/>
        <v>95.03317797652124</v>
      </c>
      <c r="F79" s="202">
        <f t="shared" si="6"/>
        <v>-443.9879899999996</v>
      </c>
    </row>
    <row r="80" spans="1:6" ht="20.25" customHeight="1">
      <c r="A80" s="203" t="s">
        <v>255</v>
      </c>
      <c r="B80" s="217" t="s">
        <v>256</v>
      </c>
      <c r="C80" s="283">
        <v>2696.98935</v>
      </c>
      <c r="D80" s="283">
        <v>2696.98935</v>
      </c>
      <c r="E80" s="205">
        <f t="shared" si="5"/>
        <v>100</v>
      </c>
      <c r="F80" s="205">
        <f t="shared" si="6"/>
        <v>0</v>
      </c>
    </row>
    <row r="81" spans="1:6" ht="19.5" customHeight="1">
      <c r="A81" s="203" t="s">
        <v>257</v>
      </c>
      <c r="B81" s="217" t="s">
        <v>258</v>
      </c>
      <c r="C81" s="283">
        <v>3567.813</v>
      </c>
      <c r="D81" s="283">
        <v>3512.78</v>
      </c>
      <c r="E81" s="205">
        <f t="shared" si="5"/>
        <v>98.45751444932792</v>
      </c>
      <c r="F81" s="205">
        <f t="shared" si="6"/>
        <v>-55.0329999999999</v>
      </c>
    </row>
    <row r="82" spans="1:6" ht="15.75">
      <c r="A82" s="203" t="s">
        <v>259</v>
      </c>
      <c r="B82" s="206" t="s">
        <v>260</v>
      </c>
      <c r="C82" s="283">
        <v>2674.27354</v>
      </c>
      <c r="D82" s="283">
        <v>2285.31855</v>
      </c>
      <c r="E82" s="205">
        <f t="shared" si="5"/>
        <v>85.45567668444268</v>
      </c>
      <c r="F82" s="205">
        <f t="shared" si="6"/>
        <v>-388.9549900000002</v>
      </c>
    </row>
    <row r="83" spans="1:6" s="139" customFormat="1" ht="15.75">
      <c r="A83" s="200" t="s">
        <v>47</v>
      </c>
      <c r="B83" s="201" t="s">
        <v>275</v>
      </c>
      <c r="C83" s="281">
        <f>C84</f>
        <v>2259.176</v>
      </c>
      <c r="D83" s="281">
        <f>SUM(D84)</f>
        <v>2232.09557</v>
      </c>
      <c r="E83" s="202">
        <f t="shared" si="5"/>
        <v>98.80131384186093</v>
      </c>
      <c r="F83" s="202">
        <f t="shared" si="6"/>
        <v>-27.08042999999998</v>
      </c>
    </row>
    <row r="84" spans="1:6" ht="15" customHeight="1">
      <c r="A84" s="203" t="s">
        <v>276</v>
      </c>
      <c r="B84" s="206" t="s">
        <v>277</v>
      </c>
      <c r="C84" s="283">
        <v>2259.176</v>
      </c>
      <c r="D84" s="283">
        <v>2232.09557</v>
      </c>
      <c r="E84" s="205">
        <f t="shared" si="5"/>
        <v>98.80131384186093</v>
      </c>
      <c r="F84" s="205">
        <f t="shared" si="6"/>
        <v>-27.08042999999998</v>
      </c>
    </row>
    <row r="85" spans="1:6" s="139" customFormat="1" ht="15.75" customHeight="1" hidden="1">
      <c r="A85" s="218">
        <v>1000</v>
      </c>
      <c r="B85" s="201" t="s">
        <v>280</v>
      </c>
      <c r="C85" s="281">
        <f>SUM(C86:C89)</f>
        <v>0</v>
      </c>
      <c r="D85" s="281">
        <f>SUM(D86:D89)</f>
        <v>0</v>
      </c>
      <c r="E85" s="202" t="e">
        <f t="shared" si="5"/>
        <v>#DIV/0!</v>
      </c>
      <c r="F85" s="202">
        <f t="shared" si="6"/>
        <v>0</v>
      </c>
    </row>
    <row r="86" spans="1:6" ht="15.75" customHeight="1" hidden="1">
      <c r="A86" s="219">
        <v>1001</v>
      </c>
      <c r="B86" s="220" t="s">
        <v>281</v>
      </c>
      <c r="C86" s="283"/>
      <c r="D86" s="283"/>
      <c r="E86" s="205" t="e">
        <f t="shared" si="5"/>
        <v>#DIV/0!</v>
      </c>
      <c r="F86" s="205">
        <f t="shared" si="6"/>
        <v>0</v>
      </c>
    </row>
    <row r="87" spans="1:6" ht="15.75" customHeight="1" hidden="1">
      <c r="A87" s="219">
        <v>1003</v>
      </c>
      <c r="B87" s="220" t="s">
        <v>282</v>
      </c>
      <c r="C87" s="300">
        <v>0</v>
      </c>
      <c r="D87" s="283">
        <v>0</v>
      </c>
      <c r="E87" s="205" t="e">
        <f t="shared" si="5"/>
        <v>#DIV/0!</v>
      </c>
      <c r="F87" s="205">
        <f t="shared" si="6"/>
        <v>0</v>
      </c>
    </row>
    <row r="88" spans="1:6" ht="15.75" customHeight="1" hidden="1">
      <c r="A88" s="219">
        <v>1004</v>
      </c>
      <c r="B88" s="220" t="s">
        <v>283</v>
      </c>
      <c r="C88" s="283"/>
      <c r="D88" s="285"/>
      <c r="E88" s="205" t="e">
        <f t="shared" si="5"/>
        <v>#DIV/0!</v>
      </c>
      <c r="F88" s="205">
        <f t="shared" si="6"/>
        <v>0</v>
      </c>
    </row>
    <row r="89" spans="1:6" ht="15.75" customHeight="1" hidden="1">
      <c r="A89" s="203" t="s">
        <v>284</v>
      </c>
      <c r="B89" s="206" t="s">
        <v>285</v>
      </c>
      <c r="C89" s="283">
        <v>0</v>
      </c>
      <c r="D89" s="283">
        <v>0</v>
      </c>
      <c r="E89" s="205"/>
      <c r="F89" s="205">
        <f t="shared" si="6"/>
        <v>0</v>
      </c>
    </row>
    <row r="90" spans="1:6" ht="15.75" customHeight="1">
      <c r="A90" s="200" t="s">
        <v>51</v>
      </c>
      <c r="B90" s="201" t="s">
        <v>286</v>
      </c>
      <c r="C90" s="281">
        <f>C91</f>
        <v>15</v>
      </c>
      <c r="D90" s="281">
        <f>D91+D92+D93+D94+D95</f>
        <v>10.978</v>
      </c>
      <c r="E90" s="205"/>
      <c r="F90" s="190">
        <f>F91+F92+F93+F94+F95</f>
        <v>-4.022</v>
      </c>
    </row>
    <row r="91" spans="1:6" ht="16.5" customHeight="1">
      <c r="A91" s="203" t="s">
        <v>287</v>
      </c>
      <c r="B91" s="206" t="s">
        <v>288</v>
      </c>
      <c r="C91" s="283">
        <v>15</v>
      </c>
      <c r="D91" s="283">
        <v>10.978</v>
      </c>
      <c r="E91" s="205"/>
      <c r="F91" s="205">
        <f>SUM(D91-C91)</f>
        <v>-4.022</v>
      </c>
    </row>
    <row r="92" spans="1:6" ht="1.5" customHeight="1" hidden="1">
      <c r="A92" s="203" t="s">
        <v>289</v>
      </c>
      <c r="B92" s="206" t="s">
        <v>290</v>
      </c>
      <c r="C92" s="283"/>
      <c r="D92" s="283"/>
      <c r="E92" s="205" t="e">
        <f aca="true" t="shared" si="7" ref="E92:E100">SUM(D92/C92*100)</f>
        <v>#DIV/0!</v>
      </c>
      <c r="F92" s="205">
        <f>SUM(D92-C92)</f>
        <v>0</v>
      </c>
    </row>
    <row r="93" spans="1:6" ht="21.75" customHeight="1" hidden="1">
      <c r="A93" s="203" t="s">
        <v>291</v>
      </c>
      <c r="B93" s="206" t="s">
        <v>292</v>
      </c>
      <c r="C93" s="283"/>
      <c r="D93" s="283"/>
      <c r="E93" s="205" t="e">
        <f t="shared" si="7"/>
        <v>#DIV/0!</v>
      </c>
      <c r="F93" s="205"/>
    </row>
    <row r="94" spans="1:6" ht="15" customHeight="1" hidden="1">
      <c r="A94" s="203" t="s">
        <v>293</v>
      </c>
      <c r="B94" s="206" t="s">
        <v>294</v>
      </c>
      <c r="C94" s="283"/>
      <c r="D94" s="283"/>
      <c r="E94" s="205" t="e">
        <f t="shared" si="7"/>
        <v>#DIV/0!</v>
      </c>
      <c r="F94" s="205"/>
    </row>
    <row r="95" spans="1:6" ht="14.25" customHeight="1" hidden="1">
      <c r="A95" s="203" t="s">
        <v>295</v>
      </c>
      <c r="B95" s="206" t="s">
        <v>296</v>
      </c>
      <c r="C95" s="283"/>
      <c r="D95" s="283"/>
      <c r="E95" s="205" t="e">
        <f t="shared" si="7"/>
        <v>#DIV/0!</v>
      </c>
      <c r="F95" s="205"/>
    </row>
    <row r="96" spans="1:6" s="139" customFormat="1" ht="19.5" customHeight="1" hidden="1">
      <c r="A96" s="218">
        <v>1400</v>
      </c>
      <c r="B96" s="222" t="s">
        <v>303</v>
      </c>
      <c r="C96" s="251">
        <f>C97+C98+C99</f>
        <v>0</v>
      </c>
      <c r="D96" s="333">
        <f>SUM(D97:D99)</f>
        <v>0</v>
      </c>
      <c r="E96" s="202" t="e">
        <f t="shared" si="7"/>
        <v>#DIV/0!</v>
      </c>
      <c r="F96" s="202">
        <f>SUM(D96-C96)</f>
        <v>0</v>
      </c>
    </row>
    <row r="97" spans="1:6" ht="15" customHeight="1" hidden="1">
      <c r="A97" s="219">
        <v>1401</v>
      </c>
      <c r="B97" s="220" t="s">
        <v>304</v>
      </c>
      <c r="C97" s="284"/>
      <c r="D97" s="283"/>
      <c r="E97" s="205" t="e">
        <f t="shared" si="7"/>
        <v>#DIV/0!</v>
      </c>
      <c r="F97" s="205">
        <f>SUM(D97-C97)</f>
        <v>0</v>
      </c>
    </row>
    <row r="98" spans="1:6" ht="16.5" customHeight="1" hidden="1">
      <c r="A98" s="219">
        <v>1402</v>
      </c>
      <c r="B98" s="220" t="s">
        <v>305</v>
      </c>
      <c r="C98" s="284"/>
      <c r="D98" s="283"/>
      <c r="E98" s="205" t="e">
        <f t="shared" si="7"/>
        <v>#DIV/0!</v>
      </c>
      <c r="F98" s="205">
        <f>SUM(D98-C98)</f>
        <v>0</v>
      </c>
    </row>
    <row r="99" spans="1:6" ht="20.25" customHeight="1" hidden="1">
      <c r="A99" s="219">
        <v>1403</v>
      </c>
      <c r="B99" s="220" t="s">
        <v>306</v>
      </c>
      <c r="C99" s="284"/>
      <c r="D99" s="283"/>
      <c r="E99" s="205" t="e">
        <f t="shared" si="7"/>
        <v>#DIV/0!</v>
      </c>
      <c r="F99" s="205">
        <f>SUM(D99-C99)</f>
        <v>0</v>
      </c>
    </row>
    <row r="100" spans="1:6" s="139" customFormat="1" ht="21" customHeight="1">
      <c r="A100" s="218"/>
      <c r="B100" s="223" t="s">
        <v>307</v>
      </c>
      <c r="C100" s="278">
        <f>C58+C66+C68+C74+C79+C83+C90+C85</f>
        <v>15187.61232</v>
      </c>
      <c r="D100" s="278">
        <f>D58+D66+D68+D74+D79+D83+D90+D85</f>
        <v>14630.839329999999</v>
      </c>
      <c r="E100" s="202">
        <f t="shared" si="7"/>
        <v>96.33403211598437</v>
      </c>
      <c r="F100" s="202">
        <f>SUM(D100-C100)</f>
        <v>-556.7729900000013</v>
      </c>
    </row>
    <row r="101" ht="15.75">
      <c r="D101" s="296"/>
    </row>
    <row r="102" spans="1:5" s="143" customFormat="1" ht="18" customHeight="1">
      <c r="A102" s="228" t="s">
        <v>308</v>
      </c>
      <c r="B102" s="228"/>
      <c r="C102" s="334"/>
      <c r="D102" s="254"/>
      <c r="E102" s="254"/>
    </row>
    <row r="103" spans="1:3" s="143" customFormat="1" ht="12.75">
      <c r="A103" s="230" t="s">
        <v>309</v>
      </c>
      <c r="B103" s="230"/>
      <c r="C103" s="143" t="s">
        <v>310</v>
      </c>
    </row>
    <row r="104" ht="15.75">
      <c r="C104" s="264"/>
    </row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view="pageBreakPreview" zoomScale="70" zoomScaleSheetLayoutView="70" zoomScalePageLayoutView="0" workbookViewId="0" topLeftCell="A43">
      <selection activeCell="C90" sqref="C90"/>
    </sheetView>
  </sheetViews>
  <sheetFormatPr defaultColWidth="9.140625" defaultRowHeight="12.75"/>
  <cols>
    <col min="1" max="1" width="14.7109375" style="135" customWidth="1"/>
    <col min="2" max="2" width="58.8515625" style="136" customWidth="1"/>
    <col min="3" max="3" width="19.421875" style="137" customWidth="1"/>
    <col min="4" max="4" width="16.421875" style="137" customWidth="1"/>
    <col min="5" max="5" width="12.57421875" style="137" customWidth="1"/>
    <col min="6" max="6" width="12.00390625" style="137" customWidth="1"/>
    <col min="7" max="7" width="15.421875" style="138" customWidth="1"/>
    <col min="8" max="8" width="12.8515625" style="138" customWidth="1"/>
    <col min="9" max="9" width="12.421875" style="138" customWidth="1"/>
    <col min="10" max="16384" width="9.140625" style="138" customWidth="1"/>
  </cols>
  <sheetData>
    <row r="1" spans="1:6" ht="12.75" customHeight="1">
      <c r="A1" s="469" t="s">
        <v>440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54.75" customHeight="1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C5+C12+C14+C17+C7</f>
        <v>2577.05</v>
      </c>
      <c r="D4" s="150">
        <f>D5+D12+D14+D17+D7</f>
        <v>2488.00436</v>
      </c>
      <c r="E4" s="150">
        <f aca="true" t="shared" si="0" ref="E4:E28">SUM(D4/C4*100)</f>
        <v>96.54466774024561</v>
      </c>
      <c r="F4" s="150">
        <f aca="true" t="shared" si="1" ref="F4:F28">SUM(D4-C4)</f>
        <v>-89.04564000000028</v>
      </c>
    </row>
    <row r="5" spans="1:6" s="139" customFormat="1" ht="15.75">
      <c r="A5" s="151">
        <v>1010000000</v>
      </c>
      <c r="B5" s="152" t="s">
        <v>146</v>
      </c>
      <c r="C5" s="150">
        <f>C6</f>
        <v>211.2</v>
      </c>
      <c r="D5" s="150">
        <f>D6</f>
        <v>202.68409</v>
      </c>
      <c r="E5" s="150">
        <f t="shared" si="0"/>
        <v>95.9678456439394</v>
      </c>
      <c r="F5" s="150">
        <f t="shared" si="1"/>
        <v>-8.515909999999991</v>
      </c>
    </row>
    <row r="6" spans="1:6" ht="15.75">
      <c r="A6" s="153">
        <v>1010200001</v>
      </c>
      <c r="B6" s="154" t="s">
        <v>147</v>
      </c>
      <c r="C6" s="155">
        <v>211.2</v>
      </c>
      <c r="D6" s="156">
        <v>202.68409</v>
      </c>
      <c r="E6" s="155">
        <f t="shared" si="0"/>
        <v>95.9678456439394</v>
      </c>
      <c r="F6" s="155">
        <f t="shared" si="1"/>
        <v>-8.515909999999991</v>
      </c>
    </row>
    <row r="7" spans="1:6" ht="31.5">
      <c r="A7" s="148">
        <v>1030000000</v>
      </c>
      <c r="B7" s="157" t="s">
        <v>148</v>
      </c>
      <c r="C7" s="150">
        <f>C8+C10+C9</f>
        <v>830.85</v>
      </c>
      <c r="D7" s="150">
        <f>D8+D10+D9+D11</f>
        <v>933.3640300000002</v>
      </c>
      <c r="E7" s="150">
        <f t="shared" si="0"/>
        <v>112.33845218751884</v>
      </c>
      <c r="F7" s="150">
        <f t="shared" si="1"/>
        <v>102.51403000000016</v>
      </c>
    </row>
    <row r="8" spans="1:6" ht="15.75">
      <c r="A8" s="153">
        <v>1030223001</v>
      </c>
      <c r="B8" s="154" t="s">
        <v>149</v>
      </c>
      <c r="C8" s="155">
        <v>309.91</v>
      </c>
      <c r="D8" s="156">
        <v>430.89645</v>
      </c>
      <c r="E8" s="155">
        <f t="shared" si="0"/>
        <v>139.0392210641799</v>
      </c>
      <c r="F8" s="155">
        <f t="shared" si="1"/>
        <v>120.98644999999999</v>
      </c>
    </row>
    <row r="9" spans="1:6" ht="15.75">
      <c r="A9" s="153">
        <v>1030224001</v>
      </c>
      <c r="B9" s="154" t="s">
        <v>150</v>
      </c>
      <c r="C9" s="155">
        <v>3.32</v>
      </c>
      <c r="D9" s="156">
        <v>3.03038</v>
      </c>
      <c r="E9" s="155">
        <f t="shared" si="0"/>
        <v>91.27650602409639</v>
      </c>
      <c r="F9" s="155">
        <f t="shared" si="1"/>
        <v>-0.28961999999999977</v>
      </c>
    </row>
    <row r="10" spans="1:6" ht="15.75">
      <c r="A10" s="153">
        <v>1030225001</v>
      </c>
      <c r="B10" s="154" t="s">
        <v>151</v>
      </c>
      <c r="C10" s="155">
        <v>517.62</v>
      </c>
      <c r="D10" s="156">
        <v>572.9161</v>
      </c>
      <c r="E10" s="155">
        <f t="shared" si="0"/>
        <v>110.68275955334028</v>
      </c>
      <c r="F10" s="155">
        <f t="shared" si="1"/>
        <v>55.296100000000024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-73.4789</v>
      </c>
      <c r="E11" s="155" t="e">
        <f t="shared" si="0"/>
        <v>#DIV/0!</v>
      </c>
      <c r="F11" s="155">
        <f t="shared" si="1"/>
        <v>-73.4789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20</v>
      </c>
      <c r="D12" s="150">
        <f>SUM(D13:D13)</f>
        <v>8.8872</v>
      </c>
      <c r="E12" s="150">
        <f t="shared" si="0"/>
        <v>44.436</v>
      </c>
      <c r="F12" s="150">
        <f t="shared" si="1"/>
        <v>-11.1128</v>
      </c>
    </row>
    <row r="13" spans="1:6" ht="15.75" customHeight="1">
      <c r="A13" s="153">
        <v>1050300000</v>
      </c>
      <c r="B13" s="158" t="s">
        <v>156</v>
      </c>
      <c r="C13" s="159">
        <v>20</v>
      </c>
      <c r="D13" s="156">
        <v>8.8872</v>
      </c>
      <c r="E13" s="155">
        <f t="shared" si="0"/>
        <v>44.436</v>
      </c>
      <c r="F13" s="155">
        <f t="shared" si="1"/>
        <v>-11.1128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1500</v>
      </c>
      <c r="D14" s="150">
        <f>D15+D16</f>
        <v>1336.8390399999998</v>
      </c>
      <c r="E14" s="150">
        <f t="shared" si="0"/>
        <v>89.12260266666667</v>
      </c>
      <c r="F14" s="150">
        <f t="shared" si="1"/>
        <v>-163.16096000000016</v>
      </c>
    </row>
    <row r="15" spans="1:6" s="139" customFormat="1" ht="15.75" customHeight="1">
      <c r="A15" s="153">
        <v>1060100000</v>
      </c>
      <c r="B15" s="158" t="s">
        <v>159</v>
      </c>
      <c r="C15" s="155">
        <v>300</v>
      </c>
      <c r="D15" s="156">
        <v>206.67951</v>
      </c>
      <c r="E15" s="155">
        <f t="shared" si="0"/>
        <v>68.89317</v>
      </c>
      <c r="F15" s="155">
        <f t="shared" si="1"/>
        <v>-93.32049</v>
      </c>
    </row>
    <row r="16" spans="1:6" ht="15.75" customHeight="1">
      <c r="A16" s="153">
        <v>1060600000</v>
      </c>
      <c r="B16" s="158" t="s">
        <v>162</v>
      </c>
      <c r="C16" s="155">
        <v>1200</v>
      </c>
      <c r="D16" s="156">
        <v>1130.15953</v>
      </c>
      <c r="E16" s="155">
        <f t="shared" si="0"/>
        <v>94.17996083333333</v>
      </c>
      <c r="F16" s="155">
        <f t="shared" si="1"/>
        <v>-69.8404700000001</v>
      </c>
    </row>
    <row r="17" spans="1:6" s="139" customFormat="1" ht="15.75">
      <c r="A17" s="148">
        <v>1080000000</v>
      </c>
      <c r="B17" s="149" t="s">
        <v>165</v>
      </c>
      <c r="C17" s="150">
        <f>C18</f>
        <v>15</v>
      </c>
      <c r="D17" s="150">
        <f>D18</f>
        <v>6.23</v>
      </c>
      <c r="E17" s="150">
        <f t="shared" si="0"/>
        <v>41.53333333333334</v>
      </c>
      <c r="F17" s="150">
        <f t="shared" si="1"/>
        <v>-8.77</v>
      </c>
    </row>
    <row r="18" spans="1:6" ht="18" customHeight="1">
      <c r="A18" s="153">
        <v>1080400001</v>
      </c>
      <c r="B18" s="154" t="s">
        <v>167</v>
      </c>
      <c r="C18" s="155">
        <v>15</v>
      </c>
      <c r="D18" s="156">
        <v>6.23</v>
      </c>
      <c r="E18" s="155">
        <f t="shared" si="0"/>
        <v>41.53333333333334</v>
      </c>
      <c r="F18" s="155">
        <f t="shared" si="1"/>
        <v>-8.77</v>
      </c>
    </row>
    <row r="19" spans="1:6" ht="47.2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29.25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15.75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15.75" hidden="1">
      <c r="A22" s="153">
        <v>1090400000</v>
      </c>
      <c r="B22" s="154" t="s">
        <v>341</v>
      </c>
      <c r="C22" s="150"/>
      <c r="D22" s="161"/>
      <c r="E22" s="155" t="e">
        <f t="shared" si="0"/>
        <v>#DIV/0!</v>
      </c>
      <c r="F22" s="155">
        <f t="shared" si="1"/>
        <v>0</v>
      </c>
    </row>
    <row r="23" spans="1:6" s="140" customFormat="1" ht="15.75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15.75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5" customHeight="1">
      <c r="A25" s="148"/>
      <c r="B25" s="149" t="s">
        <v>17</v>
      </c>
      <c r="C25" s="150">
        <f>C26+C30+C32+C37+C35</f>
        <v>70.7</v>
      </c>
      <c r="D25" s="150">
        <f>D30+D37+D26+D35</f>
        <v>186.75961999999998</v>
      </c>
      <c r="E25" s="150">
        <f t="shared" si="0"/>
        <v>264.15787835926443</v>
      </c>
      <c r="F25" s="150">
        <f t="shared" si="1"/>
        <v>116.05961999999998</v>
      </c>
    </row>
    <row r="26" spans="1:6" s="139" customFormat="1" ht="33.75" customHeight="1">
      <c r="A26" s="151">
        <v>1110000000</v>
      </c>
      <c r="B26" s="160" t="s">
        <v>174</v>
      </c>
      <c r="C26" s="150">
        <f>C27+C28</f>
        <v>20.7</v>
      </c>
      <c r="D26" s="150">
        <f>D27+D28</f>
        <v>18.58001</v>
      </c>
      <c r="E26" s="150">
        <f t="shared" si="0"/>
        <v>89.75850241545895</v>
      </c>
      <c r="F26" s="150">
        <f t="shared" si="1"/>
        <v>-2.119989999999998</v>
      </c>
    </row>
    <row r="27" spans="1:6" ht="15" customHeight="1">
      <c r="A27" s="162">
        <v>1110502510</v>
      </c>
      <c r="B27" s="163" t="s">
        <v>177</v>
      </c>
      <c r="C27" s="159">
        <v>20.7</v>
      </c>
      <c r="D27" s="156">
        <v>18.58001</v>
      </c>
      <c r="E27" s="155">
        <f t="shared" si="0"/>
        <v>89.75850241545895</v>
      </c>
      <c r="F27" s="155">
        <f t="shared" si="1"/>
        <v>-2.119989999999998</v>
      </c>
    </row>
    <row r="28" spans="1:6" ht="15.75" customHeight="1">
      <c r="A28" s="153">
        <v>1110503510</v>
      </c>
      <c r="B28" s="158" t="s">
        <v>178</v>
      </c>
      <c r="C28" s="159">
        <v>0</v>
      </c>
      <c r="D28" s="156">
        <v>0</v>
      </c>
      <c r="E28" s="155" t="e">
        <f t="shared" si="0"/>
        <v>#DIV/0!</v>
      </c>
      <c r="F28" s="155">
        <f t="shared" si="1"/>
        <v>0</v>
      </c>
    </row>
    <row r="29" spans="1:6" ht="18.75" customHeight="1">
      <c r="A29" s="153">
        <v>1110532510</v>
      </c>
      <c r="B29" s="158" t="s">
        <v>371</v>
      </c>
      <c r="C29" s="159">
        <v>0</v>
      </c>
      <c r="D29" s="296">
        <v>0</v>
      </c>
      <c r="E29" s="155" t="e">
        <f>SUM(D28/C29*100)</f>
        <v>#DIV/0!</v>
      </c>
      <c r="F29" s="155">
        <f>SUM(D28-C29)</f>
        <v>0</v>
      </c>
    </row>
    <row r="30" spans="1:6" s="140" customFormat="1" ht="27" customHeight="1">
      <c r="A30" s="151">
        <v>1130000000</v>
      </c>
      <c r="B30" s="160" t="s">
        <v>185</v>
      </c>
      <c r="C30" s="150">
        <f>C31</f>
        <v>50</v>
      </c>
      <c r="D30" s="150">
        <f>D31</f>
        <v>136.20032</v>
      </c>
      <c r="E30" s="150">
        <f aca="true" t="shared" si="2" ref="E30:E48">SUM(D30/C30*100)</f>
        <v>272.40064</v>
      </c>
      <c r="F30" s="150">
        <f aca="true" t="shared" si="3" ref="F30:F52">SUM(D30-C30)</f>
        <v>86.20032</v>
      </c>
    </row>
    <row r="31" spans="1:6" ht="32.25" customHeight="1">
      <c r="A31" s="153">
        <v>1130206005</v>
      </c>
      <c r="B31" s="154" t="s">
        <v>187</v>
      </c>
      <c r="C31" s="155">
        <v>50</v>
      </c>
      <c r="D31" s="156">
        <v>136.20032</v>
      </c>
      <c r="E31" s="155">
        <f t="shared" si="2"/>
        <v>272.40064</v>
      </c>
      <c r="F31" s="155">
        <f t="shared" si="3"/>
        <v>86.20032</v>
      </c>
    </row>
    <row r="32" spans="1:6" ht="32.25" customHeight="1">
      <c r="A32" s="164">
        <v>1140000000</v>
      </c>
      <c r="B32" s="165" t="s">
        <v>188</v>
      </c>
      <c r="C32" s="150">
        <f>C33+C34</f>
        <v>0</v>
      </c>
      <c r="D32" s="150">
        <f>D33+D34</f>
        <v>0</v>
      </c>
      <c r="E32" s="150" t="e">
        <f t="shared" si="2"/>
        <v>#DIV/0!</v>
      </c>
      <c r="F32" s="150">
        <f t="shared" si="3"/>
        <v>0</v>
      </c>
    </row>
    <row r="33" spans="1:6" ht="27.75" customHeight="1">
      <c r="A33" s="162">
        <v>1140200000</v>
      </c>
      <c r="B33" s="166" t="s">
        <v>189</v>
      </c>
      <c r="C33" s="155">
        <v>0</v>
      </c>
      <c r="D33" s="156">
        <v>0</v>
      </c>
      <c r="E33" s="155" t="e">
        <f t="shared" si="2"/>
        <v>#DIV/0!</v>
      </c>
      <c r="F33" s="155">
        <f t="shared" si="3"/>
        <v>0</v>
      </c>
    </row>
    <row r="34" spans="1:6" ht="27" customHeight="1">
      <c r="A34" s="153">
        <v>1140600000</v>
      </c>
      <c r="B34" s="154" t="s">
        <v>190</v>
      </c>
      <c r="C34" s="155">
        <v>0</v>
      </c>
      <c r="D34" s="156">
        <v>0</v>
      </c>
      <c r="E34" s="155" t="e">
        <f t="shared" si="2"/>
        <v>#DIV/0!</v>
      </c>
      <c r="F34" s="155">
        <f t="shared" si="3"/>
        <v>0</v>
      </c>
    </row>
    <row r="35" spans="1:6" ht="22.5" customHeight="1">
      <c r="A35" s="148">
        <v>1160000000</v>
      </c>
      <c r="B35" s="157" t="s">
        <v>325</v>
      </c>
      <c r="C35" s="150">
        <f>C36</f>
        <v>0</v>
      </c>
      <c r="D35" s="161">
        <f>D36</f>
        <v>32.24129</v>
      </c>
      <c r="E35" s="150" t="e">
        <f t="shared" si="2"/>
        <v>#DIV/0!</v>
      </c>
      <c r="F35" s="150">
        <f t="shared" si="3"/>
        <v>32.24129</v>
      </c>
    </row>
    <row r="36" spans="1:6" ht="48.75" customHeight="1">
      <c r="A36" s="153">
        <v>1160701010</v>
      </c>
      <c r="B36" s="154" t="s">
        <v>354</v>
      </c>
      <c r="C36" s="155">
        <v>0</v>
      </c>
      <c r="D36" s="156">
        <v>32.24129</v>
      </c>
      <c r="E36" s="155" t="e">
        <f t="shared" si="2"/>
        <v>#DIV/0!</v>
      </c>
      <c r="F36" s="155">
        <f t="shared" si="3"/>
        <v>32.24129</v>
      </c>
    </row>
    <row r="37" spans="1:6" ht="22.5" customHeight="1">
      <c r="A37" s="148">
        <v>1170000000</v>
      </c>
      <c r="B37" s="157" t="s">
        <v>198</v>
      </c>
      <c r="C37" s="150">
        <f>C38+C39</f>
        <v>0</v>
      </c>
      <c r="D37" s="150">
        <f>D38+D39</f>
        <v>-0.262</v>
      </c>
      <c r="E37" s="150" t="e">
        <f t="shared" si="2"/>
        <v>#DIV/0!</v>
      </c>
      <c r="F37" s="150">
        <f t="shared" si="3"/>
        <v>-0.262</v>
      </c>
    </row>
    <row r="38" spans="1:6" ht="23.25" customHeight="1">
      <c r="A38" s="153">
        <v>1170105010</v>
      </c>
      <c r="B38" s="154" t="s">
        <v>199</v>
      </c>
      <c r="C38" s="155">
        <v>0</v>
      </c>
      <c r="D38" s="155">
        <v>-0.262</v>
      </c>
      <c r="E38" s="155" t="e">
        <f t="shared" si="2"/>
        <v>#DIV/0!</v>
      </c>
      <c r="F38" s="155">
        <f t="shared" si="3"/>
        <v>-0.262</v>
      </c>
    </row>
    <row r="39" spans="1:6" ht="21.75" customHeight="1">
      <c r="A39" s="153">
        <v>1170505005</v>
      </c>
      <c r="B39" s="158" t="s">
        <v>200</v>
      </c>
      <c r="C39" s="155">
        <v>0</v>
      </c>
      <c r="D39" s="156">
        <v>0</v>
      </c>
      <c r="E39" s="155" t="e">
        <f t="shared" si="2"/>
        <v>#DIV/0!</v>
      </c>
      <c r="F39" s="155">
        <f t="shared" si="3"/>
        <v>0</v>
      </c>
    </row>
    <row r="40" spans="1:6" s="139" customFormat="1" ht="18" customHeight="1">
      <c r="A40" s="148">
        <v>1000000000</v>
      </c>
      <c r="B40" s="149" t="s">
        <v>26</v>
      </c>
      <c r="C40" s="168">
        <f>SUM(C4,C25)</f>
        <v>2647.75</v>
      </c>
      <c r="D40" s="168">
        <f>D4+D25</f>
        <v>2674.7639799999997</v>
      </c>
      <c r="E40" s="150">
        <f t="shared" si="2"/>
        <v>101.02026173165895</v>
      </c>
      <c r="F40" s="150">
        <f t="shared" si="3"/>
        <v>27.01397999999972</v>
      </c>
    </row>
    <row r="41" spans="1:7" s="139" customFormat="1" ht="15.75">
      <c r="A41" s="148">
        <v>2000000000</v>
      </c>
      <c r="B41" s="149" t="s">
        <v>201</v>
      </c>
      <c r="C41" s="150">
        <f>C42+C44+C45+C47+C48+C49+C43+C51</f>
        <v>15839.708169999998</v>
      </c>
      <c r="D41" s="150">
        <f>D42+D44+D45+D47+D48+D49+D43+D51</f>
        <v>10248.158300000001</v>
      </c>
      <c r="E41" s="150">
        <f t="shared" si="2"/>
        <v>64.69916105783912</v>
      </c>
      <c r="F41" s="150">
        <f t="shared" si="3"/>
        <v>-5591.549869999997</v>
      </c>
      <c r="G41" s="170"/>
    </row>
    <row r="42" spans="1:6" ht="17.25" customHeight="1">
      <c r="A42" s="162">
        <v>2021000000</v>
      </c>
      <c r="B42" s="163" t="s">
        <v>202</v>
      </c>
      <c r="C42" s="159">
        <v>3577.8</v>
      </c>
      <c r="D42" s="324">
        <v>3577.8</v>
      </c>
      <c r="E42" s="155">
        <f t="shared" si="2"/>
        <v>100</v>
      </c>
      <c r="F42" s="155">
        <f t="shared" si="3"/>
        <v>0</v>
      </c>
    </row>
    <row r="43" spans="1:6" ht="17.25" customHeight="1">
      <c r="A43" s="162">
        <v>2021500200</v>
      </c>
      <c r="B43" s="163" t="s">
        <v>205</v>
      </c>
      <c r="C43" s="335"/>
      <c r="D43" s="172">
        <v>0</v>
      </c>
      <c r="E43" s="155" t="e">
        <f t="shared" si="2"/>
        <v>#DIV/0!</v>
      </c>
      <c r="F43" s="155">
        <f t="shared" si="3"/>
        <v>0</v>
      </c>
    </row>
    <row r="44" spans="1:6" ht="15.75">
      <c r="A44" s="162">
        <v>2022000000</v>
      </c>
      <c r="B44" s="163" t="s">
        <v>206</v>
      </c>
      <c r="C44" s="159">
        <v>9503.26947</v>
      </c>
      <c r="D44" s="156">
        <v>4059.33896</v>
      </c>
      <c r="E44" s="155">
        <f t="shared" si="2"/>
        <v>42.71518315685518</v>
      </c>
      <c r="F44" s="155">
        <f t="shared" si="3"/>
        <v>-5443.930509999999</v>
      </c>
    </row>
    <row r="45" spans="1:6" ht="16.5" customHeight="1">
      <c r="A45" s="162">
        <v>2023000000</v>
      </c>
      <c r="B45" s="163" t="s">
        <v>207</v>
      </c>
      <c r="C45" s="159">
        <v>206.767</v>
      </c>
      <c r="D45" s="174">
        <v>206.767</v>
      </c>
      <c r="E45" s="155">
        <f t="shared" si="2"/>
        <v>100</v>
      </c>
      <c r="F45" s="155">
        <f t="shared" si="3"/>
        <v>0</v>
      </c>
    </row>
    <row r="46" spans="1:6" ht="19.5" customHeight="1">
      <c r="A46" s="162">
        <v>2070503010</v>
      </c>
      <c r="B46" s="163" t="s">
        <v>104</v>
      </c>
      <c r="C46" s="159">
        <v>0</v>
      </c>
      <c r="D46" s="174">
        <v>0</v>
      </c>
      <c r="E46" s="155" t="e">
        <f t="shared" si="2"/>
        <v>#DIV/0!</v>
      </c>
      <c r="F46" s="155">
        <f t="shared" si="3"/>
        <v>0</v>
      </c>
    </row>
    <row r="47" spans="1:6" ht="19.5" customHeight="1">
      <c r="A47" s="162">
        <v>2020400000</v>
      </c>
      <c r="B47" s="163" t="s">
        <v>102</v>
      </c>
      <c r="C47" s="159">
        <v>2328.044</v>
      </c>
      <c r="D47" s="175">
        <v>2173.71584</v>
      </c>
      <c r="E47" s="155">
        <f t="shared" si="2"/>
        <v>93.3709087972564</v>
      </c>
      <c r="F47" s="155">
        <f t="shared" si="3"/>
        <v>-154.32816000000003</v>
      </c>
    </row>
    <row r="48" spans="1:6" ht="19.5" customHeight="1">
      <c r="A48" s="162">
        <v>2020900000</v>
      </c>
      <c r="B48" s="166" t="s">
        <v>329</v>
      </c>
      <c r="C48" s="159"/>
      <c r="D48" s="175"/>
      <c r="E48" s="155" t="e">
        <f t="shared" si="2"/>
        <v>#DIV/0!</v>
      </c>
      <c r="F48" s="155">
        <f t="shared" si="3"/>
        <v>0</v>
      </c>
    </row>
    <row r="49" spans="1:6" ht="17.25" customHeight="1">
      <c r="A49" s="153">
        <v>2190500005</v>
      </c>
      <c r="B49" s="158" t="s">
        <v>209</v>
      </c>
      <c r="C49" s="161"/>
      <c r="D49" s="161"/>
      <c r="E49" s="150"/>
      <c r="F49" s="150">
        <f t="shared" si="3"/>
        <v>0</v>
      </c>
    </row>
    <row r="50" spans="1:6" s="139" customFormat="1" ht="17.25" customHeight="1">
      <c r="A50" s="148">
        <v>3000000000</v>
      </c>
      <c r="B50" s="157" t="s">
        <v>210</v>
      </c>
      <c r="C50" s="303">
        <v>0</v>
      </c>
      <c r="D50" s="336">
        <v>0</v>
      </c>
      <c r="E50" s="150" t="e">
        <f>SUM(D50/C50*100)</f>
        <v>#DIV/0!</v>
      </c>
      <c r="F50" s="150">
        <f t="shared" si="3"/>
        <v>0</v>
      </c>
    </row>
    <row r="51" spans="1:6" s="139" customFormat="1" ht="15.75">
      <c r="A51" s="153">
        <v>2070502010</v>
      </c>
      <c r="B51" s="154" t="s">
        <v>28</v>
      </c>
      <c r="C51" s="337">
        <v>223.8277</v>
      </c>
      <c r="D51" s="177">
        <v>230.5365</v>
      </c>
      <c r="E51" s="155">
        <f>SUM(D51/C51*100)</f>
        <v>102.99730551669879</v>
      </c>
      <c r="F51" s="155">
        <f t="shared" si="3"/>
        <v>6.7087999999999965</v>
      </c>
    </row>
    <row r="52" spans="1:8" s="139" customFormat="1" ht="15.75">
      <c r="A52" s="148"/>
      <c r="B52" s="149" t="s">
        <v>211</v>
      </c>
      <c r="C52" s="288">
        <f>SUM(C40,C41,C50)</f>
        <v>18487.458169999998</v>
      </c>
      <c r="D52" s="279">
        <f>D40+D41</f>
        <v>12922.92228</v>
      </c>
      <c r="E52" s="150">
        <f>SUM(D52/C52*100)</f>
        <v>69.90102241837826</v>
      </c>
      <c r="F52" s="150">
        <f t="shared" si="3"/>
        <v>-5564.535889999997</v>
      </c>
      <c r="G52" s="141"/>
      <c r="H52" s="186"/>
    </row>
    <row r="53" spans="1:6" s="139" customFormat="1" ht="15.75">
      <c r="A53" s="148"/>
      <c r="B53" s="188" t="s">
        <v>212</v>
      </c>
      <c r="C53" s="338">
        <f>C52-C99</f>
        <v>-252.92273000000205</v>
      </c>
      <c r="D53" s="338">
        <f>D52-D99</f>
        <v>439.51614000000154</v>
      </c>
      <c r="E53" s="190"/>
      <c r="F53" s="190"/>
    </row>
    <row r="54" spans="1:6" ht="9" customHeight="1">
      <c r="A54" s="191"/>
      <c r="B54" s="192"/>
      <c r="C54" s="261"/>
      <c r="D54" s="262"/>
      <c r="E54" s="194"/>
      <c r="F54" s="243"/>
    </row>
    <row r="55" spans="1:6" ht="55.5" customHeight="1">
      <c r="A55" s="196" t="s">
        <v>141</v>
      </c>
      <c r="B55" s="196" t="s">
        <v>213</v>
      </c>
      <c r="C55" s="145" t="s">
        <v>143</v>
      </c>
      <c r="D55" s="146" t="s">
        <v>426</v>
      </c>
      <c r="E55" s="145" t="s">
        <v>144</v>
      </c>
      <c r="F55" s="147" t="s">
        <v>145</v>
      </c>
    </row>
    <row r="56" spans="1:6" ht="15.75">
      <c r="A56" s="245">
        <v>1</v>
      </c>
      <c r="B56" s="196">
        <v>2</v>
      </c>
      <c r="C56" s="199">
        <v>3</v>
      </c>
      <c r="D56" s="199">
        <v>4</v>
      </c>
      <c r="E56" s="199">
        <v>5</v>
      </c>
      <c r="F56" s="199">
        <v>6</v>
      </c>
    </row>
    <row r="57" spans="1:6" s="139" customFormat="1" ht="18" customHeight="1">
      <c r="A57" s="200" t="s">
        <v>33</v>
      </c>
      <c r="B57" s="201" t="s">
        <v>214</v>
      </c>
      <c r="C57" s="281">
        <f>C58+C59+C60+C61+C62+C64+C63</f>
        <v>1831.36623</v>
      </c>
      <c r="D57" s="290">
        <f>D58+D59+D60+D61+D62+D64+D63</f>
        <v>1817.02788</v>
      </c>
      <c r="E57" s="202">
        <f>SUM(D57/C57*100)</f>
        <v>99.21706812296087</v>
      </c>
      <c r="F57" s="202">
        <f>SUM(D57-C57)</f>
        <v>-14.338349999999991</v>
      </c>
    </row>
    <row r="58" spans="1:6" s="139" customFormat="1" ht="15" customHeight="1" hidden="1">
      <c r="A58" s="203" t="s">
        <v>215</v>
      </c>
      <c r="B58" s="204" t="s">
        <v>216</v>
      </c>
      <c r="C58" s="283"/>
      <c r="D58" s="283"/>
      <c r="E58" s="205"/>
      <c r="F58" s="205"/>
    </row>
    <row r="59" spans="1:6" ht="15.75" customHeight="1">
      <c r="A59" s="203" t="s">
        <v>217</v>
      </c>
      <c r="B59" s="206" t="s">
        <v>218</v>
      </c>
      <c r="C59" s="283">
        <v>1705.2</v>
      </c>
      <c r="D59" s="283">
        <v>1700.86165</v>
      </c>
      <c r="E59" s="205">
        <f>SUM(D59/C59*100)</f>
        <v>99.74558116349989</v>
      </c>
      <c r="F59" s="205">
        <f aca="true" t="shared" si="4" ref="F59:F88">SUM(D59-C59)</f>
        <v>-4.338349999999991</v>
      </c>
    </row>
    <row r="60" spans="1:6" ht="16.5" customHeight="1" hidden="1">
      <c r="A60" s="203" t="s">
        <v>219</v>
      </c>
      <c r="B60" s="206" t="s">
        <v>220</v>
      </c>
      <c r="C60" s="283"/>
      <c r="D60" s="283"/>
      <c r="E60" s="205"/>
      <c r="F60" s="205">
        <f t="shared" si="4"/>
        <v>0</v>
      </c>
    </row>
    <row r="61" spans="1:6" ht="31.5" customHeight="1" hidden="1">
      <c r="A61" s="203" t="s">
        <v>221</v>
      </c>
      <c r="B61" s="206" t="s">
        <v>222</v>
      </c>
      <c r="C61" s="283"/>
      <c r="D61" s="283"/>
      <c r="E61" s="205" t="e">
        <f aca="true" t="shared" si="5" ref="E61:E87">SUM(D61/C61*100)</f>
        <v>#DIV/0!</v>
      </c>
      <c r="F61" s="205">
        <f t="shared" si="4"/>
        <v>0</v>
      </c>
    </row>
    <row r="62" spans="1:6" ht="15" customHeight="1">
      <c r="A62" s="203" t="s">
        <v>223</v>
      </c>
      <c r="B62" s="206" t="s">
        <v>224</v>
      </c>
      <c r="C62" s="283">
        <v>11.02</v>
      </c>
      <c r="D62" s="283">
        <v>11.02</v>
      </c>
      <c r="E62" s="205">
        <f t="shared" si="5"/>
        <v>100</v>
      </c>
      <c r="F62" s="205">
        <f t="shared" si="4"/>
        <v>0</v>
      </c>
    </row>
    <row r="63" spans="1:6" ht="15.75" customHeight="1">
      <c r="A63" s="203" t="s">
        <v>225</v>
      </c>
      <c r="B63" s="206" t="s">
        <v>226</v>
      </c>
      <c r="C63" s="293">
        <v>10</v>
      </c>
      <c r="D63" s="293">
        <v>0</v>
      </c>
      <c r="E63" s="205">
        <f t="shared" si="5"/>
        <v>0</v>
      </c>
      <c r="F63" s="205">
        <f t="shared" si="4"/>
        <v>-10</v>
      </c>
    </row>
    <row r="64" spans="1:6" ht="15" customHeight="1">
      <c r="A64" s="203" t="s">
        <v>227</v>
      </c>
      <c r="B64" s="206" t="s">
        <v>228</v>
      </c>
      <c r="C64" s="283">
        <v>105.14623</v>
      </c>
      <c r="D64" s="283">
        <v>105.14623</v>
      </c>
      <c r="E64" s="205">
        <f t="shared" si="5"/>
        <v>100</v>
      </c>
      <c r="F64" s="205">
        <f t="shared" si="4"/>
        <v>0</v>
      </c>
    </row>
    <row r="65" spans="1:6" s="139" customFormat="1" ht="15.75">
      <c r="A65" s="208" t="s">
        <v>35</v>
      </c>
      <c r="B65" s="209" t="s">
        <v>229</v>
      </c>
      <c r="C65" s="281">
        <f>C66</f>
        <v>206.767</v>
      </c>
      <c r="D65" s="281">
        <f>D66</f>
        <v>206.767</v>
      </c>
      <c r="E65" s="202">
        <f t="shared" si="5"/>
        <v>100</v>
      </c>
      <c r="F65" s="202">
        <f t="shared" si="4"/>
        <v>0</v>
      </c>
    </row>
    <row r="66" spans="1:6" ht="15.75">
      <c r="A66" s="210" t="s">
        <v>230</v>
      </c>
      <c r="B66" s="211" t="s">
        <v>231</v>
      </c>
      <c r="C66" s="283">
        <v>206.767</v>
      </c>
      <c r="D66" s="283">
        <v>206.767</v>
      </c>
      <c r="E66" s="205">
        <f t="shared" si="5"/>
        <v>100</v>
      </c>
      <c r="F66" s="205">
        <f t="shared" si="4"/>
        <v>0</v>
      </c>
    </row>
    <row r="67" spans="1:6" s="139" customFormat="1" ht="16.5" customHeight="1">
      <c r="A67" s="200" t="s">
        <v>37</v>
      </c>
      <c r="B67" s="201" t="s">
        <v>232</v>
      </c>
      <c r="C67" s="281">
        <f>C71+C70+C72</f>
        <v>70.33467</v>
      </c>
      <c r="D67" s="281">
        <f>D71+D70+D72</f>
        <v>69.31253000000001</v>
      </c>
      <c r="E67" s="202">
        <f t="shared" si="5"/>
        <v>98.54674799782242</v>
      </c>
      <c r="F67" s="202">
        <f t="shared" si="4"/>
        <v>-1.0221399999999932</v>
      </c>
    </row>
    <row r="68" spans="1:6" ht="15.75" hidden="1">
      <c r="A68" s="203" t="s">
        <v>233</v>
      </c>
      <c r="B68" s="206" t="s">
        <v>234</v>
      </c>
      <c r="C68" s="283"/>
      <c r="D68" s="283"/>
      <c r="E68" s="202" t="e">
        <f t="shared" si="5"/>
        <v>#DIV/0!</v>
      </c>
      <c r="F68" s="202">
        <f t="shared" si="4"/>
        <v>0</v>
      </c>
    </row>
    <row r="69" spans="1:6" ht="15.75" hidden="1">
      <c r="A69" s="212" t="s">
        <v>235</v>
      </c>
      <c r="B69" s="206" t="s">
        <v>317</v>
      </c>
      <c r="C69" s="283"/>
      <c r="D69" s="283"/>
      <c r="E69" s="202" t="e">
        <f t="shared" si="5"/>
        <v>#DIV/0!</v>
      </c>
      <c r="F69" s="202">
        <f t="shared" si="4"/>
        <v>0</v>
      </c>
    </row>
    <row r="70" spans="1:6" ht="17.25" customHeight="1">
      <c r="A70" s="213" t="s">
        <v>237</v>
      </c>
      <c r="B70" s="214" t="s">
        <v>238</v>
      </c>
      <c r="C70" s="300">
        <v>3</v>
      </c>
      <c r="D70" s="283">
        <v>2.81148</v>
      </c>
      <c r="E70" s="202">
        <f t="shared" si="5"/>
        <v>93.716</v>
      </c>
      <c r="F70" s="202">
        <f t="shared" si="4"/>
        <v>-0.18852000000000002</v>
      </c>
    </row>
    <row r="71" spans="1:6" ht="15.75" customHeight="1">
      <c r="A71" s="213" t="s">
        <v>239</v>
      </c>
      <c r="B71" s="214" t="s">
        <v>240</v>
      </c>
      <c r="C71" s="283">
        <v>65.33467</v>
      </c>
      <c r="D71" s="283">
        <v>64.50105</v>
      </c>
      <c r="E71" s="202">
        <f t="shared" si="5"/>
        <v>98.72407712474862</v>
      </c>
      <c r="F71" s="202">
        <f t="shared" si="4"/>
        <v>-0.8336199999999963</v>
      </c>
    </row>
    <row r="72" spans="1:6" ht="15.75" customHeight="1">
      <c r="A72" s="213" t="s">
        <v>241</v>
      </c>
      <c r="B72" s="214" t="s">
        <v>363</v>
      </c>
      <c r="C72" s="283">
        <v>2</v>
      </c>
      <c r="D72" s="283">
        <v>2</v>
      </c>
      <c r="E72" s="202">
        <f t="shared" si="5"/>
        <v>100</v>
      </c>
      <c r="F72" s="202">
        <f t="shared" si="4"/>
        <v>0</v>
      </c>
    </row>
    <row r="73" spans="1:6" s="139" customFormat="1" ht="24" customHeight="1">
      <c r="A73" s="200" t="s">
        <v>39</v>
      </c>
      <c r="B73" s="201" t="s">
        <v>243</v>
      </c>
      <c r="C73" s="251">
        <f>C74+C75+C76+C77</f>
        <v>4430.90056</v>
      </c>
      <c r="D73" s="251">
        <f>SUM(D74:D77)</f>
        <v>4314.56211</v>
      </c>
      <c r="E73" s="202">
        <f t="shared" si="5"/>
        <v>97.37438363997046</v>
      </c>
      <c r="F73" s="202">
        <f t="shared" si="4"/>
        <v>-116.3384500000002</v>
      </c>
    </row>
    <row r="74" spans="1:6" ht="16.5" customHeight="1">
      <c r="A74" s="203" t="s">
        <v>246</v>
      </c>
      <c r="B74" s="206" t="s">
        <v>319</v>
      </c>
      <c r="C74" s="284"/>
      <c r="D74" s="283">
        <v>0</v>
      </c>
      <c r="E74" s="205" t="e">
        <f t="shared" si="5"/>
        <v>#DIV/0!</v>
      </c>
      <c r="F74" s="205">
        <f t="shared" si="4"/>
        <v>0</v>
      </c>
    </row>
    <row r="75" spans="1:7" s="139" customFormat="1" ht="17.25" customHeight="1">
      <c r="A75" s="203" t="s">
        <v>248</v>
      </c>
      <c r="B75" s="206" t="s">
        <v>320</v>
      </c>
      <c r="C75" s="284"/>
      <c r="D75" s="283"/>
      <c r="E75" s="205" t="e">
        <f t="shared" si="5"/>
        <v>#DIV/0!</v>
      </c>
      <c r="F75" s="205">
        <f t="shared" si="4"/>
        <v>0</v>
      </c>
      <c r="G75" s="142"/>
    </row>
    <row r="76" spans="1:6" ht="18" customHeight="1">
      <c r="A76" s="203" t="s">
        <v>250</v>
      </c>
      <c r="B76" s="206" t="s">
        <v>251</v>
      </c>
      <c r="C76" s="284">
        <v>4068.21377</v>
      </c>
      <c r="D76" s="283">
        <v>4031.92636</v>
      </c>
      <c r="E76" s="205">
        <f t="shared" si="5"/>
        <v>99.10802597770078</v>
      </c>
      <c r="F76" s="205">
        <f t="shared" si="4"/>
        <v>-36.28740999999991</v>
      </c>
    </row>
    <row r="77" spans="1:6" ht="15.75">
      <c r="A77" s="203" t="s">
        <v>252</v>
      </c>
      <c r="B77" s="206" t="s">
        <v>253</v>
      </c>
      <c r="C77" s="284">
        <v>362.68679</v>
      </c>
      <c r="D77" s="283">
        <v>282.63575</v>
      </c>
      <c r="E77" s="205">
        <f t="shared" si="5"/>
        <v>77.92832763498224</v>
      </c>
      <c r="F77" s="205">
        <f t="shared" si="4"/>
        <v>-80.05104</v>
      </c>
    </row>
    <row r="78" spans="1:6" s="139" customFormat="1" ht="15.75" customHeight="1">
      <c r="A78" s="200" t="s">
        <v>41</v>
      </c>
      <c r="B78" s="201" t="s">
        <v>254</v>
      </c>
      <c r="C78" s="281">
        <f>SUM(C79:C81)</f>
        <v>9749.46944</v>
      </c>
      <c r="D78" s="281">
        <f>SUM(D79:D81)</f>
        <v>3634.46985</v>
      </c>
      <c r="E78" s="202">
        <f t="shared" si="5"/>
        <v>37.27864241605336</v>
      </c>
      <c r="F78" s="202">
        <f t="shared" si="4"/>
        <v>-6114.999590000001</v>
      </c>
    </row>
    <row r="79" spans="1:6" ht="15.75" hidden="1">
      <c r="A79" s="203" t="s">
        <v>255</v>
      </c>
      <c r="B79" s="217" t="s">
        <v>256</v>
      </c>
      <c r="C79" s="283">
        <v>0</v>
      </c>
      <c r="D79" s="283">
        <v>0</v>
      </c>
      <c r="E79" s="205" t="e">
        <f t="shared" si="5"/>
        <v>#DIV/0!</v>
      </c>
      <c r="F79" s="205">
        <f t="shared" si="4"/>
        <v>0</v>
      </c>
    </row>
    <row r="80" spans="1:6" ht="15.75" customHeight="1">
      <c r="A80" s="203" t="s">
        <v>257</v>
      </c>
      <c r="B80" s="217" t="s">
        <v>258</v>
      </c>
      <c r="C80" s="283">
        <v>466.57531</v>
      </c>
      <c r="D80" s="283">
        <v>445.33592</v>
      </c>
      <c r="E80" s="205">
        <f t="shared" si="5"/>
        <v>95.44781098682654</v>
      </c>
      <c r="F80" s="205">
        <f t="shared" si="4"/>
        <v>-21.239390000000014</v>
      </c>
    </row>
    <row r="81" spans="1:6" ht="15.75">
      <c r="A81" s="203" t="s">
        <v>259</v>
      </c>
      <c r="B81" s="206" t="s">
        <v>260</v>
      </c>
      <c r="C81" s="283">
        <v>9282.89413</v>
      </c>
      <c r="D81" s="283">
        <v>3189.13393</v>
      </c>
      <c r="E81" s="205">
        <f t="shared" si="5"/>
        <v>34.35495315726497</v>
      </c>
      <c r="F81" s="205">
        <f t="shared" si="4"/>
        <v>-6093.760200000001</v>
      </c>
    </row>
    <row r="82" spans="1:6" s="139" customFormat="1" ht="15.75">
      <c r="A82" s="200" t="s">
        <v>47</v>
      </c>
      <c r="B82" s="201" t="s">
        <v>275</v>
      </c>
      <c r="C82" s="281">
        <f>C83</f>
        <v>2439.543</v>
      </c>
      <c r="D82" s="281">
        <f>SUM(D83)</f>
        <v>2429.26677</v>
      </c>
      <c r="E82" s="202">
        <f t="shared" si="5"/>
        <v>99.57876413738147</v>
      </c>
      <c r="F82" s="202">
        <f t="shared" si="4"/>
        <v>-10.276229999999941</v>
      </c>
    </row>
    <row r="83" spans="1:6" ht="18.75" customHeight="1">
      <c r="A83" s="203" t="s">
        <v>276</v>
      </c>
      <c r="B83" s="206" t="s">
        <v>277</v>
      </c>
      <c r="C83" s="283">
        <v>2439.543</v>
      </c>
      <c r="D83" s="283">
        <v>2429.26677</v>
      </c>
      <c r="E83" s="205">
        <f t="shared" si="5"/>
        <v>99.57876413738147</v>
      </c>
      <c r="F83" s="205">
        <f t="shared" si="4"/>
        <v>-10.276229999999941</v>
      </c>
    </row>
    <row r="84" spans="1:6" s="139" customFormat="1" ht="0.75" customHeight="1" hidden="1">
      <c r="A84" s="218">
        <v>1000</v>
      </c>
      <c r="B84" s="201" t="s">
        <v>280</v>
      </c>
      <c r="C84" s="281">
        <f>SUM(C85:C88)</f>
        <v>0</v>
      </c>
      <c r="D84" s="281">
        <f>SUM(D85:D88)</f>
        <v>0</v>
      </c>
      <c r="E84" s="202" t="e">
        <f t="shared" si="5"/>
        <v>#DIV/0!</v>
      </c>
      <c r="F84" s="202">
        <f t="shared" si="4"/>
        <v>0</v>
      </c>
    </row>
    <row r="85" spans="1:6" ht="15" customHeight="1" hidden="1">
      <c r="A85" s="219">
        <v>1001</v>
      </c>
      <c r="B85" s="220" t="s">
        <v>281</v>
      </c>
      <c r="C85" s="283"/>
      <c r="D85" s="283"/>
      <c r="E85" s="205" t="e">
        <f t="shared" si="5"/>
        <v>#DIV/0!</v>
      </c>
      <c r="F85" s="205">
        <f t="shared" si="4"/>
        <v>0</v>
      </c>
    </row>
    <row r="86" spans="1:6" ht="14.25" customHeight="1" hidden="1">
      <c r="A86" s="219">
        <v>1003</v>
      </c>
      <c r="B86" s="220" t="s">
        <v>282</v>
      </c>
      <c r="C86" s="283">
        <v>0</v>
      </c>
      <c r="D86" s="283">
        <v>0</v>
      </c>
      <c r="E86" s="205" t="e">
        <f t="shared" si="5"/>
        <v>#DIV/0!</v>
      </c>
      <c r="F86" s="205">
        <f t="shared" si="4"/>
        <v>0</v>
      </c>
    </row>
    <row r="87" spans="1:6" ht="1.5" customHeight="1" hidden="1">
      <c r="A87" s="219">
        <v>1004</v>
      </c>
      <c r="B87" s="220" t="s">
        <v>283</v>
      </c>
      <c r="C87" s="283"/>
      <c r="D87" s="285"/>
      <c r="E87" s="205" t="e">
        <f t="shared" si="5"/>
        <v>#DIV/0!</v>
      </c>
      <c r="F87" s="205">
        <f t="shared" si="4"/>
        <v>0</v>
      </c>
    </row>
    <row r="88" spans="1:6" ht="10.5" customHeight="1" hidden="1">
      <c r="A88" s="203" t="s">
        <v>284</v>
      </c>
      <c r="B88" s="206" t="s">
        <v>285</v>
      </c>
      <c r="C88" s="283"/>
      <c r="D88" s="283"/>
      <c r="E88" s="205"/>
      <c r="F88" s="205">
        <f t="shared" si="4"/>
        <v>0</v>
      </c>
    </row>
    <row r="89" spans="1:6" ht="15.75">
      <c r="A89" s="200" t="s">
        <v>51</v>
      </c>
      <c r="B89" s="201" t="s">
        <v>286</v>
      </c>
      <c r="C89" s="281">
        <f>C90+C91+C92+C93+C94</f>
        <v>12</v>
      </c>
      <c r="D89" s="281">
        <f>D90+D91+D92+D93+D94</f>
        <v>12</v>
      </c>
      <c r="E89" s="205">
        <f aca="true" t="shared" si="6" ref="E89:E99">SUM(D89/C89*100)</f>
        <v>100</v>
      </c>
      <c r="F89" s="190">
        <f>F90+F91+F92+F93+F94</f>
        <v>0</v>
      </c>
    </row>
    <row r="90" spans="1:6" ht="17.25" customHeight="1">
      <c r="A90" s="203" t="s">
        <v>287</v>
      </c>
      <c r="B90" s="206" t="s">
        <v>288</v>
      </c>
      <c r="C90" s="283">
        <v>12</v>
      </c>
      <c r="D90" s="283">
        <v>12</v>
      </c>
      <c r="E90" s="205">
        <f t="shared" si="6"/>
        <v>100</v>
      </c>
      <c r="F90" s="205">
        <f>SUM(D90-C90)</f>
        <v>0</v>
      </c>
    </row>
    <row r="91" spans="1:6" ht="15.75" customHeight="1" hidden="1">
      <c r="A91" s="203" t="s">
        <v>289</v>
      </c>
      <c r="B91" s="206" t="s">
        <v>290</v>
      </c>
      <c r="C91" s="283"/>
      <c r="D91" s="283"/>
      <c r="E91" s="205" t="e">
        <f t="shared" si="6"/>
        <v>#DIV/0!</v>
      </c>
      <c r="F91" s="205">
        <f>SUM(D91-C91)</f>
        <v>0</v>
      </c>
    </row>
    <row r="92" spans="1:6" ht="15.75" customHeight="1" hidden="1">
      <c r="A92" s="203" t="s">
        <v>291</v>
      </c>
      <c r="B92" s="206" t="s">
        <v>292</v>
      </c>
      <c r="C92" s="283"/>
      <c r="D92" s="283"/>
      <c r="E92" s="205" t="e">
        <f t="shared" si="6"/>
        <v>#DIV/0!</v>
      </c>
      <c r="F92" s="205"/>
    </row>
    <row r="93" spans="1:6" ht="15.75" customHeight="1" hidden="1">
      <c r="A93" s="203" t="s">
        <v>293</v>
      </c>
      <c r="B93" s="206" t="s">
        <v>294</v>
      </c>
      <c r="C93" s="283"/>
      <c r="D93" s="283"/>
      <c r="E93" s="205" t="e">
        <f t="shared" si="6"/>
        <v>#DIV/0!</v>
      </c>
      <c r="F93" s="205"/>
    </row>
    <row r="94" spans="1:6" ht="15.75" customHeight="1" hidden="1">
      <c r="A94" s="203" t="s">
        <v>295</v>
      </c>
      <c r="B94" s="206" t="s">
        <v>296</v>
      </c>
      <c r="C94" s="283"/>
      <c r="D94" s="283"/>
      <c r="E94" s="205" t="e">
        <f t="shared" si="6"/>
        <v>#DIV/0!</v>
      </c>
      <c r="F94" s="205"/>
    </row>
    <row r="95" spans="1:6" s="139" customFormat="1" ht="15.75" customHeight="1" hidden="1">
      <c r="A95" s="218">
        <v>1400</v>
      </c>
      <c r="B95" s="222" t="s">
        <v>303</v>
      </c>
      <c r="C95" s="251">
        <f>C96+C97+C98</f>
        <v>0</v>
      </c>
      <c r="D95" s="251">
        <f>SUM(D96:D98)</f>
        <v>0</v>
      </c>
      <c r="E95" s="202" t="e">
        <f t="shared" si="6"/>
        <v>#DIV/0!</v>
      </c>
      <c r="F95" s="202">
        <f>SUM(D95-C95)</f>
        <v>0</v>
      </c>
    </row>
    <row r="96" spans="1:6" ht="15.75" hidden="1">
      <c r="A96" s="219">
        <v>1401</v>
      </c>
      <c r="B96" s="220" t="s">
        <v>304</v>
      </c>
      <c r="C96" s="284"/>
      <c r="D96" s="283"/>
      <c r="E96" s="205" t="e">
        <f t="shared" si="6"/>
        <v>#DIV/0!</v>
      </c>
      <c r="F96" s="205">
        <f>SUM(D96-C96)</f>
        <v>0</v>
      </c>
    </row>
    <row r="97" spans="1:6" ht="15.75" hidden="1">
      <c r="A97" s="219">
        <v>1402</v>
      </c>
      <c r="B97" s="220" t="s">
        <v>305</v>
      </c>
      <c r="C97" s="284"/>
      <c r="D97" s="283"/>
      <c r="E97" s="205" t="e">
        <f t="shared" si="6"/>
        <v>#DIV/0!</v>
      </c>
      <c r="F97" s="205">
        <f>SUM(D97-C97)</f>
        <v>0</v>
      </c>
    </row>
    <row r="98" spans="1:6" ht="16.5" customHeight="1" hidden="1">
      <c r="A98" s="219">
        <v>1403</v>
      </c>
      <c r="B98" s="220" t="s">
        <v>306</v>
      </c>
      <c r="C98" s="284">
        <v>0</v>
      </c>
      <c r="D98" s="283">
        <v>0</v>
      </c>
      <c r="E98" s="205" t="e">
        <f t="shared" si="6"/>
        <v>#DIV/0!</v>
      </c>
      <c r="F98" s="205">
        <f>SUM(D98-C98)</f>
        <v>0</v>
      </c>
    </row>
    <row r="99" spans="1:8" s="139" customFormat="1" ht="20.25" customHeight="1">
      <c r="A99" s="218"/>
      <c r="B99" s="223" t="s">
        <v>307</v>
      </c>
      <c r="C99" s="310">
        <f>C57+C65+C67+C73+C78+C82+C84+C89+C95</f>
        <v>18740.3809</v>
      </c>
      <c r="D99" s="310">
        <f>D57+D65+D67+D73+D78+D82+D84+D89+D95</f>
        <v>12483.40614</v>
      </c>
      <c r="E99" s="202">
        <f t="shared" si="6"/>
        <v>66.61233945357002</v>
      </c>
      <c r="F99" s="202">
        <f>SUM(D99-C99)</f>
        <v>-6256.974760000001</v>
      </c>
      <c r="G99" s="186"/>
      <c r="H99" s="280"/>
    </row>
    <row r="100" spans="3:4" ht="13.5" customHeight="1">
      <c r="C100" s="339"/>
      <c r="D100" s="252"/>
    </row>
    <row r="101" spans="1:4" s="143" customFormat="1" ht="12.75">
      <c r="A101" s="228" t="s">
        <v>308</v>
      </c>
      <c r="B101" s="228"/>
      <c r="C101" s="298"/>
      <c r="D101" s="298"/>
    </row>
    <row r="102" spans="1:3" s="143" customFormat="1" ht="12.75">
      <c r="A102" s="230" t="s">
        <v>309</v>
      </c>
      <c r="B102" s="230"/>
      <c r="C102" s="297" t="s">
        <v>310</v>
      </c>
    </row>
    <row r="104" ht="5.25" customHeight="1"/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="70" zoomScaleSheetLayoutView="70" zoomScalePageLayoutView="0" workbookViewId="0" topLeftCell="A25">
      <selection activeCell="D87" sqref="D87"/>
    </sheetView>
  </sheetViews>
  <sheetFormatPr defaultColWidth="9.140625" defaultRowHeight="12.75"/>
  <cols>
    <col min="1" max="1" width="14.7109375" style="135" customWidth="1"/>
    <col min="2" max="2" width="58.8515625" style="136" customWidth="1"/>
    <col min="3" max="3" width="19.421875" style="137" customWidth="1"/>
    <col min="4" max="4" width="17.00390625" style="137" customWidth="1"/>
    <col min="5" max="5" width="10.8515625" style="137" customWidth="1"/>
    <col min="6" max="6" width="13.7109375" style="137" customWidth="1"/>
    <col min="7" max="7" width="15.421875" style="138" customWidth="1"/>
    <col min="8" max="16384" width="9.140625" style="138" customWidth="1"/>
  </cols>
  <sheetData>
    <row r="1" spans="1:6" ht="19.5" customHeight="1">
      <c r="A1" s="469" t="s">
        <v>441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47.25" customHeight="1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7.25" customHeight="1">
      <c r="A4" s="148"/>
      <c r="B4" s="149" t="s">
        <v>7</v>
      </c>
      <c r="C4" s="150">
        <f>C5+C12+C14+C17+C7</f>
        <v>1909.85</v>
      </c>
      <c r="D4" s="150">
        <f>D5+D12+D14+D17+D7</f>
        <v>1514.73511</v>
      </c>
      <c r="E4" s="150">
        <f aca="true" t="shared" si="0" ref="E4:E36">SUM(D4/C4*100)</f>
        <v>79.31173181139881</v>
      </c>
      <c r="F4" s="150">
        <f aca="true" t="shared" si="1" ref="F4:F36">SUM(D4-C4)</f>
        <v>-395.11488999999983</v>
      </c>
    </row>
    <row r="5" spans="1:6" s="139" customFormat="1" ht="15.75">
      <c r="A5" s="148">
        <v>1010000000</v>
      </c>
      <c r="B5" s="149" t="s">
        <v>146</v>
      </c>
      <c r="C5" s="150">
        <f>C6</f>
        <v>117.6</v>
      </c>
      <c r="D5" s="150">
        <f>D6</f>
        <v>128.27625</v>
      </c>
      <c r="E5" s="150">
        <f t="shared" si="0"/>
        <v>109.07844387755104</v>
      </c>
      <c r="F5" s="150">
        <f t="shared" si="1"/>
        <v>10.67625000000001</v>
      </c>
    </row>
    <row r="6" spans="1:6" ht="15.75">
      <c r="A6" s="153">
        <v>1010200001</v>
      </c>
      <c r="B6" s="154" t="s">
        <v>147</v>
      </c>
      <c r="C6" s="155">
        <v>117.6</v>
      </c>
      <c r="D6" s="156">
        <v>128.27625</v>
      </c>
      <c r="E6" s="155">
        <f t="shared" si="0"/>
        <v>109.07844387755104</v>
      </c>
      <c r="F6" s="155">
        <f t="shared" si="1"/>
        <v>10.67625000000001</v>
      </c>
    </row>
    <row r="7" spans="1:6" ht="31.5">
      <c r="A7" s="148">
        <v>1030000000</v>
      </c>
      <c r="B7" s="157" t="s">
        <v>148</v>
      </c>
      <c r="C7" s="150">
        <f>C8+C10+C9</f>
        <v>477.25</v>
      </c>
      <c r="D7" s="150">
        <f>D8+D10+D9+D11</f>
        <v>536.12872</v>
      </c>
      <c r="E7" s="150">
        <f t="shared" si="0"/>
        <v>112.3370811943426</v>
      </c>
      <c r="F7" s="150">
        <f t="shared" si="1"/>
        <v>58.878720000000044</v>
      </c>
    </row>
    <row r="8" spans="1:6" ht="15.75">
      <c r="A8" s="153">
        <v>1030223001</v>
      </c>
      <c r="B8" s="154" t="s">
        <v>149</v>
      </c>
      <c r="C8" s="155">
        <v>178.01</v>
      </c>
      <c r="D8" s="156">
        <v>247.50897</v>
      </c>
      <c r="E8" s="155">
        <f t="shared" si="0"/>
        <v>139.0421717881018</v>
      </c>
      <c r="F8" s="155">
        <f t="shared" si="1"/>
        <v>69.49897000000001</v>
      </c>
    </row>
    <row r="9" spans="1:6" ht="15.75">
      <c r="A9" s="153">
        <v>1030224001</v>
      </c>
      <c r="B9" s="154" t="s">
        <v>150</v>
      </c>
      <c r="C9" s="155">
        <v>1.91</v>
      </c>
      <c r="D9" s="156">
        <v>1.74066</v>
      </c>
      <c r="E9" s="155">
        <f t="shared" si="0"/>
        <v>91.13403141361258</v>
      </c>
      <c r="F9" s="155">
        <f t="shared" si="1"/>
        <v>-0.16933999999999982</v>
      </c>
    </row>
    <row r="10" spans="1:6" ht="15.75">
      <c r="A10" s="153">
        <v>1030225001</v>
      </c>
      <c r="B10" s="154" t="s">
        <v>151</v>
      </c>
      <c r="C10" s="155">
        <v>297.33</v>
      </c>
      <c r="D10" s="156">
        <v>329.08573</v>
      </c>
      <c r="E10" s="155">
        <f t="shared" si="0"/>
        <v>110.68029798540344</v>
      </c>
      <c r="F10" s="155">
        <f t="shared" si="1"/>
        <v>31.755730000000028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-42.20664</v>
      </c>
      <c r="E11" s="155" t="e">
        <f t="shared" si="0"/>
        <v>#DIV/0!</v>
      </c>
      <c r="F11" s="155">
        <f t="shared" si="1"/>
        <v>-42.20664</v>
      </c>
    </row>
    <row r="12" spans="1:6" s="139" customFormat="1" ht="15.75">
      <c r="A12" s="148">
        <v>1050000000</v>
      </c>
      <c r="B12" s="149" t="s">
        <v>153</v>
      </c>
      <c r="C12" s="150">
        <f>SUM(C13:C13)</f>
        <v>10</v>
      </c>
      <c r="D12" s="150">
        <f>SUM(D13:D13)</f>
        <v>0.26730000000000004</v>
      </c>
      <c r="E12" s="150">
        <f t="shared" si="0"/>
        <v>2.6730000000000005</v>
      </c>
      <c r="F12" s="150">
        <f t="shared" si="1"/>
        <v>-9.7327</v>
      </c>
    </row>
    <row r="13" spans="1:6" ht="15.75" customHeight="1">
      <c r="A13" s="153">
        <v>1050300000</v>
      </c>
      <c r="B13" s="158" t="s">
        <v>156</v>
      </c>
      <c r="C13" s="159">
        <v>10</v>
      </c>
      <c r="D13" s="156">
        <v>0.26730000000000004</v>
      </c>
      <c r="E13" s="155">
        <f t="shared" si="0"/>
        <v>2.6730000000000005</v>
      </c>
      <c r="F13" s="155">
        <f t="shared" si="1"/>
        <v>-9.7327</v>
      </c>
    </row>
    <row r="14" spans="1:6" s="139" customFormat="1" ht="15.75" customHeight="1">
      <c r="A14" s="148">
        <v>1060000000</v>
      </c>
      <c r="B14" s="149" t="s">
        <v>158</v>
      </c>
      <c r="C14" s="150">
        <f>C15+C16</f>
        <v>1300</v>
      </c>
      <c r="D14" s="150">
        <f>D15+D16</f>
        <v>846.11284</v>
      </c>
      <c r="E14" s="150">
        <f t="shared" si="0"/>
        <v>65.08560307692308</v>
      </c>
      <c r="F14" s="150">
        <f t="shared" si="1"/>
        <v>-453.88716</v>
      </c>
    </row>
    <row r="15" spans="1:6" s="139" customFormat="1" ht="15.75" customHeight="1">
      <c r="A15" s="153">
        <v>1060100000</v>
      </c>
      <c r="B15" s="158" t="s">
        <v>159</v>
      </c>
      <c r="C15" s="155">
        <v>380</v>
      </c>
      <c r="D15" s="156">
        <v>242.10605</v>
      </c>
      <c r="E15" s="155">
        <f t="shared" si="0"/>
        <v>63.71211842105263</v>
      </c>
      <c r="F15" s="155">
        <f t="shared" si="1"/>
        <v>-137.89395</v>
      </c>
    </row>
    <row r="16" spans="1:6" ht="15.75" customHeight="1">
      <c r="A16" s="153">
        <v>1060600000</v>
      </c>
      <c r="B16" s="158" t="s">
        <v>162</v>
      </c>
      <c r="C16" s="155">
        <v>920</v>
      </c>
      <c r="D16" s="156">
        <v>604.00679</v>
      </c>
      <c r="E16" s="155">
        <f t="shared" si="0"/>
        <v>65.65291195652175</v>
      </c>
      <c r="F16" s="155">
        <f t="shared" si="1"/>
        <v>-315.99321</v>
      </c>
    </row>
    <row r="17" spans="1:6" s="139" customFormat="1" ht="15.75">
      <c r="A17" s="148">
        <v>1080000000</v>
      </c>
      <c r="B17" s="149" t="s">
        <v>165</v>
      </c>
      <c r="C17" s="150">
        <f>C18</f>
        <v>5</v>
      </c>
      <c r="D17" s="150">
        <f>D18</f>
        <v>3.95</v>
      </c>
      <c r="E17" s="150">
        <f t="shared" si="0"/>
        <v>79</v>
      </c>
      <c r="F17" s="150">
        <f t="shared" si="1"/>
        <v>-1.0499999999999998</v>
      </c>
    </row>
    <row r="18" spans="1:6" ht="15.75">
      <c r="A18" s="153">
        <v>1080400001</v>
      </c>
      <c r="B18" s="154" t="s">
        <v>167</v>
      </c>
      <c r="C18" s="155">
        <v>5</v>
      </c>
      <c r="D18" s="156">
        <v>3.95</v>
      </c>
      <c r="E18" s="155">
        <f t="shared" si="0"/>
        <v>79</v>
      </c>
      <c r="F18" s="155">
        <f t="shared" si="1"/>
        <v>-1.0499999999999998</v>
      </c>
    </row>
    <row r="19" spans="1:6" ht="47.2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31.5" hidden="1">
      <c r="A20" s="148">
        <v>1090000000</v>
      </c>
      <c r="B20" s="157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15.75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15.75" hidden="1">
      <c r="A22" s="153">
        <v>1090400000</v>
      </c>
      <c r="B22" s="154" t="s">
        <v>341</v>
      </c>
      <c r="C22" s="150"/>
      <c r="D22" s="161"/>
      <c r="E22" s="155" t="e">
        <f t="shared" si="0"/>
        <v>#DIV/0!</v>
      </c>
      <c r="F22" s="155">
        <f t="shared" si="1"/>
        <v>0</v>
      </c>
    </row>
    <row r="23" spans="1:6" s="140" customFormat="1" ht="15.75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15.75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5" customHeight="1">
      <c r="A25" s="148"/>
      <c r="B25" s="149" t="s">
        <v>17</v>
      </c>
      <c r="C25" s="150">
        <f>C26+C29+C31+C34</f>
        <v>400</v>
      </c>
      <c r="D25" s="150">
        <f>D26+D29+D31+D34+D36</f>
        <v>489.51722</v>
      </c>
      <c r="E25" s="150">
        <f t="shared" si="0"/>
        <v>122.379305</v>
      </c>
      <c r="F25" s="150">
        <f t="shared" si="1"/>
        <v>89.51722000000001</v>
      </c>
    </row>
    <row r="26" spans="1:6" s="139" customFormat="1" ht="32.25" customHeight="1">
      <c r="A26" s="148">
        <v>1110000000</v>
      </c>
      <c r="B26" s="157" t="s">
        <v>174</v>
      </c>
      <c r="C26" s="150">
        <f>C27+C28</f>
        <v>400</v>
      </c>
      <c r="D26" s="150">
        <f>D27</f>
        <v>489.21202</v>
      </c>
      <c r="E26" s="150">
        <f t="shared" si="0"/>
        <v>122.303005</v>
      </c>
      <c r="F26" s="150">
        <f t="shared" si="1"/>
        <v>89.21202</v>
      </c>
    </row>
    <row r="27" spans="1:6" ht="15" customHeight="1">
      <c r="A27" s="162">
        <v>1110502510</v>
      </c>
      <c r="B27" s="163" t="s">
        <v>177</v>
      </c>
      <c r="C27" s="159">
        <v>400</v>
      </c>
      <c r="D27" s="156">
        <v>489.21202</v>
      </c>
      <c r="E27" s="150">
        <f t="shared" si="0"/>
        <v>122.303005</v>
      </c>
      <c r="F27" s="155">
        <f t="shared" si="1"/>
        <v>89.21202</v>
      </c>
    </row>
    <row r="28" spans="1:6" ht="19.5" customHeight="1" hidden="1">
      <c r="A28" s="153">
        <v>1110503505</v>
      </c>
      <c r="B28" s="158" t="s">
        <v>178</v>
      </c>
      <c r="C28" s="159">
        <v>0</v>
      </c>
      <c r="D28" s="156"/>
      <c r="E28" s="155" t="e">
        <f t="shared" si="0"/>
        <v>#DIV/0!</v>
      </c>
      <c r="F28" s="155">
        <f t="shared" si="1"/>
        <v>0</v>
      </c>
    </row>
    <row r="29" spans="1:6" s="140" customFormat="1" ht="31.5" hidden="1">
      <c r="A29" s="148">
        <v>1130000000</v>
      </c>
      <c r="B29" s="157" t="s">
        <v>185</v>
      </c>
      <c r="C29" s="150">
        <f>C30</f>
        <v>0</v>
      </c>
      <c r="D29" s="150">
        <f>D30</f>
        <v>0</v>
      </c>
      <c r="E29" s="150" t="e">
        <f t="shared" si="0"/>
        <v>#DIV/0!</v>
      </c>
      <c r="F29" s="150">
        <f t="shared" si="1"/>
        <v>0</v>
      </c>
    </row>
    <row r="30" spans="1:6" ht="15.75" hidden="1">
      <c r="A30" s="153">
        <v>1130305005</v>
      </c>
      <c r="B30" s="154" t="s">
        <v>187</v>
      </c>
      <c r="C30" s="155">
        <v>0</v>
      </c>
      <c r="D30" s="156">
        <v>0</v>
      </c>
      <c r="E30" s="155" t="e">
        <f t="shared" si="0"/>
        <v>#DIV/0!</v>
      </c>
      <c r="F30" s="155">
        <f t="shared" si="1"/>
        <v>0</v>
      </c>
    </row>
    <row r="31" spans="1:6" ht="33" customHeight="1" hidden="1">
      <c r="A31" s="340">
        <v>1140000000</v>
      </c>
      <c r="B31" s="341" t="s">
        <v>188</v>
      </c>
      <c r="C31" s="150">
        <f>C33+C32</f>
        <v>0</v>
      </c>
      <c r="D31" s="150">
        <f>D33+D32</f>
        <v>0</v>
      </c>
      <c r="E31" s="150" t="e">
        <f t="shared" si="0"/>
        <v>#DIV/0!</v>
      </c>
      <c r="F31" s="150">
        <f t="shared" si="1"/>
        <v>0</v>
      </c>
    </row>
    <row r="32" spans="1:6" ht="14.25" customHeight="1" hidden="1">
      <c r="A32" s="162">
        <v>1140200000</v>
      </c>
      <c r="B32" s="166" t="s">
        <v>189</v>
      </c>
      <c r="C32" s="155">
        <v>0</v>
      </c>
      <c r="D32" s="156">
        <v>0</v>
      </c>
      <c r="E32" s="155" t="e">
        <f t="shared" si="0"/>
        <v>#DIV/0!</v>
      </c>
      <c r="F32" s="155">
        <f t="shared" si="1"/>
        <v>0</v>
      </c>
    </row>
    <row r="33" spans="1:6" ht="13.5" customHeight="1" hidden="1">
      <c r="A33" s="153">
        <v>1140600000</v>
      </c>
      <c r="B33" s="154" t="s">
        <v>190</v>
      </c>
      <c r="C33" s="155"/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18.75" customHeight="1">
      <c r="A34" s="148">
        <v>1160000000</v>
      </c>
      <c r="B34" s="157" t="s">
        <v>325</v>
      </c>
      <c r="C34" s="150">
        <f>C35+C36</f>
        <v>0</v>
      </c>
      <c r="D34" s="150">
        <f>SUM(D35)</f>
        <v>0.3052</v>
      </c>
      <c r="E34" s="150" t="e">
        <f t="shared" si="0"/>
        <v>#DIV/0!</v>
      </c>
      <c r="F34" s="150">
        <f t="shared" si="1"/>
        <v>0.3052</v>
      </c>
    </row>
    <row r="35" spans="1:6" ht="30.75" customHeight="1">
      <c r="A35" s="153">
        <v>1160701010</v>
      </c>
      <c r="B35" s="154" t="s">
        <v>354</v>
      </c>
      <c r="C35" s="155">
        <v>0</v>
      </c>
      <c r="D35" s="155">
        <v>0.3052</v>
      </c>
      <c r="E35" s="155" t="e">
        <f t="shared" si="0"/>
        <v>#DIV/0!</v>
      </c>
      <c r="F35" s="155">
        <f t="shared" si="1"/>
        <v>0.3052</v>
      </c>
    </row>
    <row r="36" spans="1:6" ht="18" customHeight="1">
      <c r="A36" s="148">
        <v>1170000000</v>
      </c>
      <c r="B36" s="342" t="s">
        <v>200</v>
      </c>
      <c r="C36" s="150">
        <v>0</v>
      </c>
      <c r="D36" s="161">
        <f>SUM(D37)</f>
        <v>0</v>
      </c>
      <c r="E36" s="150" t="e">
        <f t="shared" si="0"/>
        <v>#DIV/0!</v>
      </c>
      <c r="F36" s="150">
        <f t="shared" si="1"/>
        <v>0</v>
      </c>
    </row>
    <row r="37" spans="1:6" ht="18" customHeight="1">
      <c r="A37" s="153">
        <v>1170100000</v>
      </c>
      <c r="B37" s="343" t="s">
        <v>372</v>
      </c>
      <c r="C37" s="155"/>
      <c r="D37" s="156"/>
      <c r="E37" s="155"/>
      <c r="F37" s="155"/>
    </row>
    <row r="38" spans="1:6" s="139" customFormat="1" ht="15" customHeight="1">
      <c r="A38" s="148">
        <v>1000000000</v>
      </c>
      <c r="B38" s="149" t="s">
        <v>26</v>
      </c>
      <c r="C38" s="168">
        <f>SUM(C4,C25)</f>
        <v>2309.85</v>
      </c>
      <c r="D38" s="168">
        <f>D4+D25</f>
        <v>2004.25233</v>
      </c>
      <c r="E38" s="150">
        <f aca="true" t="shared" si="2" ref="E38:E46">SUM(D38/C38*100)</f>
        <v>86.76980453276187</v>
      </c>
      <c r="F38" s="150">
        <f aca="true" t="shared" si="3" ref="F38:F49">SUM(D38-C38)</f>
        <v>-305.5976699999999</v>
      </c>
    </row>
    <row r="39" spans="1:7" s="139" customFormat="1" ht="15.75">
      <c r="A39" s="148">
        <v>2000000000</v>
      </c>
      <c r="B39" s="149" t="s">
        <v>201</v>
      </c>
      <c r="C39" s="150">
        <f>C40+C42+C43+C45+C46+C47+C41</f>
        <v>2585.8079999999995</v>
      </c>
      <c r="D39" s="240">
        <f>D40+D42+D43+D45+D46+D47+D41</f>
        <v>2580.26012</v>
      </c>
      <c r="E39" s="150">
        <f t="shared" si="2"/>
        <v>99.78544888096876</v>
      </c>
      <c r="F39" s="150">
        <f t="shared" si="3"/>
        <v>-5.547879999999623</v>
      </c>
      <c r="G39" s="170"/>
    </row>
    <row r="40" spans="1:6" ht="15.75">
      <c r="A40" s="162">
        <v>2021000000</v>
      </c>
      <c r="B40" s="163" t="s">
        <v>202</v>
      </c>
      <c r="C40" s="159">
        <v>1658.6</v>
      </c>
      <c r="D40" s="324">
        <v>1658.6</v>
      </c>
      <c r="E40" s="155">
        <f t="shared" si="2"/>
        <v>100</v>
      </c>
      <c r="F40" s="155">
        <f t="shared" si="3"/>
        <v>0</v>
      </c>
    </row>
    <row r="41" spans="1:6" ht="15.75" customHeight="1">
      <c r="A41" s="162">
        <v>2021500200</v>
      </c>
      <c r="B41" s="163" t="s">
        <v>205</v>
      </c>
      <c r="C41" s="159"/>
      <c r="D41" s="172">
        <v>0</v>
      </c>
      <c r="E41" s="155" t="e">
        <f t="shared" si="2"/>
        <v>#DIV/0!</v>
      </c>
      <c r="F41" s="155">
        <f t="shared" si="3"/>
        <v>0</v>
      </c>
    </row>
    <row r="42" spans="1:6" ht="15.75">
      <c r="A42" s="162">
        <v>2022000000</v>
      </c>
      <c r="B42" s="163" t="s">
        <v>206</v>
      </c>
      <c r="C42" s="159">
        <v>637.37</v>
      </c>
      <c r="D42" s="156">
        <v>637.37</v>
      </c>
      <c r="E42" s="155">
        <f t="shared" si="2"/>
        <v>100</v>
      </c>
      <c r="F42" s="155">
        <f t="shared" si="3"/>
        <v>0</v>
      </c>
    </row>
    <row r="43" spans="1:6" ht="13.5" customHeight="1">
      <c r="A43" s="162">
        <v>2023000000</v>
      </c>
      <c r="B43" s="163" t="s">
        <v>207</v>
      </c>
      <c r="C43" s="159">
        <v>103.383</v>
      </c>
      <c r="D43" s="174">
        <v>103.383</v>
      </c>
      <c r="E43" s="155">
        <f t="shared" si="2"/>
        <v>100</v>
      </c>
      <c r="F43" s="155">
        <f t="shared" si="3"/>
        <v>0</v>
      </c>
    </row>
    <row r="44" spans="1:6" ht="15.75" hidden="1">
      <c r="A44" s="162">
        <v>2070503010</v>
      </c>
      <c r="B44" s="163" t="s">
        <v>104</v>
      </c>
      <c r="C44" s="159">
        <v>0</v>
      </c>
      <c r="D44" s="174">
        <v>0</v>
      </c>
      <c r="E44" s="155" t="e">
        <f t="shared" si="2"/>
        <v>#DIV/0!</v>
      </c>
      <c r="F44" s="155">
        <f t="shared" si="3"/>
        <v>0</v>
      </c>
    </row>
    <row r="45" spans="1:6" ht="19.5" customHeight="1">
      <c r="A45" s="162">
        <v>2020400000</v>
      </c>
      <c r="B45" s="163" t="s">
        <v>102</v>
      </c>
      <c r="C45" s="159">
        <v>186.455</v>
      </c>
      <c r="D45" s="175">
        <v>183.704</v>
      </c>
      <c r="E45" s="155">
        <f t="shared" si="2"/>
        <v>98.52457697567777</v>
      </c>
      <c r="F45" s="155">
        <f t="shared" si="3"/>
        <v>-2.7510000000000048</v>
      </c>
    </row>
    <row r="46" spans="1:8" ht="18" customHeight="1">
      <c r="A46" s="162">
        <v>2070000000</v>
      </c>
      <c r="B46" s="166" t="s">
        <v>344</v>
      </c>
      <c r="C46" s="159">
        <v>0</v>
      </c>
      <c r="D46" s="175">
        <v>0</v>
      </c>
      <c r="E46" s="155" t="e">
        <f t="shared" si="2"/>
        <v>#DIV/0!</v>
      </c>
      <c r="F46" s="155">
        <f t="shared" si="3"/>
        <v>0</v>
      </c>
      <c r="G46" s="313"/>
      <c r="H46" s="313"/>
    </row>
    <row r="47" spans="1:6" ht="15" customHeight="1">
      <c r="A47" s="153">
        <v>2190500005</v>
      </c>
      <c r="B47" s="158" t="s">
        <v>209</v>
      </c>
      <c r="C47" s="161"/>
      <c r="D47" s="161">
        <v>-2.79688</v>
      </c>
      <c r="E47" s="150"/>
      <c r="F47" s="150">
        <f t="shared" si="3"/>
        <v>-2.79688</v>
      </c>
    </row>
    <row r="48" spans="1:6" s="139" customFormat="1" ht="15.75" customHeight="1">
      <c r="A48" s="148">
        <v>3000000000</v>
      </c>
      <c r="B48" s="157" t="s">
        <v>210</v>
      </c>
      <c r="C48" s="260">
        <v>0</v>
      </c>
      <c r="D48" s="161">
        <v>0</v>
      </c>
      <c r="E48" s="150" t="e">
        <f>SUM(D48/C48*100)</f>
        <v>#DIV/0!</v>
      </c>
      <c r="F48" s="150">
        <f t="shared" si="3"/>
        <v>0</v>
      </c>
    </row>
    <row r="49" spans="1:8" s="139" customFormat="1" ht="15" customHeight="1">
      <c r="A49" s="148"/>
      <c r="B49" s="149" t="s">
        <v>211</v>
      </c>
      <c r="C49" s="344">
        <f>SUM(C38,C39,C48)</f>
        <v>4895.657999999999</v>
      </c>
      <c r="D49" s="279">
        <f>D38+D39</f>
        <v>4584.51245</v>
      </c>
      <c r="E49" s="150">
        <f>SUM(D49/C49*100)</f>
        <v>93.64445902879656</v>
      </c>
      <c r="F49" s="150">
        <f t="shared" si="3"/>
        <v>-311.1455499999993</v>
      </c>
      <c r="G49" s="186"/>
      <c r="H49" s="186"/>
    </row>
    <row r="50" spans="1:6" s="139" customFormat="1" ht="15.75">
      <c r="A50" s="148"/>
      <c r="B50" s="188" t="s">
        <v>212</v>
      </c>
      <c r="C50" s="288">
        <f>C49-C96</f>
        <v>-376.43935000000056</v>
      </c>
      <c r="D50" s="288">
        <f>D49-D96</f>
        <v>-43.86885000000075</v>
      </c>
      <c r="E50" s="190"/>
      <c r="F50" s="190"/>
    </row>
    <row r="51" spans="1:6" ht="8.25" customHeight="1">
      <c r="A51" s="191"/>
      <c r="B51" s="192"/>
      <c r="C51" s="282"/>
      <c r="D51" s="282"/>
      <c r="E51" s="194"/>
      <c r="F51" s="243"/>
    </row>
    <row r="52" spans="1:6" ht="50.25" customHeight="1">
      <c r="A52" s="196" t="s">
        <v>141</v>
      </c>
      <c r="B52" s="196" t="s">
        <v>213</v>
      </c>
      <c r="C52" s="145" t="s">
        <v>143</v>
      </c>
      <c r="D52" s="146" t="s">
        <v>426</v>
      </c>
      <c r="E52" s="145" t="s">
        <v>144</v>
      </c>
      <c r="F52" s="147" t="s">
        <v>145</v>
      </c>
    </row>
    <row r="53" spans="1:6" ht="18" customHeight="1">
      <c r="A53" s="245">
        <v>1</v>
      </c>
      <c r="B53" s="196">
        <v>2</v>
      </c>
      <c r="C53" s="199">
        <v>3</v>
      </c>
      <c r="D53" s="199">
        <v>4</v>
      </c>
      <c r="E53" s="199">
        <v>5</v>
      </c>
      <c r="F53" s="199">
        <v>6</v>
      </c>
    </row>
    <row r="54" spans="1:6" s="139" customFormat="1" ht="15.75">
      <c r="A54" s="200" t="s">
        <v>33</v>
      </c>
      <c r="B54" s="201" t="s">
        <v>214</v>
      </c>
      <c r="C54" s="281">
        <f>C55+C56+C57+C58+C59+C61+C60</f>
        <v>1547.4483100000002</v>
      </c>
      <c r="D54" s="281">
        <f>D55+D56+D57+D58+D59+D61+D60</f>
        <v>1440.1277200000002</v>
      </c>
      <c r="E54" s="202">
        <f>SUM(D54/C54*100)</f>
        <v>93.06467367559436</v>
      </c>
      <c r="F54" s="202">
        <f>SUM(D54-C54)</f>
        <v>-107.32059000000004</v>
      </c>
    </row>
    <row r="55" spans="1:6" s="139" customFormat="1" ht="31.5" hidden="1">
      <c r="A55" s="203" t="s">
        <v>215</v>
      </c>
      <c r="B55" s="204" t="s">
        <v>216</v>
      </c>
      <c r="C55" s="283"/>
      <c r="D55" s="283"/>
      <c r="E55" s="205"/>
      <c r="F55" s="205"/>
    </row>
    <row r="56" spans="1:6" ht="17.25" customHeight="1">
      <c r="A56" s="203" t="s">
        <v>217</v>
      </c>
      <c r="B56" s="206" t="s">
        <v>218</v>
      </c>
      <c r="C56" s="283">
        <v>1468.79231</v>
      </c>
      <c r="D56" s="283">
        <v>1411.47172</v>
      </c>
      <c r="E56" s="205">
        <f>SUM(D56/C56*100)</f>
        <v>96.09743395238772</v>
      </c>
      <c r="F56" s="205">
        <f aca="true" t="shared" si="4" ref="F56:F68">SUM(D56-C56)</f>
        <v>-57.32059000000004</v>
      </c>
    </row>
    <row r="57" spans="1:6" ht="16.5" customHeight="1" hidden="1">
      <c r="A57" s="203" t="s">
        <v>219</v>
      </c>
      <c r="B57" s="206" t="s">
        <v>220</v>
      </c>
      <c r="C57" s="283"/>
      <c r="D57" s="283"/>
      <c r="E57" s="205"/>
      <c r="F57" s="205">
        <f t="shared" si="4"/>
        <v>0</v>
      </c>
    </row>
    <row r="58" spans="1:6" ht="31.5" customHeight="1" hidden="1">
      <c r="A58" s="203" t="s">
        <v>221</v>
      </c>
      <c r="B58" s="206" t="s">
        <v>222</v>
      </c>
      <c r="C58" s="283"/>
      <c r="D58" s="283"/>
      <c r="E58" s="205" t="e">
        <f aca="true" t="shared" si="5" ref="E58:E68">SUM(D58/C58*100)</f>
        <v>#DIV/0!</v>
      </c>
      <c r="F58" s="205">
        <f t="shared" si="4"/>
        <v>0</v>
      </c>
    </row>
    <row r="59" spans="1:6" ht="15" customHeight="1">
      <c r="A59" s="203" t="s">
        <v>223</v>
      </c>
      <c r="B59" s="206" t="s">
        <v>224</v>
      </c>
      <c r="C59" s="283">
        <v>8.9</v>
      </c>
      <c r="D59" s="283">
        <v>8.9</v>
      </c>
      <c r="E59" s="205">
        <f t="shared" si="5"/>
        <v>100</v>
      </c>
      <c r="F59" s="205">
        <f t="shared" si="4"/>
        <v>0</v>
      </c>
    </row>
    <row r="60" spans="1:6" ht="13.5" customHeight="1">
      <c r="A60" s="203" t="s">
        <v>225</v>
      </c>
      <c r="B60" s="206" t="s">
        <v>226</v>
      </c>
      <c r="C60" s="293">
        <v>50</v>
      </c>
      <c r="D60" s="293">
        <v>0</v>
      </c>
      <c r="E60" s="205">
        <f t="shared" si="5"/>
        <v>0</v>
      </c>
      <c r="F60" s="205">
        <f t="shared" si="4"/>
        <v>-50</v>
      </c>
    </row>
    <row r="61" spans="1:6" ht="15.75" customHeight="1">
      <c r="A61" s="203" t="s">
        <v>227</v>
      </c>
      <c r="B61" s="206" t="s">
        <v>228</v>
      </c>
      <c r="C61" s="283">
        <v>19.756</v>
      </c>
      <c r="D61" s="283">
        <v>19.756</v>
      </c>
      <c r="E61" s="205">
        <f t="shared" si="5"/>
        <v>100</v>
      </c>
      <c r="F61" s="205">
        <f t="shared" si="4"/>
        <v>0</v>
      </c>
    </row>
    <row r="62" spans="1:6" s="139" customFormat="1" ht="15.75">
      <c r="A62" s="208" t="s">
        <v>35</v>
      </c>
      <c r="B62" s="209" t="s">
        <v>229</v>
      </c>
      <c r="C62" s="281">
        <f>C63</f>
        <v>103.383</v>
      </c>
      <c r="D62" s="281">
        <f>D63</f>
        <v>103.383</v>
      </c>
      <c r="E62" s="202">
        <f t="shared" si="5"/>
        <v>100</v>
      </c>
      <c r="F62" s="202">
        <f t="shared" si="4"/>
        <v>0</v>
      </c>
    </row>
    <row r="63" spans="1:6" ht="15.75">
      <c r="A63" s="210" t="s">
        <v>230</v>
      </c>
      <c r="B63" s="211" t="s">
        <v>231</v>
      </c>
      <c r="C63" s="283">
        <v>103.383</v>
      </c>
      <c r="D63" s="283">
        <v>103.383</v>
      </c>
      <c r="E63" s="205">
        <f t="shared" si="5"/>
        <v>100</v>
      </c>
      <c r="F63" s="205">
        <f t="shared" si="4"/>
        <v>0</v>
      </c>
    </row>
    <row r="64" spans="1:6" s="139" customFormat="1" ht="16.5" customHeight="1">
      <c r="A64" s="200" t="s">
        <v>37</v>
      </c>
      <c r="B64" s="201" t="s">
        <v>232</v>
      </c>
      <c r="C64" s="281">
        <f>C68+C67+C69</f>
        <v>16.31148</v>
      </c>
      <c r="D64" s="281">
        <f>D68+D67+D69</f>
        <v>14.31148</v>
      </c>
      <c r="E64" s="202">
        <f t="shared" si="5"/>
        <v>87.73869691775363</v>
      </c>
      <c r="F64" s="202">
        <f t="shared" si="4"/>
        <v>-2</v>
      </c>
    </row>
    <row r="65" spans="1:6" ht="15.75" hidden="1">
      <c r="A65" s="203" t="s">
        <v>233</v>
      </c>
      <c r="B65" s="206" t="s">
        <v>234</v>
      </c>
      <c r="C65" s="283"/>
      <c r="D65" s="283"/>
      <c r="E65" s="202" t="e">
        <f t="shared" si="5"/>
        <v>#DIV/0!</v>
      </c>
      <c r="F65" s="202">
        <f t="shared" si="4"/>
        <v>0</v>
      </c>
    </row>
    <row r="66" spans="1:6" ht="19.5" customHeight="1" hidden="1">
      <c r="A66" s="212" t="s">
        <v>235</v>
      </c>
      <c r="B66" s="206" t="s">
        <v>317</v>
      </c>
      <c r="C66" s="283"/>
      <c r="D66" s="283"/>
      <c r="E66" s="202" t="e">
        <f t="shared" si="5"/>
        <v>#DIV/0!</v>
      </c>
      <c r="F66" s="202">
        <f t="shared" si="4"/>
        <v>0</v>
      </c>
    </row>
    <row r="67" spans="1:6" ht="18" customHeight="1">
      <c r="A67" s="213" t="s">
        <v>237</v>
      </c>
      <c r="B67" s="214" t="s">
        <v>238</v>
      </c>
      <c r="C67" s="300">
        <v>2.81148</v>
      </c>
      <c r="D67" s="283">
        <v>2.81148</v>
      </c>
      <c r="E67" s="202">
        <f t="shared" si="5"/>
        <v>100</v>
      </c>
      <c r="F67" s="202">
        <f t="shared" si="4"/>
        <v>0</v>
      </c>
    </row>
    <row r="68" spans="1:6" ht="15.75" customHeight="1">
      <c r="A68" s="213" t="s">
        <v>239</v>
      </c>
      <c r="B68" s="214" t="s">
        <v>240</v>
      </c>
      <c r="C68" s="283">
        <v>11.5</v>
      </c>
      <c r="D68" s="283">
        <v>9.5</v>
      </c>
      <c r="E68" s="202">
        <f t="shared" si="5"/>
        <v>82.6086956521739</v>
      </c>
      <c r="F68" s="202">
        <f t="shared" si="4"/>
        <v>-2</v>
      </c>
    </row>
    <row r="69" spans="1:6" ht="15.75" customHeight="1">
      <c r="A69" s="213" t="s">
        <v>241</v>
      </c>
      <c r="B69" s="214" t="s">
        <v>242</v>
      </c>
      <c r="C69" s="283">
        <v>2</v>
      </c>
      <c r="D69" s="283">
        <v>2</v>
      </c>
      <c r="E69" s="202"/>
      <c r="F69" s="202"/>
    </row>
    <row r="70" spans="1:6" s="139" customFormat="1" ht="15" customHeight="1">
      <c r="A70" s="200" t="s">
        <v>39</v>
      </c>
      <c r="B70" s="201" t="s">
        <v>243</v>
      </c>
      <c r="C70" s="251">
        <f>SUM(C71:C74)</f>
        <v>1509.9593499999999</v>
      </c>
      <c r="D70" s="251">
        <f>SUM(D71:D74)</f>
        <v>1253.2467199999999</v>
      </c>
      <c r="E70" s="202">
        <f aca="true" t="shared" si="6" ref="E70:E84">SUM(D70/C70*100)</f>
        <v>82.99870589231425</v>
      </c>
      <c r="F70" s="202">
        <f aca="true" t="shared" si="7" ref="F70:F85">SUM(D70-C70)</f>
        <v>-256.71263</v>
      </c>
    </row>
    <row r="71" spans="1:6" ht="15" customHeight="1" hidden="1">
      <c r="A71" s="203" t="s">
        <v>246</v>
      </c>
      <c r="B71" s="206" t="s">
        <v>319</v>
      </c>
      <c r="C71" s="284"/>
      <c r="D71" s="283">
        <v>0</v>
      </c>
      <c r="E71" s="205" t="e">
        <f t="shared" si="6"/>
        <v>#DIV/0!</v>
      </c>
      <c r="F71" s="205">
        <f t="shared" si="7"/>
        <v>0</v>
      </c>
    </row>
    <row r="72" spans="1:7" s="139" customFormat="1" ht="18" customHeight="1" hidden="1">
      <c r="A72" s="203" t="s">
        <v>248</v>
      </c>
      <c r="B72" s="206" t="s">
        <v>320</v>
      </c>
      <c r="C72" s="284"/>
      <c r="D72" s="283">
        <v>0</v>
      </c>
      <c r="E72" s="205" t="e">
        <f t="shared" si="6"/>
        <v>#DIV/0!</v>
      </c>
      <c r="F72" s="205">
        <f t="shared" si="7"/>
        <v>0</v>
      </c>
      <c r="G72" s="142"/>
    </row>
    <row r="73" spans="1:6" ht="15.75">
      <c r="A73" s="203" t="s">
        <v>250</v>
      </c>
      <c r="B73" s="206" t="s">
        <v>251</v>
      </c>
      <c r="C73" s="284">
        <v>1331.15935</v>
      </c>
      <c r="D73" s="283">
        <v>1074.44672</v>
      </c>
      <c r="E73" s="205">
        <f t="shared" si="6"/>
        <v>80.71510897624691</v>
      </c>
      <c r="F73" s="205">
        <f t="shared" si="7"/>
        <v>-256.71263</v>
      </c>
    </row>
    <row r="74" spans="1:6" ht="15.75">
      <c r="A74" s="203" t="s">
        <v>252</v>
      </c>
      <c r="B74" s="206" t="s">
        <v>253</v>
      </c>
      <c r="C74" s="284">
        <v>178.8</v>
      </c>
      <c r="D74" s="283">
        <v>178.8</v>
      </c>
      <c r="E74" s="205">
        <f t="shared" si="6"/>
        <v>100</v>
      </c>
      <c r="F74" s="205">
        <f t="shared" si="7"/>
        <v>0</v>
      </c>
    </row>
    <row r="75" spans="1:6" s="139" customFormat="1" ht="16.5" customHeight="1">
      <c r="A75" s="200" t="s">
        <v>41</v>
      </c>
      <c r="B75" s="201" t="s">
        <v>254</v>
      </c>
      <c r="C75" s="281">
        <f>SUM(C76:C78)</f>
        <v>992.12021</v>
      </c>
      <c r="D75" s="281">
        <f>SUM(D77:D78)</f>
        <v>789.4893800000001</v>
      </c>
      <c r="E75" s="202">
        <f t="shared" si="6"/>
        <v>79.5759800115351</v>
      </c>
      <c r="F75" s="202">
        <f t="shared" si="7"/>
        <v>-202.63082999999995</v>
      </c>
    </row>
    <row r="76" spans="1:6" ht="15.75" hidden="1">
      <c r="A76" s="203" t="s">
        <v>255</v>
      </c>
      <c r="B76" s="217" t="s">
        <v>256</v>
      </c>
      <c r="C76" s="283">
        <v>0</v>
      </c>
      <c r="D76" s="283">
        <v>0</v>
      </c>
      <c r="E76" s="205" t="e">
        <f t="shared" si="6"/>
        <v>#DIV/0!</v>
      </c>
      <c r="F76" s="205">
        <f t="shared" si="7"/>
        <v>0</v>
      </c>
    </row>
    <row r="77" spans="1:6" ht="15" customHeight="1">
      <c r="A77" s="203" t="s">
        <v>257</v>
      </c>
      <c r="B77" s="217" t="s">
        <v>258</v>
      </c>
      <c r="C77" s="283">
        <v>210</v>
      </c>
      <c r="D77" s="283">
        <v>122.25174</v>
      </c>
      <c r="E77" s="205">
        <f t="shared" si="6"/>
        <v>58.215114285714286</v>
      </c>
      <c r="F77" s="205">
        <f t="shared" si="7"/>
        <v>-87.74826</v>
      </c>
    </row>
    <row r="78" spans="1:6" ht="15.75">
      <c r="A78" s="203" t="s">
        <v>259</v>
      </c>
      <c r="B78" s="206" t="s">
        <v>260</v>
      </c>
      <c r="C78" s="283">
        <v>782.12021</v>
      </c>
      <c r="D78" s="283">
        <v>667.23764</v>
      </c>
      <c r="E78" s="205">
        <f t="shared" si="6"/>
        <v>85.31139222191945</v>
      </c>
      <c r="F78" s="205">
        <f t="shared" si="7"/>
        <v>-114.88256999999999</v>
      </c>
    </row>
    <row r="79" spans="1:6" s="139" customFormat="1" ht="15.75">
      <c r="A79" s="200" t="s">
        <v>47</v>
      </c>
      <c r="B79" s="201" t="s">
        <v>275</v>
      </c>
      <c r="C79" s="281">
        <f>C80</f>
        <v>1072.875</v>
      </c>
      <c r="D79" s="281">
        <f>SUM(D80)</f>
        <v>1003.875</v>
      </c>
      <c r="E79" s="202">
        <f t="shared" si="6"/>
        <v>93.56868227892346</v>
      </c>
      <c r="F79" s="202">
        <f t="shared" si="7"/>
        <v>-69</v>
      </c>
    </row>
    <row r="80" spans="1:6" ht="20.25" customHeight="1">
      <c r="A80" s="203" t="s">
        <v>276</v>
      </c>
      <c r="B80" s="206" t="s">
        <v>277</v>
      </c>
      <c r="C80" s="283">
        <v>1072.875</v>
      </c>
      <c r="D80" s="283">
        <v>1003.875</v>
      </c>
      <c r="E80" s="205">
        <f t="shared" si="6"/>
        <v>93.56868227892346</v>
      </c>
      <c r="F80" s="205">
        <f t="shared" si="7"/>
        <v>-69</v>
      </c>
    </row>
    <row r="81" spans="1:6" s="139" customFormat="1" ht="0.75" customHeight="1" hidden="1">
      <c r="A81" s="218">
        <v>1000</v>
      </c>
      <c r="B81" s="201" t="s">
        <v>280</v>
      </c>
      <c r="C81" s="281">
        <f>SUM(C82:C85)</f>
        <v>0</v>
      </c>
      <c r="D81" s="281">
        <f>SUM(D82:D85)</f>
        <v>0</v>
      </c>
      <c r="E81" s="202" t="e">
        <f t="shared" si="6"/>
        <v>#DIV/0!</v>
      </c>
      <c r="F81" s="202">
        <f t="shared" si="7"/>
        <v>0</v>
      </c>
    </row>
    <row r="82" spans="1:6" ht="1.5" customHeight="1" hidden="1">
      <c r="A82" s="219">
        <v>1001</v>
      </c>
      <c r="B82" s="220" t="s">
        <v>281</v>
      </c>
      <c r="C82" s="283"/>
      <c r="D82" s="283"/>
      <c r="E82" s="205" t="e">
        <f t="shared" si="6"/>
        <v>#DIV/0!</v>
      </c>
      <c r="F82" s="205">
        <f t="shared" si="7"/>
        <v>0</v>
      </c>
    </row>
    <row r="83" spans="1:6" ht="27" customHeight="1" hidden="1">
      <c r="A83" s="219">
        <v>1003</v>
      </c>
      <c r="B83" s="220" t="s">
        <v>282</v>
      </c>
      <c r="C83" s="283">
        <v>0</v>
      </c>
      <c r="D83" s="283">
        <v>0</v>
      </c>
      <c r="E83" s="205" t="e">
        <f t="shared" si="6"/>
        <v>#DIV/0!</v>
      </c>
      <c r="F83" s="205">
        <f t="shared" si="7"/>
        <v>0</v>
      </c>
    </row>
    <row r="84" spans="1:6" ht="27.75" customHeight="1" hidden="1">
      <c r="A84" s="219">
        <v>1004</v>
      </c>
      <c r="B84" s="220" t="s">
        <v>283</v>
      </c>
      <c r="C84" s="283"/>
      <c r="D84" s="285"/>
      <c r="E84" s="205" t="e">
        <f t="shared" si="6"/>
        <v>#DIV/0!</v>
      </c>
      <c r="F84" s="205">
        <f t="shared" si="7"/>
        <v>0</v>
      </c>
    </row>
    <row r="85" spans="1:6" ht="23.25" customHeight="1" hidden="1">
      <c r="A85" s="203" t="s">
        <v>284</v>
      </c>
      <c r="B85" s="206" t="s">
        <v>285</v>
      </c>
      <c r="C85" s="283">
        <v>0</v>
      </c>
      <c r="D85" s="283">
        <v>0</v>
      </c>
      <c r="E85" s="205"/>
      <c r="F85" s="205">
        <f t="shared" si="7"/>
        <v>0</v>
      </c>
    </row>
    <row r="86" spans="1:6" ht="17.25" customHeight="1">
      <c r="A86" s="200" t="s">
        <v>51</v>
      </c>
      <c r="B86" s="201" t="s">
        <v>286</v>
      </c>
      <c r="C86" s="281">
        <f>C87+C88+C89+C90+C91</f>
        <v>30</v>
      </c>
      <c r="D86" s="281">
        <f>D87+D88+D89+D90+D91</f>
        <v>23.948</v>
      </c>
      <c r="E86" s="205">
        <f aca="true" t="shared" si="8" ref="E86:E96">SUM(D86/C86*100)</f>
        <v>79.82666666666667</v>
      </c>
      <c r="F86" s="190">
        <f>F87+F88+F89+F90+F91</f>
        <v>-6.052</v>
      </c>
    </row>
    <row r="87" spans="1:6" ht="15" customHeight="1">
      <c r="A87" s="203" t="s">
        <v>287</v>
      </c>
      <c r="B87" s="206" t="s">
        <v>288</v>
      </c>
      <c r="C87" s="291">
        <v>30</v>
      </c>
      <c r="D87" s="291">
        <v>23.948</v>
      </c>
      <c r="E87" s="205">
        <f t="shared" si="8"/>
        <v>79.82666666666667</v>
      </c>
      <c r="F87" s="205">
        <f>SUM(D87-C87)</f>
        <v>-6.052</v>
      </c>
    </row>
    <row r="88" spans="1:6" ht="15.75" customHeight="1" hidden="1">
      <c r="A88" s="203" t="s">
        <v>289</v>
      </c>
      <c r="B88" s="206" t="s">
        <v>290</v>
      </c>
      <c r="C88" s="291"/>
      <c r="D88" s="291"/>
      <c r="E88" s="205" t="e">
        <f t="shared" si="8"/>
        <v>#DIV/0!</v>
      </c>
      <c r="F88" s="205">
        <f>SUM(D88-C88)</f>
        <v>0</v>
      </c>
    </row>
    <row r="89" spans="1:6" ht="15.75" customHeight="1" hidden="1">
      <c r="A89" s="203" t="s">
        <v>291</v>
      </c>
      <c r="B89" s="206" t="s">
        <v>292</v>
      </c>
      <c r="C89" s="291"/>
      <c r="D89" s="291"/>
      <c r="E89" s="205" t="e">
        <f t="shared" si="8"/>
        <v>#DIV/0!</v>
      </c>
      <c r="F89" s="205"/>
    </row>
    <row r="90" spans="1:6" ht="15.75" customHeight="1" hidden="1">
      <c r="A90" s="203" t="s">
        <v>293</v>
      </c>
      <c r="B90" s="206" t="s">
        <v>294</v>
      </c>
      <c r="C90" s="291"/>
      <c r="D90" s="291"/>
      <c r="E90" s="205" t="e">
        <f t="shared" si="8"/>
        <v>#DIV/0!</v>
      </c>
      <c r="F90" s="205"/>
    </row>
    <row r="91" spans="1:6" ht="15.75" customHeight="1" hidden="1">
      <c r="A91" s="203" t="s">
        <v>295</v>
      </c>
      <c r="B91" s="206" t="s">
        <v>296</v>
      </c>
      <c r="C91" s="291"/>
      <c r="D91" s="291"/>
      <c r="E91" s="205" t="e">
        <f t="shared" si="8"/>
        <v>#DIV/0!</v>
      </c>
      <c r="F91" s="205"/>
    </row>
    <row r="92" spans="1:6" s="139" customFormat="1" ht="16.5" customHeight="1" hidden="1">
      <c r="A92" s="218">
        <v>1400</v>
      </c>
      <c r="B92" s="222" t="s">
        <v>303</v>
      </c>
      <c r="C92" s="345">
        <f>C93+C94+C95</f>
        <v>0</v>
      </c>
      <c r="D92" s="345">
        <f>SUM(D93:D95)</f>
        <v>0</v>
      </c>
      <c r="E92" s="202" t="e">
        <f t="shared" si="8"/>
        <v>#DIV/0!</v>
      </c>
      <c r="F92" s="202">
        <f>SUM(D92-C92)</f>
        <v>0</v>
      </c>
    </row>
    <row r="93" spans="1:6" ht="23.25" customHeight="1" hidden="1">
      <c r="A93" s="219">
        <v>1401</v>
      </c>
      <c r="B93" s="220" t="s">
        <v>304</v>
      </c>
      <c r="C93" s="346"/>
      <c r="D93" s="291"/>
      <c r="E93" s="205" t="e">
        <f t="shared" si="8"/>
        <v>#DIV/0!</v>
      </c>
      <c r="F93" s="205">
        <f>SUM(D93-C93)</f>
        <v>0</v>
      </c>
    </row>
    <row r="94" spans="1:6" ht="19.5" customHeight="1" hidden="1">
      <c r="A94" s="219">
        <v>1402</v>
      </c>
      <c r="B94" s="220" t="s">
        <v>305</v>
      </c>
      <c r="C94" s="346"/>
      <c r="D94" s="291"/>
      <c r="E94" s="205" t="e">
        <f t="shared" si="8"/>
        <v>#DIV/0!</v>
      </c>
      <c r="F94" s="205">
        <f>SUM(D94-C94)</f>
        <v>0</v>
      </c>
    </row>
    <row r="95" spans="1:6" ht="17.25" customHeight="1" hidden="1">
      <c r="A95" s="219">
        <v>1403</v>
      </c>
      <c r="B95" s="220" t="s">
        <v>306</v>
      </c>
      <c r="C95" s="347">
        <v>0</v>
      </c>
      <c r="D95" s="348">
        <v>0</v>
      </c>
      <c r="E95" s="205" t="e">
        <f t="shared" si="8"/>
        <v>#DIV/0!</v>
      </c>
      <c r="F95" s="205">
        <f>SUM(D95-C95)</f>
        <v>0</v>
      </c>
    </row>
    <row r="96" spans="1:6" s="139" customFormat="1" ht="15.75" customHeight="1">
      <c r="A96" s="218"/>
      <c r="B96" s="223" t="s">
        <v>307</v>
      </c>
      <c r="C96" s="279">
        <f>C54+C62+C64+C70+C75+C79+C86</f>
        <v>5272.09735</v>
      </c>
      <c r="D96" s="279">
        <f>D54+D62+D64+D70+D75+D79+D86</f>
        <v>4628.381300000001</v>
      </c>
      <c r="E96" s="202">
        <f t="shared" si="8"/>
        <v>87.7901334655742</v>
      </c>
      <c r="F96" s="202">
        <f>SUM(D96-C96)</f>
        <v>-643.7160499999991</v>
      </c>
    </row>
    <row r="97" spans="3:4" ht="16.5" customHeight="1">
      <c r="C97" s="226"/>
      <c r="D97" s="227"/>
    </row>
    <row r="98" spans="1:4" s="352" customFormat="1" ht="20.25" customHeight="1">
      <c r="A98" s="349" t="s">
        <v>308</v>
      </c>
      <c r="B98" s="349"/>
      <c r="C98" s="350"/>
      <c r="D98" s="351"/>
    </row>
    <row r="99" spans="1:3" s="352" customFormat="1" ht="13.5" customHeight="1">
      <c r="A99" s="353" t="s">
        <v>309</v>
      </c>
      <c r="B99" s="353"/>
      <c r="C99" s="354" t="s">
        <v>310</v>
      </c>
    </row>
    <row r="101" ht="5.25" customHeight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view="pageBreakPreview" zoomScale="75" zoomScaleSheetLayoutView="75" zoomScalePageLayoutView="0" workbookViewId="0" topLeftCell="A10">
      <pane xSplit="2" ySplit="4" topLeftCell="AU14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CO33" sqref="CO33"/>
    </sheetView>
  </sheetViews>
  <sheetFormatPr defaultColWidth="9.140625" defaultRowHeight="12.75"/>
  <cols>
    <col min="1" max="1" width="6.140625" style="39" customWidth="1"/>
    <col min="2" max="2" width="26.421875" style="39" customWidth="1"/>
    <col min="3" max="3" width="17.00390625" style="39" customWidth="1"/>
    <col min="4" max="4" width="20.7109375" style="40" customWidth="1"/>
    <col min="5" max="5" width="11.421875" style="39" customWidth="1"/>
    <col min="6" max="6" width="15.421875" style="39" customWidth="1"/>
    <col min="7" max="7" width="15.57421875" style="39" customWidth="1"/>
    <col min="8" max="8" width="11.00390625" style="39" customWidth="1"/>
    <col min="9" max="9" width="15.57421875" style="39" customWidth="1"/>
    <col min="10" max="10" width="17.00390625" style="39" customWidth="1"/>
    <col min="11" max="11" width="13.00390625" style="39" customWidth="1"/>
    <col min="12" max="12" width="15.140625" style="39" customWidth="1"/>
    <col min="13" max="13" width="14.421875" style="39" customWidth="1"/>
    <col min="14" max="14" width="13.00390625" style="39" customWidth="1"/>
    <col min="15" max="15" width="14.140625" style="39" customWidth="1"/>
    <col min="16" max="16" width="15.7109375" style="39" customWidth="1"/>
    <col min="17" max="17" width="10.140625" style="39" customWidth="1"/>
    <col min="18" max="18" width="16.7109375" style="39" customWidth="1"/>
    <col min="19" max="19" width="17.28125" style="39" customWidth="1"/>
    <col min="20" max="20" width="10.00390625" style="39" customWidth="1"/>
    <col min="21" max="21" width="13.57421875" style="39" customWidth="1"/>
    <col min="22" max="22" width="14.7109375" style="39" customWidth="1"/>
    <col min="23" max="23" width="12.28125" style="39" customWidth="1"/>
    <col min="24" max="24" width="15.140625" style="39" customWidth="1"/>
    <col min="25" max="25" width="17.8515625" style="39" customWidth="1"/>
    <col min="26" max="26" width="12.57421875" style="39" customWidth="1"/>
    <col min="27" max="28" width="14.8515625" style="39" customWidth="1"/>
    <col min="29" max="29" width="10.7109375" style="39" customWidth="1"/>
    <col min="30" max="30" width="17.00390625" style="39" customWidth="1"/>
    <col min="31" max="31" width="15.7109375" style="39" customWidth="1"/>
    <col min="32" max="32" width="10.00390625" style="39" customWidth="1"/>
    <col min="33" max="33" width="13.8515625" style="39" customWidth="1"/>
    <col min="34" max="34" width="12.28125" style="39" customWidth="1"/>
    <col min="35" max="35" width="11.8515625" style="39" customWidth="1"/>
    <col min="36" max="36" width="11.00390625" style="39" customWidth="1"/>
    <col min="37" max="37" width="14.57421875" style="39" customWidth="1"/>
    <col min="38" max="38" width="13.7109375" style="39" customWidth="1"/>
    <col min="39" max="39" width="15.421875" style="39" customWidth="1"/>
    <col min="40" max="40" width="16.00390625" style="39" customWidth="1"/>
    <col min="41" max="41" width="16.28125" style="39" customWidth="1"/>
    <col min="42" max="42" width="14.28125" style="39" customWidth="1"/>
    <col min="43" max="43" width="15.28125" style="39" customWidth="1"/>
    <col min="44" max="44" width="11.00390625" style="39" customWidth="1"/>
    <col min="45" max="45" width="14.421875" style="39" customWidth="1"/>
    <col min="46" max="46" width="14.7109375" style="39" customWidth="1"/>
    <col min="47" max="47" width="12.421875" style="39" customWidth="1"/>
    <col min="48" max="50" width="0" style="39" hidden="1" customWidth="1"/>
    <col min="51" max="51" width="13.8515625" style="39" customWidth="1"/>
    <col min="52" max="52" width="15.00390625" style="39" customWidth="1"/>
    <col min="53" max="53" width="11.7109375" style="39" customWidth="1"/>
    <col min="54" max="56" width="0" style="39" hidden="1" customWidth="1"/>
    <col min="57" max="57" width="15.140625" style="39" customWidth="1"/>
    <col min="58" max="58" width="14.8515625" style="39" customWidth="1"/>
    <col min="59" max="59" width="16.00390625" style="39" customWidth="1"/>
    <col min="60" max="65" width="0" style="39" hidden="1" customWidth="1"/>
    <col min="66" max="66" width="15.28125" style="39" customWidth="1"/>
    <col min="67" max="67" width="15.57421875" style="39" customWidth="1"/>
    <col min="68" max="68" width="13.8515625" style="39" customWidth="1"/>
    <col min="69" max="69" width="15.28125" style="39" customWidth="1"/>
    <col min="70" max="70" width="15.00390625" style="39" customWidth="1"/>
    <col min="71" max="71" width="12.421875" style="39" customWidth="1"/>
    <col min="72" max="77" width="0" style="39" hidden="1" customWidth="1"/>
    <col min="78" max="78" width="20.00390625" style="39" customWidth="1"/>
    <col min="79" max="79" width="17.00390625" style="39" customWidth="1"/>
    <col min="80" max="80" width="10.00390625" style="39" customWidth="1"/>
    <col min="81" max="81" width="16.421875" style="39" customWidth="1"/>
    <col min="82" max="82" width="15.7109375" style="39" customWidth="1"/>
    <col min="83" max="83" width="12.140625" style="39" customWidth="1"/>
    <col min="84" max="84" width="20.421875" style="39" customWidth="1"/>
    <col min="85" max="85" width="21.421875" style="39" customWidth="1"/>
    <col min="86" max="86" width="18.421875" style="39" customWidth="1"/>
    <col min="87" max="87" width="22.7109375" style="39" customWidth="1"/>
    <col min="88" max="88" width="16.57421875" style="39" customWidth="1"/>
    <col min="89" max="89" width="10.00390625" style="39" customWidth="1"/>
    <col min="90" max="90" width="19.8515625" style="39" customWidth="1"/>
    <col min="91" max="91" width="18.00390625" style="39" customWidth="1"/>
    <col min="92" max="92" width="13.28125" style="39" customWidth="1"/>
    <col min="93" max="93" width="19.8515625" style="39" customWidth="1"/>
    <col min="94" max="94" width="22.28125" style="39" customWidth="1"/>
    <col min="95" max="95" width="14.8515625" style="39" customWidth="1"/>
    <col min="96" max="96" width="16.7109375" style="39" customWidth="1"/>
    <col min="97" max="97" width="16.8515625" style="39" customWidth="1"/>
    <col min="98" max="98" width="14.421875" style="39" customWidth="1"/>
    <col min="99" max="99" width="9.8515625" style="39" customWidth="1"/>
    <col min="100" max="100" width="14.421875" style="39" customWidth="1"/>
    <col min="101" max="101" width="14.28125" style="39" customWidth="1"/>
    <col min="102" max="110" width="0" style="39" hidden="1" customWidth="1"/>
    <col min="111" max="111" width="17.57421875" style="39" customWidth="1"/>
    <col min="112" max="112" width="20.28125" style="39" customWidth="1"/>
    <col min="113" max="113" width="13.00390625" style="39" customWidth="1"/>
    <col min="114" max="114" width="18.00390625" style="39" customWidth="1"/>
    <col min="115" max="115" width="17.28125" style="39" customWidth="1"/>
    <col min="116" max="116" width="13.28125" style="39" customWidth="1"/>
    <col min="117" max="117" width="16.7109375" style="39" customWidth="1"/>
    <col min="118" max="118" width="16.8515625" style="39" customWidth="1"/>
    <col min="119" max="119" width="12.28125" style="39" customWidth="1"/>
    <col min="120" max="120" width="15.28125" style="39" customWidth="1"/>
    <col min="121" max="121" width="14.28125" style="39" customWidth="1"/>
    <col min="122" max="122" width="13.8515625" style="39" customWidth="1"/>
    <col min="123" max="123" width="18.8515625" style="39" customWidth="1"/>
    <col min="124" max="124" width="13.7109375" style="39" customWidth="1"/>
    <col min="125" max="125" width="10.140625" style="39" customWidth="1"/>
    <col min="126" max="126" width="16.00390625" style="39" customWidth="1"/>
    <col min="127" max="127" width="15.421875" style="39" customWidth="1"/>
    <col min="128" max="128" width="10.140625" style="39" customWidth="1"/>
    <col min="129" max="129" width="15.140625" style="39" customWidth="1"/>
    <col min="130" max="130" width="18.57421875" style="39" customWidth="1"/>
    <col min="131" max="131" width="12.421875" style="39" customWidth="1"/>
    <col min="132" max="132" width="15.28125" style="39" customWidth="1"/>
    <col min="133" max="133" width="12.421875" style="39" customWidth="1"/>
    <col min="134" max="134" width="10.140625" style="39" customWidth="1"/>
    <col min="135" max="135" width="18.00390625" style="39" customWidth="1"/>
    <col min="136" max="136" width="18.140625" style="39" customWidth="1"/>
    <col min="137" max="137" width="10.57421875" style="39" customWidth="1"/>
    <col min="138" max="138" width="16.7109375" style="39" customWidth="1"/>
    <col min="139" max="139" width="19.7109375" style="39" customWidth="1"/>
    <col min="140" max="140" width="8.7109375" style="39" customWidth="1"/>
    <col min="141" max="141" width="18.8515625" style="39" customWidth="1"/>
    <col min="142" max="142" width="16.00390625" style="39" customWidth="1"/>
    <col min="143" max="143" width="10.140625" style="39" customWidth="1"/>
    <col min="144" max="144" width="12.8515625" style="39" customWidth="1"/>
    <col min="145" max="145" width="10.8515625" style="39" customWidth="1"/>
    <col min="146" max="146" width="11.421875" style="39" customWidth="1"/>
    <col min="147" max="147" width="13.57421875" style="39" customWidth="1"/>
    <col min="148" max="148" width="14.8515625" style="39" customWidth="1"/>
    <col min="149" max="149" width="12.8515625" style="39" customWidth="1"/>
    <col min="150" max="150" width="9.8515625" style="39" customWidth="1"/>
    <col min="151" max="151" width="11.421875" style="39" customWidth="1"/>
    <col min="152" max="152" width="11.28125" style="39" customWidth="1"/>
    <col min="153" max="153" width="17.8515625" style="39" customWidth="1"/>
    <col min="154" max="154" width="16.421875" style="39" customWidth="1"/>
    <col min="155" max="155" width="12.7109375" style="39" customWidth="1"/>
    <col min="156" max="156" width="14.8515625" style="39" customWidth="1"/>
    <col min="157" max="16384" width="9.140625" style="39" customWidth="1"/>
  </cols>
  <sheetData>
    <row r="1" spans="24:38" ht="18" customHeight="1">
      <c r="X1" s="453" t="s">
        <v>61</v>
      </c>
      <c r="Y1" s="453"/>
      <c r="Z1" s="453"/>
      <c r="AA1" s="41"/>
      <c r="AB1" s="41"/>
      <c r="AC1" s="41"/>
      <c r="AD1" s="454"/>
      <c r="AE1" s="454"/>
      <c r="AF1" s="454"/>
      <c r="AG1" s="42"/>
      <c r="AH1" s="42"/>
      <c r="AI1" s="42"/>
      <c r="AJ1" s="42"/>
      <c r="AK1" s="42"/>
      <c r="AL1" s="42"/>
    </row>
    <row r="2" spans="24:38" ht="19.5" customHeight="1">
      <c r="X2" s="42" t="s">
        <v>62</v>
      </c>
      <c r="Y2" s="42"/>
      <c r="Z2" s="42"/>
      <c r="AA2" s="43"/>
      <c r="AB2" s="43"/>
      <c r="AC2" s="43"/>
      <c r="AD2" s="454"/>
      <c r="AE2" s="454"/>
      <c r="AF2" s="454"/>
      <c r="AG2" s="42"/>
      <c r="AH2" s="42"/>
      <c r="AI2" s="42"/>
      <c r="AJ2" s="42"/>
      <c r="AK2" s="42"/>
      <c r="AL2" s="42"/>
    </row>
    <row r="3" spans="1:143" ht="30.75" customHeight="1">
      <c r="A3" s="44"/>
      <c r="B3" s="45"/>
      <c r="C3" s="45"/>
      <c r="D3" s="46"/>
      <c r="E3" s="45"/>
      <c r="F3" s="45"/>
      <c r="G3" s="45"/>
      <c r="H3" s="45"/>
      <c r="I3" s="45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55" t="s">
        <v>63</v>
      </c>
      <c r="Y3" s="455"/>
      <c r="Z3" s="455"/>
      <c r="AA3" s="44"/>
      <c r="AB3" s="44"/>
      <c r="AC3" s="44"/>
      <c r="AD3" s="456"/>
      <c r="AE3" s="456"/>
      <c r="AF3" s="456"/>
      <c r="AG3" s="48"/>
      <c r="AH3" s="48"/>
      <c r="AI3" s="48"/>
      <c r="AJ3" s="48"/>
      <c r="AK3" s="48"/>
      <c r="AL3" s="48"/>
      <c r="AM3" s="44"/>
      <c r="AN3" s="44"/>
      <c r="AO3" s="44"/>
      <c r="AP3" s="44"/>
      <c r="AQ3" s="44"/>
      <c r="AR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</row>
    <row r="4" spans="2:143" ht="24" customHeight="1">
      <c r="B4" s="457" t="s">
        <v>64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9"/>
      <c r="AB4" s="49"/>
      <c r="AC4" s="49"/>
      <c r="AD4" s="49"/>
      <c r="AE4" s="49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</row>
    <row r="5" spans="2:143" ht="20.25" customHeight="1">
      <c r="B5" s="458" t="s">
        <v>425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50"/>
      <c r="AB5" s="50"/>
      <c r="AC5" s="50"/>
      <c r="AD5" s="50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</row>
    <row r="6" spans="2:256" s="44" customFormat="1" ht="15" customHeight="1">
      <c r="B6" s="51"/>
      <c r="C6" s="52"/>
      <c r="D6" s="53"/>
      <c r="E6" s="51"/>
      <c r="F6" s="51"/>
      <c r="G6" s="54"/>
      <c r="H6" s="54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51"/>
      <c r="Z6" s="54"/>
      <c r="EN6" s="39"/>
      <c r="EO6" s="39"/>
      <c r="EP6" s="39"/>
      <c r="EQ6" s="39"/>
      <c r="ER6" s="39"/>
      <c r="ES6" s="39"/>
      <c r="ET6" s="39"/>
      <c r="EU6" s="39"/>
      <c r="EV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57" customFormat="1" ht="15" customHeight="1">
      <c r="A7" s="460" t="s">
        <v>65</v>
      </c>
      <c r="B7" s="460" t="s">
        <v>66</v>
      </c>
      <c r="C7" s="460" t="s">
        <v>67</v>
      </c>
      <c r="D7" s="460"/>
      <c r="E7" s="460"/>
      <c r="F7" s="56" t="s">
        <v>68</v>
      </c>
      <c r="DC7" s="58"/>
      <c r="DF7" s="58"/>
      <c r="DG7" s="460" t="s">
        <v>69</v>
      </c>
      <c r="DH7" s="460"/>
      <c r="DI7" s="460"/>
      <c r="DJ7" s="461"/>
      <c r="DK7" s="461"/>
      <c r="DL7" s="461"/>
      <c r="DM7" s="461"/>
      <c r="DN7" s="461"/>
      <c r="DO7" s="461"/>
      <c r="DP7" s="461"/>
      <c r="DQ7" s="461"/>
      <c r="DR7" s="461"/>
      <c r="DS7" s="461"/>
      <c r="DT7" s="461"/>
      <c r="DU7" s="461"/>
      <c r="DV7" s="461"/>
      <c r="DW7" s="461"/>
      <c r="DX7" s="461"/>
      <c r="DY7" s="461"/>
      <c r="DZ7" s="461"/>
      <c r="EA7" s="461"/>
      <c r="EB7" s="461"/>
      <c r="EC7" s="461"/>
      <c r="ED7" s="461"/>
      <c r="EE7" s="461"/>
      <c r="EF7" s="461"/>
      <c r="EG7" s="461"/>
      <c r="EH7" s="461"/>
      <c r="EI7" s="461"/>
      <c r="EJ7" s="461"/>
      <c r="EK7" s="461"/>
      <c r="EL7" s="461"/>
      <c r="EM7" s="461"/>
      <c r="EN7" s="461"/>
      <c r="EO7" s="461"/>
      <c r="EP7" s="461"/>
      <c r="EQ7" s="461"/>
      <c r="ER7" s="461"/>
      <c r="ES7" s="461"/>
      <c r="ET7" s="461"/>
      <c r="EU7" s="461"/>
      <c r="EV7" s="461"/>
      <c r="EW7" s="460" t="s">
        <v>70</v>
      </c>
      <c r="EX7" s="460"/>
      <c r="EY7" s="460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55" s="59" customFormat="1" ht="15" customHeight="1">
      <c r="A8" s="460"/>
      <c r="B8" s="460"/>
      <c r="C8" s="460"/>
      <c r="D8" s="460"/>
      <c r="E8" s="460"/>
      <c r="F8" s="462" t="s">
        <v>71</v>
      </c>
      <c r="G8" s="462"/>
      <c r="H8" s="462"/>
      <c r="I8" s="463" t="s">
        <v>72</v>
      </c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1"/>
      <c r="BT8" s="62"/>
      <c r="BU8" s="62"/>
      <c r="BV8" s="62"/>
      <c r="BW8" s="63"/>
      <c r="BX8" s="63"/>
      <c r="BY8" s="63"/>
      <c r="BZ8" s="460" t="s">
        <v>73</v>
      </c>
      <c r="CA8" s="460"/>
      <c r="CB8" s="460"/>
      <c r="CC8" s="464" t="s">
        <v>72</v>
      </c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64"/>
      <c r="CP8" s="64"/>
      <c r="CQ8" s="64"/>
      <c r="CR8" s="64"/>
      <c r="CS8" s="64"/>
      <c r="CT8" s="64"/>
      <c r="CU8" s="65"/>
      <c r="CV8" s="65"/>
      <c r="CW8" s="66"/>
      <c r="CX8" s="462" t="s">
        <v>74</v>
      </c>
      <c r="CY8" s="462"/>
      <c r="CZ8" s="462"/>
      <c r="DA8" s="460"/>
      <c r="DB8" s="460"/>
      <c r="DC8" s="460"/>
      <c r="DD8" s="460"/>
      <c r="DE8" s="460"/>
      <c r="DF8" s="460"/>
      <c r="DG8" s="460"/>
      <c r="DH8" s="460"/>
      <c r="DI8" s="460"/>
      <c r="DJ8" s="465" t="s">
        <v>72</v>
      </c>
      <c r="DK8" s="465"/>
      <c r="DL8" s="465"/>
      <c r="DM8" s="465"/>
      <c r="DN8" s="465"/>
      <c r="DO8" s="465"/>
      <c r="DP8" s="465"/>
      <c r="DQ8" s="465"/>
      <c r="DR8" s="465"/>
      <c r="DS8" s="465"/>
      <c r="DT8" s="465"/>
      <c r="DU8" s="465"/>
      <c r="DV8" s="465"/>
      <c r="DW8" s="465"/>
      <c r="DX8" s="465"/>
      <c r="DY8" s="465"/>
      <c r="DZ8" s="465"/>
      <c r="EA8" s="465"/>
      <c r="EB8" s="465"/>
      <c r="EC8" s="465"/>
      <c r="ED8" s="465"/>
      <c r="EE8" s="465"/>
      <c r="EF8" s="465"/>
      <c r="EG8" s="465"/>
      <c r="EH8" s="465"/>
      <c r="EI8" s="465"/>
      <c r="EJ8" s="465"/>
      <c r="EK8" s="465"/>
      <c r="EL8" s="465"/>
      <c r="EM8" s="465"/>
      <c r="EN8" s="465"/>
      <c r="EO8" s="465"/>
      <c r="EP8" s="465"/>
      <c r="EQ8" s="465"/>
      <c r="ER8" s="465"/>
      <c r="ES8" s="465"/>
      <c r="ET8" s="465"/>
      <c r="EU8" s="465"/>
      <c r="EV8" s="465"/>
      <c r="EW8" s="460"/>
      <c r="EX8" s="460"/>
      <c r="EY8" s="460"/>
    </row>
    <row r="9" spans="1:155" s="59" customFormat="1" ht="15" customHeight="1">
      <c r="A9" s="460"/>
      <c r="B9" s="460"/>
      <c r="C9" s="460"/>
      <c r="D9" s="460"/>
      <c r="E9" s="460"/>
      <c r="F9" s="462"/>
      <c r="G9" s="462"/>
      <c r="H9" s="462"/>
      <c r="I9" s="460" t="s">
        <v>75</v>
      </c>
      <c r="J9" s="460"/>
      <c r="K9" s="460"/>
      <c r="L9" s="460" t="s">
        <v>76</v>
      </c>
      <c r="M9" s="460"/>
      <c r="N9" s="460"/>
      <c r="O9" s="460" t="s">
        <v>77</v>
      </c>
      <c r="P9" s="460"/>
      <c r="Q9" s="460"/>
      <c r="R9" s="460" t="s">
        <v>78</v>
      </c>
      <c r="S9" s="460"/>
      <c r="T9" s="460"/>
      <c r="U9" s="460" t="s">
        <v>79</v>
      </c>
      <c r="V9" s="460"/>
      <c r="W9" s="460"/>
      <c r="X9" s="460" t="s">
        <v>80</v>
      </c>
      <c r="Y9" s="460"/>
      <c r="Z9" s="460"/>
      <c r="AA9" s="460" t="s">
        <v>81</v>
      </c>
      <c r="AB9" s="460"/>
      <c r="AC9" s="460"/>
      <c r="AD9" s="460" t="s">
        <v>82</v>
      </c>
      <c r="AE9" s="460"/>
      <c r="AF9" s="460"/>
      <c r="AG9" s="460" t="s">
        <v>83</v>
      </c>
      <c r="AH9" s="460"/>
      <c r="AI9" s="460"/>
      <c r="AJ9" s="460" t="s">
        <v>84</v>
      </c>
      <c r="AK9" s="460"/>
      <c r="AL9" s="460"/>
      <c r="AM9" s="460" t="s">
        <v>85</v>
      </c>
      <c r="AN9" s="460"/>
      <c r="AO9" s="460"/>
      <c r="AP9" s="460" t="s">
        <v>86</v>
      </c>
      <c r="AQ9" s="460"/>
      <c r="AR9" s="460"/>
      <c r="AS9" s="460" t="s">
        <v>87</v>
      </c>
      <c r="AT9" s="460"/>
      <c r="AU9" s="460"/>
      <c r="AV9" s="460" t="s">
        <v>88</v>
      </c>
      <c r="AW9" s="460"/>
      <c r="AX9" s="460"/>
      <c r="AY9" s="460" t="s">
        <v>89</v>
      </c>
      <c r="AZ9" s="460"/>
      <c r="BA9" s="460"/>
      <c r="BB9" s="460" t="s">
        <v>90</v>
      </c>
      <c r="BC9" s="460"/>
      <c r="BD9" s="460"/>
      <c r="BE9" s="460" t="s">
        <v>91</v>
      </c>
      <c r="BF9" s="460"/>
      <c r="BG9" s="460"/>
      <c r="BH9" s="460" t="s">
        <v>92</v>
      </c>
      <c r="BI9" s="460"/>
      <c r="BJ9" s="460"/>
      <c r="BK9" s="460" t="s">
        <v>93</v>
      </c>
      <c r="BL9" s="460"/>
      <c r="BM9" s="460"/>
      <c r="BN9" s="460" t="s">
        <v>94</v>
      </c>
      <c r="BO9" s="460"/>
      <c r="BP9" s="460"/>
      <c r="BQ9" s="460" t="s">
        <v>95</v>
      </c>
      <c r="BR9" s="460"/>
      <c r="BS9" s="460"/>
      <c r="BT9" s="460" t="s">
        <v>96</v>
      </c>
      <c r="BU9" s="460"/>
      <c r="BV9" s="460"/>
      <c r="BW9" s="464" t="s">
        <v>97</v>
      </c>
      <c r="BX9" s="464"/>
      <c r="BY9" s="464"/>
      <c r="BZ9" s="460"/>
      <c r="CA9" s="460"/>
      <c r="CB9" s="460"/>
      <c r="CC9" s="460" t="s">
        <v>98</v>
      </c>
      <c r="CD9" s="460"/>
      <c r="CE9" s="460"/>
      <c r="CF9" s="460" t="s">
        <v>99</v>
      </c>
      <c r="CG9" s="460"/>
      <c r="CH9" s="460"/>
      <c r="CI9" s="460" t="s">
        <v>100</v>
      </c>
      <c r="CJ9" s="460"/>
      <c r="CK9" s="460"/>
      <c r="CL9" s="460" t="s">
        <v>101</v>
      </c>
      <c r="CM9" s="460"/>
      <c r="CN9" s="460"/>
      <c r="CO9" s="460" t="s">
        <v>102</v>
      </c>
      <c r="CP9" s="460"/>
      <c r="CQ9" s="460"/>
      <c r="CR9" s="460" t="s">
        <v>28</v>
      </c>
      <c r="CS9" s="460"/>
      <c r="CT9" s="460"/>
      <c r="CU9" s="460" t="s">
        <v>103</v>
      </c>
      <c r="CV9" s="460"/>
      <c r="CW9" s="460"/>
      <c r="CX9" s="462"/>
      <c r="CY9" s="462"/>
      <c r="CZ9" s="462"/>
      <c r="DA9" s="460" t="s">
        <v>104</v>
      </c>
      <c r="DB9" s="460"/>
      <c r="DC9" s="460"/>
      <c r="DD9" s="460" t="s">
        <v>105</v>
      </c>
      <c r="DE9" s="460"/>
      <c r="DF9" s="460"/>
      <c r="DG9" s="460"/>
      <c r="DH9" s="460"/>
      <c r="DI9" s="460"/>
      <c r="DJ9" s="466" t="s">
        <v>106</v>
      </c>
      <c r="DK9" s="466"/>
      <c r="DL9" s="466"/>
      <c r="DM9" s="466" t="s">
        <v>68</v>
      </c>
      <c r="DN9" s="466"/>
      <c r="DO9" s="466"/>
      <c r="DP9" s="466"/>
      <c r="DQ9" s="466"/>
      <c r="DR9" s="466"/>
      <c r="DS9" s="466"/>
      <c r="DT9" s="466"/>
      <c r="DU9" s="466"/>
      <c r="DV9" s="466"/>
      <c r="DW9" s="466"/>
      <c r="DX9" s="466"/>
      <c r="DY9" s="466" t="s">
        <v>107</v>
      </c>
      <c r="DZ9" s="466"/>
      <c r="EA9" s="466"/>
      <c r="EB9" s="466" t="s">
        <v>108</v>
      </c>
      <c r="EC9" s="466"/>
      <c r="ED9" s="466"/>
      <c r="EE9" s="466" t="s">
        <v>109</v>
      </c>
      <c r="EF9" s="466"/>
      <c r="EG9" s="466"/>
      <c r="EH9" s="466" t="s">
        <v>110</v>
      </c>
      <c r="EI9" s="466"/>
      <c r="EJ9" s="466"/>
      <c r="EK9" s="460" t="s">
        <v>111</v>
      </c>
      <c r="EL9" s="460"/>
      <c r="EM9" s="460"/>
      <c r="EN9" s="460" t="s">
        <v>112</v>
      </c>
      <c r="EO9" s="460"/>
      <c r="EP9" s="460"/>
      <c r="EQ9" s="460" t="s">
        <v>113</v>
      </c>
      <c r="ER9" s="460"/>
      <c r="ES9" s="460"/>
      <c r="ET9" s="460" t="s">
        <v>114</v>
      </c>
      <c r="EU9" s="460"/>
      <c r="EV9" s="460"/>
      <c r="EW9" s="460"/>
      <c r="EX9" s="460"/>
      <c r="EY9" s="460"/>
    </row>
    <row r="10" spans="1:256" s="55" customFormat="1" ht="82.5" customHeight="1">
      <c r="A10" s="460"/>
      <c r="B10" s="460"/>
      <c r="C10" s="460"/>
      <c r="D10" s="460"/>
      <c r="E10" s="460"/>
      <c r="F10" s="462"/>
      <c r="G10" s="462"/>
      <c r="H10" s="462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60"/>
      <c r="BC10" s="460"/>
      <c r="BD10" s="460"/>
      <c r="BE10" s="460"/>
      <c r="BF10" s="460"/>
      <c r="BG10" s="460"/>
      <c r="BH10" s="460"/>
      <c r="BI10" s="460"/>
      <c r="BJ10" s="460"/>
      <c r="BK10" s="460"/>
      <c r="BL10" s="460"/>
      <c r="BM10" s="460"/>
      <c r="BN10" s="460"/>
      <c r="BO10" s="460"/>
      <c r="BP10" s="460"/>
      <c r="BQ10" s="460"/>
      <c r="BR10" s="460"/>
      <c r="BS10" s="460"/>
      <c r="BT10" s="460"/>
      <c r="BU10" s="460"/>
      <c r="BV10" s="460"/>
      <c r="BW10" s="464"/>
      <c r="BX10" s="464"/>
      <c r="BY10" s="464"/>
      <c r="BZ10" s="460"/>
      <c r="CA10" s="460"/>
      <c r="CB10" s="460"/>
      <c r="CC10" s="460"/>
      <c r="CD10" s="460"/>
      <c r="CE10" s="460"/>
      <c r="CF10" s="460"/>
      <c r="CG10" s="460"/>
      <c r="CH10" s="460"/>
      <c r="CI10" s="460"/>
      <c r="CJ10" s="460"/>
      <c r="CK10" s="460"/>
      <c r="CL10" s="460"/>
      <c r="CM10" s="460"/>
      <c r="CN10" s="460"/>
      <c r="CO10" s="460"/>
      <c r="CP10" s="460"/>
      <c r="CQ10" s="460"/>
      <c r="CR10" s="460"/>
      <c r="CS10" s="460"/>
      <c r="CT10" s="460"/>
      <c r="CU10" s="460"/>
      <c r="CV10" s="460"/>
      <c r="CW10" s="460"/>
      <c r="CX10" s="462"/>
      <c r="CY10" s="462"/>
      <c r="CZ10" s="462"/>
      <c r="DA10" s="460"/>
      <c r="DB10" s="460"/>
      <c r="DC10" s="460"/>
      <c r="DD10" s="460"/>
      <c r="DE10" s="460"/>
      <c r="DF10" s="460"/>
      <c r="DG10" s="460"/>
      <c r="DH10" s="460"/>
      <c r="DI10" s="460"/>
      <c r="DJ10" s="466"/>
      <c r="DK10" s="466"/>
      <c r="DL10" s="466"/>
      <c r="DM10" s="67"/>
      <c r="DN10" s="68"/>
      <c r="DO10" s="68"/>
      <c r="DP10" s="69"/>
      <c r="DQ10" s="69"/>
      <c r="DR10" s="69"/>
      <c r="DS10" s="68"/>
      <c r="DT10" s="68"/>
      <c r="DU10" s="68"/>
      <c r="DV10" s="68"/>
      <c r="DW10" s="68"/>
      <c r="DX10" s="70"/>
      <c r="DY10" s="466"/>
      <c r="DZ10" s="466"/>
      <c r="EA10" s="466"/>
      <c r="EB10" s="466"/>
      <c r="EC10" s="466"/>
      <c r="ED10" s="466"/>
      <c r="EE10" s="466"/>
      <c r="EF10" s="466"/>
      <c r="EG10" s="466"/>
      <c r="EH10" s="466"/>
      <c r="EI10" s="466"/>
      <c r="EJ10" s="466"/>
      <c r="EK10" s="460"/>
      <c r="EL10" s="460"/>
      <c r="EM10" s="460"/>
      <c r="EN10" s="460"/>
      <c r="EO10" s="460"/>
      <c r="EP10" s="460"/>
      <c r="EQ10" s="460"/>
      <c r="ER10" s="460"/>
      <c r="ES10" s="460"/>
      <c r="ET10" s="460"/>
      <c r="EU10" s="460"/>
      <c r="EV10" s="460"/>
      <c r="EW10" s="460"/>
      <c r="EX10" s="460"/>
      <c r="EY10" s="460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55" customFormat="1" ht="109.5" customHeight="1">
      <c r="A11" s="460"/>
      <c r="B11" s="460"/>
      <c r="C11" s="460"/>
      <c r="D11" s="460"/>
      <c r="E11" s="460"/>
      <c r="F11" s="462"/>
      <c r="G11" s="462"/>
      <c r="H11" s="462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4"/>
      <c r="BX11" s="464"/>
      <c r="BY11" s="464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0"/>
      <c r="CT11" s="460"/>
      <c r="CU11" s="460"/>
      <c r="CV11" s="460"/>
      <c r="CW11" s="460"/>
      <c r="CX11" s="462"/>
      <c r="CY11" s="462"/>
      <c r="CZ11" s="462"/>
      <c r="DA11" s="460"/>
      <c r="DB11" s="460"/>
      <c r="DC11" s="460"/>
      <c r="DD11" s="460"/>
      <c r="DE11" s="460"/>
      <c r="DF11" s="460"/>
      <c r="DG11" s="460"/>
      <c r="DH11" s="460"/>
      <c r="DI11" s="460"/>
      <c r="DJ11" s="466"/>
      <c r="DK11" s="466"/>
      <c r="DL11" s="466"/>
      <c r="DM11" s="468" t="s">
        <v>115</v>
      </c>
      <c r="DN11" s="468"/>
      <c r="DO11" s="468"/>
      <c r="DP11" s="466" t="s">
        <v>116</v>
      </c>
      <c r="DQ11" s="466"/>
      <c r="DR11" s="466"/>
      <c r="DS11" s="468" t="s">
        <v>117</v>
      </c>
      <c r="DT11" s="468"/>
      <c r="DU11" s="468"/>
      <c r="DV11" s="468" t="s">
        <v>118</v>
      </c>
      <c r="DW11" s="468"/>
      <c r="DX11" s="468"/>
      <c r="DY11" s="466"/>
      <c r="DZ11" s="466"/>
      <c r="EA11" s="466"/>
      <c r="EB11" s="466"/>
      <c r="EC11" s="466"/>
      <c r="ED11" s="466"/>
      <c r="EE11" s="466"/>
      <c r="EF11" s="466"/>
      <c r="EG11" s="466"/>
      <c r="EH11" s="466"/>
      <c r="EI11" s="466"/>
      <c r="EJ11" s="466"/>
      <c r="EK11" s="460"/>
      <c r="EL11" s="460"/>
      <c r="EM11" s="460"/>
      <c r="EN11" s="460"/>
      <c r="EO11" s="460"/>
      <c r="EP11" s="460"/>
      <c r="EQ11" s="460"/>
      <c r="ER11" s="460"/>
      <c r="ES11" s="460"/>
      <c r="ET11" s="460"/>
      <c r="EU11" s="460"/>
      <c r="EV11" s="460"/>
      <c r="EW11" s="460"/>
      <c r="EX11" s="460"/>
      <c r="EY11" s="460"/>
      <c r="EZ11" s="59"/>
      <c r="FA11" s="71"/>
      <c r="FB11" s="71"/>
      <c r="FC11" s="71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159" s="59" customFormat="1" ht="42.75" customHeight="1">
      <c r="A12" s="460"/>
      <c r="B12" s="460"/>
      <c r="C12" s="55" t="s">
        <v>119</v>
      </c>
      <c r="D12" s="72" t="s">
        <v>120</v>
      </c>
      <c r="E12" s="55" t="s">
        <v>121</v>
      </c>
      <c r="F12" s="55" t="s">
        <v>119</v>
      </c>
      <c r="G12" s="55" t="s">
        <v>120</v>
      </c>
      <c r="H12" s="55" t="s">
        <v>121</v>
      </c>
      <c r="I12" s="55" t="s">
        <v>119</v>
      </c>
      <c r="J12" s="55" t="s">
        <v>120</v>
      </c>
      <c r="K12" s="55" t="s">
        <v>121</v>
      </c>
      <c r="L12" s="55" t="s">
        <v>119</v>
      </c>
      <c r="M12" s="55" t="s">
        <v>120</v>
      </c>
      <c r="N12" s="55" t="s">
        <v>121</v>
      </c>
      <c r="O12" s="55" t="s">
        <v>119</v>
      </c>
      <c r="P12" s="55" t="s">
        <v>120</v>
      </c>
      <c r="Q12" s="55" t="s">
        <v>121</v>
      </c>
      <c r="R12" s="55" t="s">
        <v>119</v>
      </c>
      <c r="S12" s="55" t="s">
        <v>120</v>
      </c>
      <c r="T12" s="55" t="s">
        <v>121</v>
      </c>
      <c r="U12" s="55" t="s">
        <v>119</v>
      </c>
      <c r="V12" s="55" t="s">
        <v>120</v>
      </c>
      <c r="W12" s="55" t="s">
        <v>121</v>
      </c>
      <c r="X12" s="55" t="s">
        <v>119</v>
      </c>
      <c r="Y12" s="55" t="s">
        <v>120</v>
      </c>
      <c r="Z12" s="55" t="s">
        <v>121</v>
      </c>
      <c r="AA12" s="55" t="s">
        <v>119</v>
      </c>
      <c r="AB12" s="55" t="s">
        <v>120</v>
      </c>
      <c r="AC12" s="55" t="s">
        <v>121</v>
      </c>
      <c r="AD12" s="55" t="s">
        <v>119</v>
      </c>
      <c r="AE12" s="55" t="s">
        <v>120</v>
      </c>
      <c r="AF12" s="55" t="s">
        <v>121</v>
      </c>
      <c r="AG12" s="55" t="s">
        <v>119</v>
      </c>
      <c r="AH12" s="55" t="s">
        <v>120</v>
      </c>
      <c r="AI12" s="55" t="s">
        <v>121</v>
      </c>
      <c r="AJ12" s="55" t="s">
        <v>119</v>
      </c>
      <c r="AK12" s="55" t="s">
        <v>120</v>
      </c>
      <c r="AL12" s="55" t="s">
        <v>121</v>
      </c>
      <c r="AM12" s="55" t="s">
        <v>119</v>
      </c>
      <c r="AN12" s="55" t="s">
        <v>120</v>
      </c>
      <c r="AO12" s="55" t="s">
        <v>121</v>
      </c>
      <c r="AP12" s="55" t="s">
        <v>119</v>
      </c>
      <c r="AQ12" s="55" t="s">
        <v>120</v>
      </c>
      <c r="AR12" s="55" t="s">
        <v>121</v>
      </c>
      <c r="AS12" s="55" t="s">
        <v>119</v>
      </c>
      <c r="AT12" s="55" t="s">
        <v>120</v>
      </c>
      <c r="AU12" s="55" t="s">
        <v>121</v>
      </c>
      <c r="AV12" s="55" t="s">
        <v>119</v>
      </c>
      <c r="AW12" s="55" t="s">
        <v>120</v>
      </c>
      <c r="AX12" s="55" t="s">
        <v>121</v>
      </c>
      <c r="AY12" s="55" t="s">
        <v>119</v>
      </c>
      <c r="AZ12" s="55" t="s">
        <v>120</v>
      </c>
      <c r="BA12" s="55" t="s">
        <v>121</v>
      </c>
      <c r="BB12" s="55"/>
      <c r="BC12" s="55"/>
      <c r="BD12" s="55"/>
      <c r="BE12" s="55" t="s">
        <v>122</v>
      </c>
      <c r="BF12" s="55" t="s">
        <v>120</v>
      </c>
      <c r="BG12" s="55" t="s">
        <v>121</v>
      </c>
      <c r="BH12" s="55" t="s">
        <v>119</v>
      </c>
      <c r="BI12" s="55" t="s">
        <v>120</v>
      </c>
      <c r="BJ12" s="55" t="s">
        <v>121</v>
      </c>
      <c r="BK12" s="55" t="s">
        <v>119</v>
      </c>
      <c r="BL12" s="55" t="s">
        <v>120</v>
      </c>
      <c r="BM12" s="55" t="s">
        <v>121</v>
      </c>
      <c r="BN12" s="55" t="s">
        <v>122</v>
      </c>
      <c r="BO12" s="55" t="s">
        <v>120</v>
      </c>
      <c r="BP12" s="55" t="s">
        <v>121</v>
      </c>
      <c r="BQ12" s="55" t="s">
        <v>122</v>
      </c>
      <c r="BR12" s="55" t="s">
        <v>120</v>
      </c>
      <c r="BS12" s="55" t="s">
        <v>121</v>
      </c>
      <c r="BT12" s="55" t="s">
        <v>122</v>
      </c>
      <c r="BU12" s="55" t="s">
        <v>120</v>
      </c>
      <c r="BV12" s="55" t="s">
        <v>121</v>
      </c>
      <c r="BW12" s="55" t="s">
        <v>122</v>
      </c>
      <c r="BX12" s="55" t="s">
        <v>120</v>
      </c>
      <c r="BY12" s="55" t="s">
        <v>121</v>
      </c>
      <c r="BZ12" s="55" t="s">
        <v>119</v>
      </c>
      <c r="CA12" s="55" t="s">
        <v>120</v>
      </c>
      <c r="CB12" s="55" t="s">
        <v>121</v>
      </c>
      <c r="CC12" s="55" t="s">
        <v>119</v>
      </c>
      <c r="CD12" s="55" t="s">
        <v>120</v>
      </c>
      <c r="CE12" s="55" t="s">
        <v>121</v>
      </c>
      <c r="CF12" s="55" t="s">
        <v>119</v>
      </c>
      <c r="CG12" s="55" t="s">
        <v>120</v>
      </c>
      <c r="CH12" s="55" t="s">
        <v>121</v>
      </c>
      <c r="CI12" s="55" t="s">
        <v>119</v>
      </c>
      <c r="CJ12" s="55" t="s">
        <v>120</v>
      </c>
      <c r="CK12" s="55" t="s">
        <v>121</v>
      </c>
      <c r="CL12" s="55" t="s">
        <v>119</v>
      </c>
      <c r="CM12" s="55" t="s">
        <v>120</v>
      </c>
      <c r="CN12" s="55" t="s">
        <v>121</v>
      </c>
      <c r="CO12" s="55" t="s">
        <v>119</v>
      </c>
      <c r="CP12" s="55" t="s">
        <v>120</v>
      </c>
      <c r="CQ12" s="55" t="s">
        <v>121</v>
      </c>
      <c r="CR12" s="55" t="s">
        <v>119</v>
      </c>
      <c r="CS12" s="55" t="s">
        <v>120</v>
      </c>
      <c r="CT12" s="55" t="s">
        <v>121</v>
      </c>
      <c r="CU12" s="55" t="s">
        <v>119</v>
      </c>
      <c r="CV12" s="55" t="s">
        <v>120</v>
      </c>
      <c r="CW12" s="55" t="s">
        <v>121</v>
      </c>
      <c r="CX12" s="55" t="s">
        <v>119</v>
      </c>
      <c r="CY12" s="55" t="s">
        <v>120</v>
      </c>
      <c r="CZ12" s="55" t="s">
        <v>121</v>
      </c>
      <c r="DA12" s="55" t="s">
        <v>119</v>
      </c>
      <c r="DB12" s="55" t="s">
        <v>120</v>
      </c>
      <c r="DC12" s="55" t="s">
        <v>121</v>
      </c>
      <c r="DD12" s="55" t="s">
        <v>119</v>
      </c>
      <c r="DE12" s="55" t="s">
        <v>120</v>
      </c>
      <c r="DF12" s="55" t="s">
        <v>121</v>
      </c>
      <c r="DG12" s="55" t="s">
        <v>119</v>
      </c>
      <c r="DH12" s="55" t="s">
        <v>120</v>
      </c>
      <c r="DI12" s="55" t="s">
        <v>121</v>
      </c>
      <c r="DJ12" s="55" t="s">
        <v>119</v>
      </c>
      <c r="DK12" s="55" t="s">
        <v>120</v>
      </c>
      <c r="DL12" s="55" t="s">
        <v>121</v>
      </c>
      <c r="DM12" s="55" t="s">
        <v>119</v>
      </c>
      <c r="DN12" s="55" t="s">
        <v>120</v>
      </c>
      <c r="DO12" s="55" t="s">
        <v>121</v>
      </c>
      <c r="DP12" s="55" t="s">
        <v>119</v>
      </c>
      <c r="DQ12" s="55" t="s">
        <v>120</v>
      </c>
      <c r="DR12" s="55" t="s">
        <v>121</v>
      </c>
      <c r="DS12" s="55" t="s">
        <v>119</v>
      </c>
      <c r="DT12" s="55" t="s">
        <v>120</v>
      </c>
      <c r="DU12" s="55" t="s">
        <v>121</v>
      </c>
      <c r="DV12" s="55" t="s">
        <v>119</v>
      </c>
      <c r="DW12" s="55" t="s">
        <v>120</v>
      </c>
      <c r="DX12" s="55" t="s">
        <v>121</v>
      </c>
      <c r="DY12" s="55" t="s">
        <v>119</v>
      </c>
      <c r="DZ12" s="55" t="s">
        <v>120</v>
      </c>
      <c r="EA12" s="55" t="s">
        <v>121</v>
      </c>
      <c r="EB12" s="55" t="s">
        <v>119</v>
      </c>
      <c r="EC12" s="55" t="s">
        <v>120</v>
      </c>
      <c r="ED12" s="55" t="s">
        <v>121</v>
      </c>
      <c r="EE12" s="55" t="s">
        <v>119</v>
      </c>
      <c r="EF12" s="55" t="s">
        <v>120</v>
      </c>
      <c r="EG12" s="55" t="s">
        <v>121</v>
      </c>
      <c r="EH12" s="55" t="s">
        <v>119</v>
      </c>
      <c r="EI12" s="55" t="s">
        <v>120</v>
      </c>
      <c r="EJ12" s="55" t="s">
        <v>121</v>
      </c>
      <c r="EK12" s="55" t="s">
        <v>119</v>
      </c>
      <c r="EL12" s="55" t="s">
        <v>120</v>
      </c>
      <c r="EM12" s="55" t="s">
        <v>121</v>
      </c>
      <c r="EN12" s="55" t="s">
        <v>119</v>
      </c>
      <c r="EO12" s="55" t="s">
        <v>120</v>
      </c>
      <c r="EP12" s="55" t="s">
        <v>121</v>
      </c>
      <c r="EQ12" s="55" t="s">
        <v>119</v>
      </c>
      <c r="ER12" s="55" t="s">
        <v>120</v>
      </c>
      <c r="ES12" s="55" t="s">
        <v>121</v>
      </c>
      <c r="ET12" s="55" t="s">
        <v>119</v>
      </c>
      <c r="EU12" s="55" t="s">
        <v>120</v>
      </c>
      <c r="EV12" s="55" t="s">
        <v>121</v>
      </c>
      <c r="EW12" s="55" t="s">
        <v>119</v>
      </c>
      <c r="EX12" s="55" t="s">
        <v>120</v>
      </c>
      <c r="EY12" s="55" t="s">
        <v>121</v>
      </c>
      <c r="FA12" s="71"/>
      <c r="FB12" s="71"/>
      <c r="FC12" s="71"/>
    </row>
    <row r="13" spans="1:155" s="59" customFormat="1" ht="24" customHeight="1">
      <c r="A13" s="55">
        <v>1</v>
      </c>
      <c r="B13" s="55">
        <v>2</v>
      </c>
      <c r="C13" s="55">
        <v>3</v>
      </c>
      <c r="D13" s="72">
        <v>4</v>
      </c>
      <c r="E13" s="55">
        <v>5</v>
      </c>
      <c r="F13" s="55">
        <v>6</v>
      </c>
      <c r="G13" s="55">
        <v>7</v>
      </c>
      <c r="H13" s="55">
        <v>8</v>
      </c>
      <c r="I13" s="55">
        <v>9</v>
      </c>
      <c r="J13" s="55">
        <v>10</v>
      </c>
      <c r="K13" s="55">
        <v>11</v>
      </c>
      <c r="L13" s="55">
        <v>12</v>
      </c>
      <c r="M13" s="55">
        <v>13</v>
      </c>
      <c r="N13" s="55">
        <v>14</v>
      </c>
      <c r="O13" s="55">
        <v>15</v>
      </c>
      <c r="P13" s="55">
        <v>16</v>
      </c>
      <c r="Q13" s="55">
        <v>17</v>
      </c>
      <c r="R13" s="55">
        <v>18</v>
      </c>
      <c r="S13" s="55">
        <v>19</v>
      </c>
      <c r="T13" s="55">
        <v>20</v>
      </c>
      <c r="U13" s="55">
        <v>21</v>
      </c>
      <c r="V13" s="55">
        <v>22</v>
      </c>
      <c r="W13" s="55">
        <v>23</v>
      </c>
      <c r="X13" s="55">
        <v>24</v>
      </c>
      <c r="Y13" s="55">
        <v>25</v>
      </c>
      <c r="Z13" s="55">
        <v>26</v>
      </c>
      <c r="AA13" s="55">
        <v>27</v>
      </c>
      <c r="AB13" s="55">
        <v>28</v>
      </c>
      <c r="AC13" s="55">
        <v>29</v>
      </c>
      <c r="AD13" s="55">
        <v>30</v>
      </c>
      <c r="AE13" s="55">
        <v>31</v>
      </c>
      <c r="AF13" s="55">
        <v>32</v>
      </c>
      <c r="AG13" s="55">
        <v>33</v>
      </c>
      <c r="AH13" s="55">
        <v>34</v>
      </c>
      <c r="AI13" s="55">
        <v>35</v>
      </c>
      <c r="AJ13" s="55">
        <v>36</v>
      </c>
      <c r="AK13" s="55">
        <v>37</v>
      </c>
      <c r="AL13" s="55">
        <v>38</v>
      </c>
      <c r="AM13" s="55">
        <v>39</v>
      </c>
      <c r="AN13" s="55">
        <v>40</v>
      </c>
      <c r="AO13" s="55">
        <v>41</v>
      </c>
      <c r="AP13" s="55">
        <v>42</v>
      </c>
      <c r="AQ13" s="55">
        <v>43</v>
      </c>
      <c r="AR13" s="55">
        <v>44</v>
      </c>
      <c r="AS13" s="55">
        <v>45</v>
      </c>
      <c r="AT13" s="55">
        <v>46</v>
      </c>
      <c r="AU13" s="55">
        <v>47</v>
      </c>
      <c r="AV13" s="55">
        <v>48</v>
      </c>
      <c r="AW13" s="55">
        <v>49</v>
      </c>
      <c r="AX13" s="55">
        <v>50</v>
      </c>
      <c r="AY13" s="55">
        <v>48</v>
      </c>
      <c r="AZ13" s="55">
        <v>49</v>
      </c>
      <c r="BA13" s="55">
        <v>50</v>
      </c>
      <c r="BB13" s="55">
        <v>51</v>
      </c>
      <c r="BC13" s="55">
        <v>52</v>
      </c>
      <c r="BD13" s="55">
        <v>56</v>
      </c>
      <c r="BE13" s="55">
        <v>51</v>
      </c>
      <c r="BF13" s="55">
        <v>52</v>
      </c>
      <c r="BG13" s="55">
        <v>53</v>
      </c>
      <c r="BH13" s="55">
        <v>60</v>
      </c>
      <c r="BI13" s="73">
        <v>61</v>
      </c>
      <c r="BJ13" s="74">
        <v>62</v>
      </c>
      <c r="BK13" s="55">
        <v>63</v>
      </c>
      <c r="BL13" s="55">
        <v>64</v>
      </c>
      <c r="BM13" s="55">
        <v>65</v>
      </c>
      <c r="BN13" s="55">
        <v>66</v>
      </c>
      <c r="BO13" s="55">
        <v>67</v>
      </c>
      <c r="BP13" s="55">
        <v>68</v>
      </c>
      <c r="BQ13" s="55">
        <v>54</v>
      </c>
      <c r="BR13" s="55">
        <v>55</v>
      </c>
      <c r="BS13" s="55">
        <v>56</v>
      </c>
      <c r="BT13" s="55">
        <v>72</v>
      </c>
      <c r="BU13" s="55">
        <v>73</v>
      </c>
      <c r="BV13" s="55">
        <v>74</v>
      </c>
      <c r="BW13" s="55">
        <v>75</v>
      </c>
      <c r="BX13" s="55">
        <v>76</v>
      </c>
      <c r="BY13" s="55">
        <v>77</v>
      </c>
      <c r="BZ13" s="55">
        <v>57</v>
      </c>
      <c r="CA13" s="55">
        <v>58</v>
      </c>
      <c r="CB13" s="55">
        <v>59</v>
      </c>
      <c r="CC13" s="55">
        <v>60</v>
      </c>
      <c r="CD13" s="55">
        <v>61</v>
      </c>
      <c r="CE13" s="55">
        <v>62</v>
      </c>
      <c r="CF13" s="55">
        <v>63</v>
      </c>
      <c r="CG13" s="55">
        <v>64</v>
      </c>
      <c r="CH13" s="55">
        <v>65</v>
      </c>
      <c r="CI13" s="55">
        <v>66</v>
      </c>
      <c r="CJ13" s="55">
        <v>67</v>
      </c>
      <c r="CK13" s="55">
        <v>68</v>
      </c>
      <c r="CL13" s="55">
        <v>69</v>
      </c>
      <c r="CM13" s="55">
        <v>70</v>
      </c>
      <c r="CN13" s="55">
        <v>71</v>
      </c>
      <c r="CO13" s="55">
        <v>72</v>
      </c>
      <c r="CP13" s="55">
        <v>73</v>
      </c>
      <c r="CQ13" s="55">
        <v>74</v>
      </c>
      <c r="CR13" s="55">
        <v>75</v>
      </c>
      <c r="CS13" s="55">
        <v>76</v>
      </c>
      <c r="CT13" s="55">
        <v>77</v>
      </c>
      <c r="CU13" s="55">
        <v>78</v>
      </c>
      <c r="CV13" s="55">
        <v>79</v>
      </c>
      <c r="CW13" s="55">
        <v>80</v>
      </c>
      <c r="CX13" s="55">
        <v>96</v>
      </c>
      <c r="CY13" s="55">
        <v>97</v>
      </c>
      <c r="CZ13" s="55">
        <v>98</v>
      </c>
      <c r="DA13" s="55">
        <v>99</v>
      </c>
      <c r="DB13" s="55">
        <v>100</v>
      </c>
      <c r="DC13" s="55">
        <v>101</v>
      </c>
      <c r="DD13" s="55">
        <v>102</v>
      </c>
      <c r="DE13" s="55">
        <v>103</v>
      </c>
      <c r="DF13" s="55">
        <v>104</v>
      </c>
      <c r="DG13" s="55">
        <v>81</v>
      </c>
      <c r="DH13" s="55">
        <v>82</v>
      </c>
      <c r="DI13" s="55">
        <v>83</v>
      </c>
      <c r="DJ13" s="55">
        <v>84</v>
      </c>
      <c r="DK13" s="55">
        <v>85</v>
      </c>
      <c r="DL13" s="55">
        <v>86</v>
      </c>
      <c r="DM13" s="55">
        <v>87</v>
      </c>
      <c r="DN13" s="55">
        <v>88</v>
      </c>
      <c r="DO13" s="55">
        <v>89</v>
      </c>
      <c r="DP13" s="55">
        <v>90</v>
      </c>
      <c r="DQ13" s="55">
        <v>91</v>
      </c>
      <c r="DR13" s="55">
        <v>92</v>
      </c>
      <c r="DS13" s="55">
        <v>93</v>
      </c>
      <c r="DT13" s="55">
        <v>94</v>
      </c>
      <c r="DU13" s="55">
        <v>95</v>
      </c>
      <c r="DV13" s="55">
        <v>96</v>
      </c>
      <c r="DW13" s="55">
        <v>97</v>
      </c>
      <c r="DX13" s="55">
        <v>98</v>
      </c>
      <c r="DY13" s="55">
        <v>99</v>
      </c>
      <c r="DZ13" s="55">
        <v>100</v>
      </c>
      <c r="EA13" s="55">
        <v>101</v>
      </c>
      <c r="EB13" s="55">
        <v>102</v>
      </c>
      <c r="EC13" s="55">
        <v>103</v>
      </c>
      <c r="ED13" s="55">
        <v>104</v>
      </c>
      <c r="EE13" s="55">
        <v>105</v>
      </c>
      <c r="EF13" s="55">
        <v>106</v>
      </c>
      <c r="EG13" s="55">
        <v>107</v>
      </c>
      <c r="EH13" s="55">
        <v>108</v>
      </c>
      <c r="EI13" s="55">
        <v>109</v>
      </c>
      <c r="EJ13" s="55">
        <v>110</v>
      </c>
      <c r="EK13" s="55">
        <v>111</v>
      </c>
      <c r="EL13" s="55">
        <v>112</v>
      </c>
      <c r="EM13" s="55">
        <v>113</v>
      </c>
      <c r="EN13" s="55">
        <v>114</v>
      </c>
      <c r="EO13" s="55">
        <v>115</v>
      </c>
      <c r="EP13" s="55">
        <v>116</v>
      </c>
      <c r="EQ13" s="55">
        <v>117</v>
      </c>
      <c r="ER13" s="55">
        <v>118</v>
      </c>
      <c r="ES13" s="55">
        <v>119</v>
      </c>
      <c r="ET13" s="55">
        <v>120</v>
      </c>
      <c r="EU13" s="55">
        <v>121</v>
      </c>
      <c r="EV13" s="55">
        <v>122</v>
      </c>
      <c r="EW13" s="55">
        <v>123</v>
      </c>
      <c r="EX13" s="55">
        <v>124</v>
      </c>
      <c r="EY13" s="55">
        <v>125</v>
      </c>
    </row>
    <row r="14" spans="1:159" s="59" customFormat="1" ht="25.5" customHeight="1">
      <c r="A14" s="75">
        <v>1</v>
      </c>
      <c r="B14" s="76" t="s">
        <v>123</v>
      </c>
      <c r="C14" s="77">
        <f aca="true" t="shared" si="0" ref="C14:C29">F14+BZ14</f>
        <v>4314.688</v>
      </c>
      <c r="D14" s="78">
        <f aca="true" t="shared" si="1" ref="D14:D29">G14+CA14+CY14</f>
        <v>4317.935649999999</v>
      </c>
      <c r="E14" s="79">
        <f aca="true" t="shared" si="2" ref="E14:E29">D14/C14*100</f>
        <v>100.07526963710932</v>
      </c>
      <c r="F14" s="80">
        <f aca="true" t="shared" si="3" ref="F14:F29">I14+X14+AA14+AD14+AG14+AM14+AS14+BE14+BQ14+BN14+AJ14+AY14+L14+R14+O14+U14+AP14</f>
        <v>639.72</v>
      </c>
      <c r="G14" s="80">
        <f aca="true" t="shared" si="4" ref="G14:G29">J14+Y14+AB14+AE14+AH14+AN14+AT14+BF14+AK14+BR14+BO14+AZ14+M14+S14+P14+V14+AQ14</f>
        <v>642.9676499999999</v>
      </c>
      <c r="H14" s="79">
        <f aca="true" t="shared" si="5" ref="H14:H29">G14/F14*100</f>
        <v>100.50766741699493</v>
      </c>
      <c r="I14" s="81">
        <f>Але!C6</f>
        <v>62.67</v>
      </c>
      <c r="J14" s="82">
        <f>Але!D6</f>
        <v>66.41363</v>
      </c>
      <c r="K14" s="79">
        <f aca="true" t="shared" si="6" ref="K14:K29">J14/I14*100</f>
        <v>105.97355991702568</v>
      </c>
      <c r="L14" s="79">
        <f>Але!C8</f>
        <v>93.16</v>
      </c>
      <c r="M14" s="79">
        <f>Але!D8</f>
        <v>129.52542</v>
      </c>
      <c r="N14" s="79">
        <f aca="true" t="shared" si="7" ref="N14:N29">M14/L14*100</f>
        <v>139.0354443967368</v>
      </c>
      <c r="O14" s="79">
        <f>Але!C9</f>
        <v>1</v>
      </c>
      <c r="P14" s="79">
        <f>Але!D9</f>
        <v>0.91092</v>
      </c>
      <c r="Q14" s="79">
        <f aca="true" t="shared" si="8" ref="Q14:Q29">P14/O14*100</f>
        <v>91.092</v>
      </c>
      <c r="R14" s="79">
        <f>Але!C10</f>
        <v>155.59</v>
      </c>
      <c r="S14" s="79">
        <f>Але!D10</f>
        <v>172.21585</v>
      </c>
      <c r="T14" s="79">
        <f aca="true" t="shared" si="9" ref="T14:T29">S14/R14*100</f>
        <v>110.68568031364482</v>
      </c>
      <c r="U14" s="79">
        <f>Але!C11</f>
        <v>0</v>
      </c>
      <c r="V14" s="83">
        <f>Але!D11</f>
        <v>-22.0874</v>
      </c>
      <c r="W14" s="79" t="e">
        <f aca="true" t="shared" si="10" ref="W14:W29">V14/U14*100</f>
        <v>#DIV/0!</v>
      </c>
      <c r="X14" s="84">
        <f>Але!C13</f>
        <v>25</v>
      </c>
      <c r="Y14" s="85">
        <f>Але!D13</f>
        <v>0</v>
      </c>
      <c r="Z14" s="79">
        <f aca="true" t="shared" si="11" ref="Z14:Z29">Y14/X14*100</f>
        <v>0</v>
      </c>
      <c r="AA14" s="84">
        <f>Але!C15</f>
        <v>50</v>
      </c>
      <c r="AB14" s="86">
        <f>Але!D15</f>
        <v>95.48567</v>
      </c>
      <c r="AC14" s="79">
        <f aca="true" t="shared" si="12" ref="AC14:AC29">AB14/AA14*100</f>
        <v>190.97134</v>
      </c>
      <c r="AD14" s="84">
        <f>Але!C16</f>
        <v>195</v>
      </c>
      <c r="AE14" s="84">
        <f>Але!D16</f>
        <v>144.81888</v>
      </c>
      <c r="AF14" s="79">
        <f aca="true" t="shared" si="13" ref="AF14:AF29">AE14/AD14*100</f>
        <v>74.2660923076923</v>
      </c>
      <c r="AG14" s="79">
        <f>Але!C18</f>
        <v>3</v>
      </c>
      <c r="AH14" s="79">
        <f>Але!D18</f>
        <v>1.4</v>
      </c>
      <c r="AI14" s="79">
        <f aca="true" t="shared" si="14" ref="AI14:AI29">AH14/AG14*100</f>
        <v>46.666666666666664</v>
      </c>
      <c r="AJ14" s="79"/>
      <c r="AK14" s="79"/>
      <c r="AL14" s="87" t="e">
        <f aca="true" t="shared" si="15" ref="AL14:AL24">AK14/AJ14*100</f>
        <v>#DIV/0!</v>
      </c>
      <c r="AM14" s="84">
        <v>0</v>
      </c>
      <c r="AN14" s="84">
        <v>0</v>
      </c>
      <c r="AO14" s="87" t="e">
        <f aca="true" t="shared" si="16" ref="AO14:AO29">AN14/AM14*100</f>
        <v>#DIV/0!</v>
      </c>
      <c r="AP14" s="84">
        <f>Але!C27</f>
        <v>54.3</v>
      </c>
      <c r="AQ14" s="86">
        <f>Але!D27</f>
        <v>54.28468</v>
      </c>
      <c r="AR14" s="79">
        <f aca="true" t="shared" si="17" ref="AR14:AR29">AQ14/AP14*100</f>
        <v>99.97178637200737</v>
      </c>
      <c r="AS14" s="84">
        <f>Але!C28</f>
        <v>0</v>
      </c>
      <c r="AT14" s="86">
        <f>Але!D28</f>
        <v>0</v>
      </c>
      <c r="AU14" s="79" t="e">
        <f aca="true" t="shared" si="18" ref="AU14:AU29">AT14/AS14*100</f>
        <v>#DIV/0!</v>
      </c>
      <c r="AV14" s="84"/>
      <c r="AW14" s="84"/>
      <c r="AX14" s="79" t="e">
        <f aca="true" t="shared" si="19" ref="AX14:AX29">AW14/AV14*100</f>
        <v>#DIV/0!</v>
      </c>
      <c r="AY14" s="79">
        <f>Але!C29</f>
        <v>0</v>
      </c>
      <c r="AZ14" s="79">
        <f>Але!D29</f>
        <v>0</v>
      </c>
      <c r="BA14" s="79" t="e">
        <f aca="true" t="shared" si="20" ref="BA14:BA31">AZ14/AY14*100</f>
        <v>#DIV/0!</v>
      </c>
      <c r="BB14" s="79">
        <f>Але!C30</f>
        <v>0</v>
      </c>
      <c r="BC14" s="79">
        <f>Але!D30</f>
        <v>0</v>
      </c>
      <c r="BD14" s="79" t="e">
        <f>BC14/BB14*100</f>
        <v>#DIV/0!</v>
      </c>
      <c r="BE14" s="79">
        <f>Але!C32</f>
        <v>0</v>
      </c>
      <c r="BF14" s="79">
        <f>Але!D31</f>
        <v>0</v>
      </c>
      <c r="BG14" s="79" t="e">
        <f>BF14/BE14*100</f>
        <v>#DIV/0!</v>
      </c>
      <c r="BH14" s="79"/>
      <c r="BI14" s="79"/>
      <c r="BJ14" s="79" t="e">
        <f>BI14/BH14*100</f>
        <v>#DIV/0!</v>
      </c>
      <c r="BK14" s="79"/>
      <c r="BL14" s="79"/>
      <c r="BM14" s="79"/>
      <c r="BN14" s="79"/>
      <c r="BO14" s="88"/>
      <c r="BP14" s="89" t="e">
        <f aca="true" t="shared" si="21" ref="BP14:BP29">BO14/BN14*100</f>
        <v>#DIV/0!</v>
      </c>
      <c r="BQ14" s="79">
        <f>Але!C34</f>
        <v>0</v>
      </c>
      <c r="BR14" s="79">
        <f>Але!D35</f>
        <v>0</v>
      </c>
      <c r="BS14" s="79" t="e">
        <f aca="true" t="shared" si="22" ref="BS14:BS29">BR14/BQ14*100</f>
        <v>#DIV/0!</v>
      </c>
      <c r="BT14" s="79"/>
      <c r="BU14" s="79"/>
      <c r="BV14" s="90" t="e">
        <f aca="true" t="shared" si="23" ref="BV14:BV29">BT14/BU14*100</f>
        <v>#DIV/0!</v>
      </c>
      <c r="BW14" s="90"/>
      <c r="BX14" s="90"/>
      <c r="BY14" s="90" t="e">
        <f aca="true" t="shared" si="24" ref="BY14:BY29">BW14/BX14*100</f>
        <v>#DIV/0!</v>
      </c>
      <c r="BZ14" s="84">
        <f aca="true" t="shared" si="25" ref="BZ14:BZ29">CC14+CF14+CI14+CL14+CR14+CO14</f>
        <v>3674.968</v>
      </c>
      <c r="CA14" s="84">
        <f aca="true" t="shared" si="26" ref="CA14:CA29">CD14+CG14+CJ14+CM14+CS14+CP14+CV14</f>
        <v>3674.968</v>
      </c>
      <c r="CB14" s="79">
        <f aca="true" t="shared" si="27" ref="CB14:CB29">CA14/BZ14*100</f>
        <v>100</v>
      </c>
      <c r="CC14" s="87">
        <f>Але!C39</f>
        <v>1901.5</v>
      </c>
      <c r="CD14" s="87">
        <f>Але!D39</f>
        <v>1901.5</v>
      </c>
      <c r="CE14" s="79">
        <f aca="true" t="shared" si="28" ref="CE14:CE29">CD14/CC14*100</f>
        <v>100</v>
      </c>
      <c r="CF14" s="79">
        <f>Але!C40</f>
        <v>0</v>
      </c>
      <c r="CG14" s="91">
        <f>Але!D40</f>
        <v>0</v>
      </c>
      <c r="CH14" s="79" t="e">
        <f aca="true" t="shared" si="29" ref="CH14:CH29">CG14/CF14*100</f>
        <v>#DIV/0!</v>
      </c>
      <c r="CI14" s="79">
        <f>Але!C41</f>
        <v>366.14</v>
      </c>
      <c r="CJ14" s="79">
        <f>Але!D41</f>
        <v>366.14</v>
      </c>
      <c r="CK14" s="79">
        <f aca="true" t="shared" si="30" ref="CK14:CK29">CJ14/CI14*100</f>
        <v>100</v>
      </c>
      <c r="CL14" s="79">
        <f>Але!C42</f>
        <v>103.383</v>
      </c>
      <c r="CM14" s="79">
        <f>Але!D42</f>
        <v>103.383</v>
      </c>
      <c r="CN14" s="79">
        <f aca="true" t="shared" si="31" ref="CN14:CN29">CM14/CL14*100</f>
        <v>100</v>
      </c>
      <c r="CO14" s="79">
        <f>Але!C44</f>
        <v>1303.945</v>
      </c>
      <c r="CP14" s="79">
        <f>Але!D44</f>
        <v>1303.945</v>
      </c>
      <c r="CQ14" s="79">
        <f aca="true" t="shared" si="32" ref="CQ14:CQ29">CP14/CO14*100</f>
        <v>100</v>
      </c>
      <c r="CR14" s="83">
        <f>Але!C43</f>
        <v>0</v>
      </c>
      <c r="CS14" s="79">
        <f>Але!D43</f>
        <v>0</v>
      </c>
      <c r="CT14" s="79" t="e">
        <f aca="true" t="shared" si="33" ref="CT14:CT29">CS14/CR14*100</f>
        <v>#DIV/0!</v>
      </c>
      <c r="CU14" s="79"/>
      <c r="CV14" s="79">
        <f>Але!D45</f>
        <v>0</v>
      </c>
      <c r="CW14" s="79" t="e">
        <f>CV13:CV14/CU14*100</f>
        <v>#DIV/0!</v>
      </c>
      <c r="CX14" s="84"/>
      <c r="CY14" s="84"/>
      <c r="CZ14" s="79" t="e">
        <f aca="true" t="shared" si="34" ref="CZ14:CZ29">CY14/CX14*100</f>
        <v>#DIV/0!</v>
      </c>
      <c r="DA14" s="79"/>
      <c r="DB14" s="79"/>
      <c r="DC14" s="79"/>
      <c r="DD14" s="79"/>
      <c r="DE14" s="79"/>
      <c r="DF14" s="79"/>
      <c r="DG14" s="84">
        <f aca="true" t="shared" si="35" ref="DG14:DG29">DJ14+DY14+EB14+EE14+EH14+EK14+EN14+EQ14+ET14</f>
        <v>4479.9612</v>
      </c>
      <c r="DH14" s="84">
        <f aca="true" t="shared" si="36" ref="DH14:DH29">DK14+DZ14+EC14+EF14+EI14+EL14+EO14+ER14+EU14</f>
        <v>4299.746950000001</v>
      </c>
      <c r="DI14" s="79">
        <f aca="true" t="shared" si="37" ref="DI14:DI29">DH14/DG14*100</f>
        <v>95.97732565183826</v>
      </c>
      <c r="DJ14" s="84">
        <f aca="true" t="shared" si="38" ref="DJ14:DK20">DM14+DP14+DS14+DV14</f>
        <v>1411.4370000000001</v>
      </c>
      <c r="DK14" s="84">
        <f t="shared" si="38"/>
        <v>1337.83782</v>
      </c>
      <c r="DL14" s="79">
        <f aca="true" t="shared" si="39" ref="DL14:DL29">DK14/DJ14*100</f>
        <v>94.7855143375156</v>
      </c>
      <c r="DM14" s="79">
        <f>Але!C54</f>
        <v>1341.429</v>
      </c>
      <c r="DN14" s="79">
        <f>Але!D54</f>
        <v>1317.82982</v>
      </c>
      <c r="DO14" s="79">
        <f aca="true" t="shared" si="40" ref="DO14:DO29">DN14/DM14*100</f>
        <v>98.24074326706817</v>
      </c>
      <c r="DP14" s="79">
        <f>Але!C57</f>
        <v>0</v>
      </c>
      <c r="DQ14" s="79">
        <f>Але!D57</f>
        <v>0</v>
      </c>
      <c r="DR14" s="79" t="e">
        <f aca="true" t="shared" si="41" ref="DR14:DR29">DQ14/DP14*100</f>
        <v>#DIV/0!</v>
      </c>
      <c r="DS14" s="79">
        <f>Але!C58</f>
        <v>50</v>
      </c>
      <c r="DT14" s="79">
        <f>Але!D58</f>
        <v>0</v>
      </c>
      <c r="DU14" s="79">
        <f aca="true" t="shared" si="42" ref="DU14:DU29">DT14/DS14*100</f>
        <v>0</v>
      </c>
      <c r="DV14" s="79">
        <f>Але!C59</f>
        <v>20.008</v>
      </c>
      <c r="DW14" s="79">
        <f>Але!D59</f>
        <v>20.008</v>
      </c>
      <c r="DX14" s="79">
        <f aca="true" t="shared" si="43" ref="DX14:DX29">DW14/DV14*100</f>
        <v>100</v>
      </c>
      <c r="DY14" s="79">
        <f>Але!C61</f>
        <v>103.383</v>
      </c>
      <c r="DZ14" s="79">
        <f>Але!D61</f>
        <v>103.383</v>
      </c>
      <c r="EA14" s="79">
        <f aca="true" t="shared" si="44" ref="EA14:EA29">DZ14/DY14*100</f>
        <v>100</v>
      </c>
      <c r="EB14" s="79">
        <f>Але!C62</f>
        <v>18.5</v>
      </c>
      <c r="EC14" s="79">
        <f>Але!D62</f>
        <v>15.135539999999999</v>
      </c>
      <c r="ED14" s="79">
        <f aca="true" t="shared" si="45" ref="ED14:ED29">EC14/EB14*100</f>
        <v>81.81372972972973</v>
      </c>
      <c r="EE14" s="84">
        <f>Але!C68</f>
        <v>901.9442</v>
      </c>
      <c r="EF14" s="84">
        <f>Але!D68</f>
        <v>869.59903</v>
      </c>
      <c r="EG14" s="79">
        <f aca="true" t="shared" si="46" ref="EG14:EG29">EF14/EE14*100</f>
        <v>96.41383912663332</v>
      </c>
      <c r="EH14" s="84">
        <f>Але!C73</f>
        <v>704.076</v>
      </c>
      <c r="EI14" s="84">
        <f>Але!D73</f>
        <v>663.17056</v>
      </c>
      <c r="EJ14" s="79">
        <f aca="true" t="shared" si="47" ref="EJ14:EJ29">EI14/EH14*100</f>
        <v>94.19019537663547</v>
      </c>
      <c r="EK14" s="84">
        <f>Але!C77</f>
        <v>1310.621</v>
      </c>
      <c r="EL14" s="92">
        <f>Але!D77</f>
        <v>1310.621</v>
      </c>
      <c r="EM14" s="79">
        <f aca="true" t="shared" si="48" ref="EM14:EM29">EL14/EK14*100</f>
        <v>100</v>
      </c>
      <c r="EN14" s="79">
        <f>Але!C79</f>
        <v>0</v>
      </c>
      <c r="EO14" s="79">
        <f>Але!D79</f>
        <v>0</v>
      </c>
      <c r="EP14" s="79" t="e">
        <f aca="true" t="shared" si="49" ref="EP14:EP29">EO14/EN14*100</f>
        <v>#DIV/0!</v>
      </c>
      <c r="EQ14" s="80">
        <f>Але!C84</f>
        <v>30</v>
      </c>
      <c r="ER14" s="80">
        <f>Але!D84</f>
        <v>0</v>
      </c>
      <c r="ES14" s="79">
        <f aca="true" t="shared" si="50" ref="ES14:ES29">ER14/EQ14*100</f>
        <v>0</v>
      </c>
      <c r="ET14" s="79">
        <f>Але!C90</f>
        <v>0</v>
      </c>
      <c r="EU14" s="79">
        <f>Але!D90</f>
        <v>0</v>
      </c>
      <c r="EV14" s="79" t="e">
        <f aca="true" t="shared" si="51" ref="EV14:EV29">EU14/ET14*100</f>
        <v>#DIV/0!</v>
      </c>
      <c r="EW14" s="88">
        <f aca="true" t="shared" si="52" ref="EW14:EW29">SUM(C14-DG14)</f>
        <v>-165.27319999999963</v>
      </c>
      <c r="EX14" s="88">
        <f aca="true" t="shared" si="53" ref="EX14:EX29">SUM(D14-DH14)</f>
        <v>18.18869999999879</v>
      </c>
      <c r="EY14" s="79">
        <f>EX14/EW14*1</f>
        <v>-0.11005232548289033</v>
      </c>
      <c r="EZ14" s="93"/>
      <c r="FA14" s="94"/>
      <c r="FC14" s="94"/>
    </row>
    <row r="15" spans="1:159" s="105" customFormat="1" ht="22.5" customHeight="1">
      <c r="A15" s="75">
        <v>2</v>
      </c>
      <c r="B15" s="95" t="s">
        <v>124</v>
      </c>
      <c r="C15" s="77">
        <f t="shared" si="0"/>
        <v>20084.31281</v>
      </c>
      <c r="D15" s="78">
        <f t="shared" si="1"/>
        <v>20698.402799999996</v>
      </c>
      <c r="E15" s="87">
        <f t="shared" si="2"/>
        <v>103.05756037465339</v>
      </c>
      <c r="F15" s="80">
        <f t="shared" si="3"/>
        <v>3721.32</v>
      </c>
      <c r="G15" s="80">
        <f t="shared" si="4"/>
        <v>4388.210789999998</v>
      </c>
      <c r="H15" s="87">
        <f t="shared" si="5"/>
        <v>117.92081277611166</v>
      </c>
      <c r="I15" s="96">
        <f>Сун!C6</f>
        <v>350.22</v>
      </c>
      <c r="J15" s="97">
        <f>Сун!D6</f>
        <v>509.88576</v>
      </c>
      <c r="K15" s="87">
        <f t="shared" si="6"/>
        <v>145.59013191708067</v>
      </c>
      <c r="L15" s="87">
        <f>Сун!C8</f>
        <v>267.48</v>
      </c>
      <c r="M15" s="87">
        <f>Сун!D8</f>
        <v>371.90467</v>
      </c>
      <c r="N15" s="79">
        <f t="shared" si="7"/>
        <v>139.04017870494988</v>
      </c>
      <c r="O15" s="79">
        <f>Сун!C9</f>
        <v>2.87</v>
      </c>
      <c r="P15" s="79">
        <f>Сун!D9</f>
        <v>2.61551</v>
      </c>
      <c r="Q15" s="79">
        <f t="shared" si="8"/>
        <v>91.13275261324041</v>
      </c>
      <c r="R15" s="79">
        <f>Сун!C10</f>
        <v>492.75</v>
      </c>
      <c r="S15" s="79">
        <f>Сун!D10</f>
        <v>494.48115</v>
      </c>
      <c r="T15" s="79">
        <f t="shared" si="9"/>
        <v>100.35132420091324</v>
      </c>
      <c r="U15" s="79">
        <f>Сун!C11</f>
        <v>0</v>
      </c>
      <c r="V15" s="83">
        <f>Сун!D11</f>
        <v>-63.41931</v>
      </c>
      <c r="W15" s="79" t="e">
        <f t="shared" si="10"/>
        <v>#DIV/0!</v>
      </c>
      <c r="X15" s="96">
        <f>Сун!C13</f>
        <v>40</v>
      </c>
      <c r="Y15" s="96">
        <f>Сун!D13</f>
        <v>43.1714</v>
      </c>
      <c r="Z15" s="87">
        <f t="shared" si="11"/>
        <v>107.9285</v>
      </c>
      <c r="AA15" s="96">
        <f>Сун!C15</f>
        <v>943</v>
      </c>
      <c r="AB15" s="86">
        <f>Сун!D15</f>
        <v>972.62579</v>
      </c>
      <c r="AC15" s="87">
        <f t="shared" si="12"/>
        <v>103.14165323435844</v>
      </c>
      <c r="AD15" s="96">
        <f>Сун!C16</f>
        <v>1200</v>
      </c>
      <c r="AE15" s="96">
        <f>Сун!D16</f>
        <v>1476.53241</v>
      </c>
      <c r="AF15" s="87">
        <f t="shared" si="13"/>
        <v>123.0443675</v>
      </c>
      <c r="AG15" s="87">
        <f>Сун!C18</f>
        <v>10</v>
      </c>
      <c r="AH15" s="87">
        <f>Сун!D18</f>
        <v>4.21</v>
      </c>
      <c r="AI15" s="87">
        <f t="shared" si="14"/>
        <v>42.1</v>
      </c>
      <c r="AJ15" s="87"/>
      <c r="AK15" s="87"/>
      <c r="AL15" s="87" t="e">
        <f t="shared" si="15"/>
        <v>#DIV/0!</v>
      </c>
      <c r="AM15" s="96">
        <f>Сун!C27</f>
        <v>0</v>
      </c>
      <c r="AN15" s="96">
        <f>Сун!D27</f>
        <v>0</v>
      </c>
      <c r="AO15" s="87" t="e">
        <f t="shared" si="16"/>
        <v>#DIV/0!</v>
      </c>
      <c r="AP15" s="96">
        <f>Сун!C28</f>
        <v>165</v>
      </c>
      <c r="AQ15" s="98">
        <f>Сун!D28</f>
        <v>321.556</v>
      </c>
      <c r="AR15" s="87">
        <f t="shared" si="17"/>
        <v>194.88242424242424</v>
      </c>
      <c r="AS15" s="84">
        <f>Сун!C29</f>
        <v>50</v>
      </c>
      <c r="AT15" s="98">
        <f>Сун!D29</f>
        <v>65.084</v>
      </c>
      <c r="AU15" s="87">
        <f t="shared" si="18"/>
        <v>130.168</v>
      </c>
      <c r="AV15" s="96"/>
      <c r="AW15" s="96"/>
      <c r="AX15" s="87" t="e">
        <f t="shared" si="19"/>
        <v>#DIV/0!</v>
      </c>
      <c r="AY15" s="87">
        <f>Сун!C31</f>
        <v>200</v>
      </c>
      <c r="AZ15" s="79">
        <f>Сун!D31</f>
        <v>180.13416</v>
      </c>
      <c r="BA15" s="87">
        <f t="shared" si="20"/>
        <v>90.06708</v>
      </c>
      <c r="BB15" s="87"/>
      <c r="BC15" s="87"/>
      <c r="BD15" s="87"/>
      <c r="BE15" s="87">
        <f>Сун!C32</f>
        <v>0</v>
      </c>
      <c r="BF15" s="87">
        <f>Сун!D32</f>
        <v>0</v>
      </c>
      <c r="BG15" s="87" t="e">
        <f>BF15/BE15*100</f>
        <v>#DIV/0!</v>
      </c>
      <c r="BH15" s="87"/>
      <c r="BI15" s="87"/>
      <c r="BJ15" s="87" t="e">
        <f>BI15/BH15*100</f>
        <v>#DIV/0!</v>
      </c>
      <c r="BK15" s="87">
        <f>Сун!C35</f>
        <v>0</v>
      </c>
      <c r="BL15" s="87">
        <f>Сун!D35</f>
        <v>12.0024</v>
      </c>
      <c r="BM15" s="87"/>
      <c r="BN15" s="87">
        <f>Сун!C35</f>
        <v>0</v>
      </c>
      <c r="BO15" s="87">
        <f>Сун!D35</f>
        <v>12.0024</v>
      </c>
      <c r="BP15" s="89" t="e">
        <f t="shared" si="21"/>
        <v>#DIV/0!</v>
      </c>
      <c r="BQ15" s="87">
        <f>Сун!C37</f>
        <v>0</v>
      </c>
      <c r="BR15" s="87">
        <f>Сун!D37</f>
        <v>-2.57315</v>
      </c>
      <c r="BS15" s="87" t="e">
        <f t="shared" si="22"/>
        <v>#DIV/0!</v>
      </c>
      <c r="BT15" s="87"/>
      <c r="BU15" s="87"/>
      <c r="BV15" s="99" t="e">
        <f t="shared" si="23"/>
        <v>#DIV/0!</v>
      </c>
      <c r="BW15" s="99"/>
      <c r="BX15" s="99"/>
      <c r="BY15" s="99" t="e">
        <f t="shared" si="24"/>
        <v>#DIV/0!</v>
      </c>
      <c r="BZ15" s="84">
        <f t="shared" si="25"/>
        <v>16362.992809999998</v>
      </c>
      <c r="CA15" s="84">
        <f t="shared" si="26"/>
        <v>16310.192009999999</v>
      </c>
      <c r="CB15" s="87">
        <f t="shared" si="27"/>
        <v>99.67731575382878</v>
      </c>
      <c r="CC15" s="87">
        <f>Сун!C42</f>
        <v>6036.4</v>
      </c>
      <c r="CD15" s="87">
        <f>Сун!D42</f>
        <v>6036.4</v>
      </c>
      <c r="CE15" s="87">
        <f t="shared" si="28"/>
        <v>100</v>
      </c>
      <c r="CF15" s="87">
        <f>Сун!C43</f>
        <v>0</v>
      </c>
      <c r="CG15" s="100">
        <f>Сун!D43</f>
        <v>0</v>
      </c>
      <c r="CH15" s="87" t="e">
        <f t="shared" si="29"/>
        <v>#DIV/0!</v>
      </c>
      <c r="CI15" s="101">
        <f>Сун!C44</f>
        <v>8509.34377</v>
      </c>
      <c r="CJ15" s="87">
        <f>Сун!D44</f>
        <v>8509.32397</v>
      </c>
      <c r="CK15" s="87">
        <f t="shared" si="30"/>
        <v>99.99976731460691</v>
      </c>
      <c r="CL15" s="87">
        <f>Сун!C46</f>
        <v>249.4229</v>
      </c>
      <c r="CM15" s="87">
        <f>Сун!D46</f>
        <v>249.4229</v>
      </c>
      <c r="CN15" s="87">
        <f t="shared" si="31"/>
        <v>100</v>
      </c>
      <c r="CO15" s="87">
        <f>Сун!C47</f>
        <v>1359.407</v>
      </c>
      <c r="CP15" s="87">
        <f>Сун!D47</f>
        <v>1306.626</v>
      </c>
      <c r="CQ15" s="79">
        <f t="shared" si="32"/>
        <v>96.117351168561</v>
      </c>
      <c r="CR15" s="102">
        <f>Сун!C48</f>
        <v>208.41914</v>
      </c>
      <c r="CS15" s="87">
        <f>Сун!D48</f>
        <v>208.41914</v>
      </c>
      <c r="CT15" s="87">
        <f t="shared" si="33"/>
        <v>100</v>
      </c>
      <c r="CU15" s="87"/>
      <c r="CV15" s="87"/>
      <c r="CW15" s="87"/>
      <c r="CX15" s="96"/>
      <c r="CY15" s="96"/>
      <c r="CZ15" s="87" t="e">
        <f t="shared" si="34"/>
        <v>#DIV/0!</v>
      </c>
      <c r="DA15" s="87"/>
      <c r="DB15" s="87"/>
      <c r="DC15" s="87"/>
      <c r="DD15" s="87"/>
      <c r="DE15" s="87"/>
      <c r="DF15" s="87"/>
      <c r="DG15" s="84">
        <f t="shared" si="35"/>
        <v>20967.70924</v>
      </c>
      <c r="DH15" s="84">
        <f t="shared" si="36"/>
        <v>19727.90154</v>
      </c>
      <c r="DI15" s="87">
        <f t="shared" si="37"/>
        <v>94.0870617490497</v>
      </c>
      <c r="DJ15" s="96">
        <f t="shared" si="38"/>
        <v>2176.898</v>
      </c>
      <c r="DK15" s="96">
        <f t="shared" si="38"/>
        <v>1965.1993999999997</v>
      </c>
      <c r="DL15" s="87">
        <f t="shared" si="39"/>
        <v>90.27521730462334</v>
      </c>
      <c r="DM15" s="87">
        <f>Сун!C59</f>
        <v>2050.9</v>
      </c>
      <c r="DN15" s="87">
        <f>Сун!D59</f>
        <v>1934.2014</v>
      </c>
      <c r="DO15" s="87">
        <f t="shared" si="40"/>
        <v>94.3098834657955</v>
      </c>
      <c r="DP15" s="87">
        <f>Сун!C62</f>
        <v>10.86</v>
      </c>
      <c r="DQ15" s="87">
        <f>Сун!D62</f>
        <v>10.86</v>
      </c>
      <c r="DR15" s="87">
        <f t="shared" si="41"/>
        <v>100</v>
      </c>
      <c r="DS15" s="87">
        <f>Сун!C63</f>
        <v>95</v>
      </c>
      <c r="DT15" s="87">
        <f>Сун!D63</f>
        <v>0</v>
      </c>
      <c r="DU15" s="87">
        <f t="shared" si="42"/>
        <v>0</v>
      </c>
      <c r="DV15" s="87">
        <f>Сун!C64</f>
        <v>20.138</v>
      </c>
      <c r="DW15" s="87">
        <f>Сун!D64</f>
        <v>20.138</v>
      </c>
      <c r="DX15" s="87">
        <f t="shared" si="43"/>
        <v>100</v>
      </c>
      <c r="DY15" s="87">
        <f>Сун!C66</f>
        <v>206.767</v>
      </c>
      <c r="DZ15" s="87">
        <f>Сун!D66</f>
        <v>206.767</v>
      </c>
      <c r="EA15" s="87">
        <f t="shared" si="44"/>
        <v>100</v>
      </c>
      <c r="EB15" s="87">
        <f>Сун!C67</f>
        <v>56.18</v>
      </c>
      <c r="EC15" s="87">
        <f>Сун!D67</f>
        <v>17.31148</v>
      </c>
      <c r="ED15" s="87">
        <f t="shared" si="45"/>
        <v>30.81431114275543</v>
      </c>
      <c r="EE15" s="96">
        <f>Сун!C73</f>
        <v>3515.39633</v>
      </c>
      <c r="EF15" s="96">
        <f>Сун!D73</f>
        <v>3359.8957</v>
      </c>
      <c r="EG15" s="87">
        <f t="shared" si="46"/>
        <v>95.57658325256317</v>
      </c>
      <c r="EH15" s="96">
        <f>Сун!C78</f>
        <v>11670.267909999999</v>
      </c>
      <c r="EI15" s="96">
        <f>Сун!D78</f>
        <v>11220.4169</v>
      </c>
      <c r="EJ15" s="87">
        <f t="shared" si="47"/>
        <v>96.14532405366177</v>
      </c>
      <c r="EK15" s="96">
        <f>Сун!C83</f>
        <v>3287.2</v>
      </c>
      <c r="EL15" s="103">
        <f>Сун!D83</f>
        <v>2951.25906</v>
      </c>
      <c r="EM15" s="87">
        <f t="shared" si="48"/>
        <v>89.78033158919445</v>
      </c>
      <c r="EN15" s="87">
        <f>Сун!C86</f>
        <v>5</v>
      </c>
      <c r="EO15" s="87">
        <f>Сун!D86</f>
        <v>5</v>
      </c>
      <c r="EP15" s="87">
        <f t="shared" si="49"/>
        <v>100</v>
      </c>
      <c r="EQ15" s="104">
        <f>Сун!C91</f>
        <v>50</v>
      </c>
      <c r="ER15" s="104">
        <f>Сун!D91</f>
        <v>2.052</v>
      </c>
      <c r="ES15" s="87">
        <f t="shared" si="50"/>
        <v>4.104</v>
      </c>
      <c r="ET15" s="87">
        <f>Сун!C97</f>
        <v>0</v>
      </c>
      <c r="EU15" s="87">
        <f>Сун!D97</f>
        <v>0</v>
      </c>
      <c r="EV15" s="79" t="e">
        <f t="shared" si="51"/>
        <v>#DIV/0!</v>
      </c>
      <c r="EW15" s="88">
        <f t="shared" si="52"/>
        <v>-883.3964300000007</v>
      </c>
      <c r="EX15" s="88">
        <f t="shared" si="53"/>
        <v>970.5012599999973</v>
      </c>
      <c r="EY15" s="79">
        <f>EX15/EW15*1</f>
        <v>-1.0986021983357988</v>
      </c>
      <c r="EZ15" s="93"/>
      <c r="FA15" s="94"/>
      <c r="FC15" s="94"/>
    </row>
    <row r="16" spans="1:159" s="59" customFormat="1" ht="25.5" customHeight="1">
      <c r="A16" s="75">
        <v>3</v>
      </c>
      <c r="B16" s="95" t="s">
        <v>125</v>
      </c>
      <c r="C16" s="106">
        <f t="shared" si="0"/>
        <v>14906.5108</v>
      </c>
      <c r="D16" s="78">
        <f t="shared" si="1"/>
        <v>14742.4047</v>
      </c>
      <c r="E16" s="87">
        <f t="shared" si="2"/>
        <v>98.8990978358262</v>
      </c>
      <c r="F16" s="80">
        <f t="shared" si="3"/>
        <v>2500.44564</v>
      </c>
      <c r="G16" s="80">
        <f t="shared" si="4"/>
        <v>2910.68588</v>
      </c>
      <c r="H16" s="87">
        <f t="shared" si="5"/>
        <v>116.40668500995687</v>
      </c>
      <c r="I16" s="107">
        <f>Иль!C6</f>
        <v>70.65</v>
      </c>
      <c r="J16" s="82">
        <f>Иль!D6</f>
        <v>86.65442</v>
      </c>
      <c r="K16" s="87">
        <f t="shared" si="6"/>
        <v>122.6531068648266</v>
      </c>
      <c r="L16" s="87">
        <f>Иль!C8</f>
        <v>252.72</v>
      </c>
      <c r="M16" s="87">
        <f>Иль!D8</f>
        <v>351.38578</v>
      </c>
      <c r="N16" s="79">
        <f t="shared" si="7"/>
        <v>139.04154004431783</v>
      </c>
      <c r="O16" s="79">
        <f>Иль!C9</f>
        <v>2.71</v>
      </c>
      <c r="P16" s="79">
        <f>Иль!D9</f>
        <v>2.4712</v>
      </c>
      <c r="Q16" s="79">
        <f t="shared" si="8"/>
        <v>91.18819188191883</v>
      </c>
      <c r="R16" s="79">
        <f>Иль!C10</f>
        <v>422.11</v>
      </c>
      <c r="S16" s="79">
        <f>Иль!D10</f>
        <v>467.19944</v>
      </c>
      <c r="T16" s="79">
        <f t="shared" si="9"/>
        <v>110.68191703584374</v>
      </c>
      <c r="U16" s="79">
        <f>Иль!C11</f>
        <v>0</v>
      </c>
      <c r="V16" s="83">
        <f>Иль!D11</f>
        <v>-59.92029</v>
      </c>
      <c r="W16" s="79" t="e">
        <f t="shared" si="10"/>
        <v>#DIV/0!</v>
      </c>
      <c r="X16" s="96">
        <f>Иль!C13</f>
        <v>10</v>
      </c>
      <c r="Y16" s="96">
        <f>Иль!D13</f>
        <v>1.43658</v>
      </c>
      <c r="Z16" s="87">
        <f t="shared" si="11"/>
        <v>14.3658</v>
      </c>
      <c r="AA16" s="96">
        <f>Иль!C15</f>
        <v>334</v>
      </c>
      <c r="AB16" s="86">
        <f>Иль!D15</f>
        <v>316.5198</v>
      </c>
      <c r="AC16" s="87">
        <f t="shared" si="12"/>
        <v>94.76640718562874</v>
      </c>
      <c r="AD16" s="96">
        <f>Иль!C16</f>
        <v>750</v>
      </c>
      <c r="AE16" s="96">
        <f>Иль!D16</f>
        <v>957.04219</v>
      </c>
      <c r="AF16" s="87">
        <f t="shared" si="13"/>
        <v>127.60562533333332</v>
      </c>
      <c r="AG16" s="87">
        <f>Иль!C18</f>
        <v>4</v>
      </c>
      <c r="AH16" s="87">
        <f>Иль!D18</f>
        <v>3.7</v>
      </c>
      <c r="AI16" s="87">
        <f t="shared" si="14"/>
        <v>92.5</v>
      </c>
      <c r="AJ16" s="87"/>
      <c r="AK16" s="87"/>
      <c r="AL16" s="87" t="e">
        <f t="shared" si="15"/>
        <v>#DIV/0!</v>
      </c>
      <c r="AM16" s="96">
        <f>Иль!C27</f>
        <v>0</v>
      </c>
      <c r="AN16" s="96">
        <f>Иль!D27</f>
        <v>0</v>
      </c>
      <c r="AO16" s="87" t="e">
        <f t="shared" si="16"/>
        <v>#DIV/0!</v>
      </c>
      <c r="AP16" s="96">
        <f>Иль!C28</f>
        <v>354</v>
      </c>
      <c r="AQ16" s="98">
        <f>Иль!D28</f>
        <v>434.25619</v>
      </c>
      <c r="AR16" s="87">
        <f t="shared" si="17"/>
        <v>122.67124011299435</v>
      </c>
      <c r="AS16" s="84">
        <f>Иль!C29</f>
        <v>30.6</v>
      </c>
      <c r="AT16" s="98">
        <f>Иль!D29</f>
        <v>48.45285</v>
      </c>
      <c r="AU16" s="87">
        <f t="shared" si="18"/>
        <v>158.3426470588235</v>
      </c>
      <c r="AV16" s="96"/>
      <c r="AW16" s="96"/>
      <c r="AX16" s="87" t="e">
        <f t="shared" si="19"/>
        <v>#DIV/0!</v>
      </c>
      <c r="AY16" s="87">
        <f>Иль!C30</f>
        <v>100</v>
      </c>
      <c r="AZ16" s="79">
        <f>Иль!D30</f>
        <v>85.30112</v>
      </c>
      <c r="BA16" s="87">
        <f t="shared" si="20"/>
        <v>85.30112</v>
      </c>
      <c r="BB16" s="87"/>
      <c r="BC16" s="87"/>
      <c r="BD16" s="87"/>
      <c r="BE16" s="87">
        <f>Иль!C32</f>
        <v>169.65564</v>
      </c>
      <c r="BF16" s="87">
        <f>SUM(Иль!D32)</f>
        <v>169.65564</v>
      </c>
      <c r="BG16" s="87">
        <f>BF16/BE16*100</f>
        <v>100</v>
      </c>
      <c r="BH16" s="87"/>
      <c r="BI16" s="87"/>
      <c r="BJ16" s="87" t="e">
        <f>BI16/BH16*100</f>
        <v>#DIV/0!</v>
      </c>
      <c r="BK16" s="87"/>
      <c r="BL16" s="87"/>
      <c r="BM16" s="87"/>
      <c r="BN16" s="87">
        <f>Иль!C35</f>
        <v>0</v>
      </c>
      <c r="BO16" s="87">
        <f>Иль!D35</f>
        <v>46.53096</v>
      </c>
      <c r="BP16" s="89" t="e">
        <f t="shared" si="21"/>
        <v>#DIV/0!</v>
      </c>
      <c r="BQ16" s="87">
        <v>0</v>
      </c>
      <c r="BR16" s="87">
        <f>Иль!D38</f>
        <v>0</v>
      </c>
      <c r="BS16" s="87" t="e">
        <f t="shared" si="22"/>
        <v>#DIV/0!</v>
      </c>
      <c r="BT16" s="87"/>
      <c r="BU16" s="87"/>
      <c r="BV16" s="99" t="e">
        <f t="shared" si="23"/>
        <v>#DIV/0!</v>
      </c>
      <c r="BW16" s="99"/>
      <c r="BX16" s="99"/>
      <c r="BY16" s="99" t="e">
        <f t="shared" si="24"/>
        <v>#DIV/0!</v>
      </c>
      <c r="BZ16" s="84">
        <f t="shared" si="25"/>
        <v>12406.06516</v>
      </c>
      <c r="CA16" s="84">
        <f t="shared" si="26"/>
        <v>11831.71882</v>
      </c>
      <c r="CB16" s="87">
        <f t="shared" si="27"/>
        <v>95.37043911512069</v>
      </c>
      <c r="CC16" s="87">
        <f>Иль!C43</f>
        <v>3002.3</v>
      </c>
      <c r="CD16" s="87">
        <f>Иль!D43</f>
        <v>3002.3</v>
      </c>
      <c r="CE16" s="87">
        <f t="shared" si="28"/>
        <v>100</v>
      </c>
      <c r="CF16" s="87">
        <f>Иль!C44</f>
        <v>0</v>
      </c>
      <c r="CG16" s="100">
        <f>Иль!D44</f>
        <v>0</v>
      </c>
      <c r="CH16" s="87" t="e">
        <f t="shared" si="29"/>
        <v>#DIV/0!</v>
      </c>
      <c r="CI16" s="79">
        <f>Иль!C45</f>
        <v>4820.10416</v>
      </c>
      <c r="CJ16" s="87">
        <f>Иль!D45</f>
        <v>4287.88493</v>
      </c>
      <c r="CK16" s="87">
        <f t="shared" si="30"/>
        <v>88.95834587109836</v>
      </c>
      <c r="CL16" s="87">
        <f>Иль!C47</f>
        <v>206.767</v>
      </c>
      <c r="CM16" s="87">
        <f>Иль!D47</f>
        <v>206.767</v>
      </c>
      <c r="CN16" s="87">
        <f t="shared" si="31"/>
        <v>100</v>
      </c>
      <c r="CO16" s="87">
        <f>Иль!C48</f>
        <v>4376.894</v>
      </c>
      <c r="CP16" s="87">
        <f>Иль!D48</f>
        <v>4334.76689</v>
      </c>
      <c r="CQ16" s="79">
        <f t="shared" si="32"/>
        <v>99.03751130367789</v>
      </c>
      <c r="CR16" s="102">
        <f>Иль!C52</f>
        <v>0</v>
      </c>
      <c r="CS16" s="87">
        <f>Иль!D52</f>
        <v>0</v>
      </c>
      <c r="CT16" s="87" t="e">
        <f t="shared" si="33"/>
        <v>#DIV/0!</v>
      </c>
      <c r="CU16" s="87"/>
      <c r="CV16" s="87"/>
      <c r="CW16" s="87"/>
      <c r="CX16" s="96"/>
      <c r="CY16" s="96"/>
      <c r="CZ16" s="87" t="e">
        <f t="shared" si="34"/>
        <v>#DIV/0!</v>
      </c>
      <c r="DA16" s="87"/>
      <c r="DB16" s="87"/>
      <c r="DC16" s="87"/>
      <c r="DD16" s="87"/>
      <c r="DE16" s="87"/>
      <c r="DF16" s="87">
        <v>0</v>
      </c>
      <c r="DG16" s="84">
        <f t="shared" si="35"/>
        <v>15519.97693</v>
      </c>
      <c r="DH16" s="84">
        <f t="shared" si="36"/>
        <v>14098.724760000001</v>
      </c>
      <c r="DI16" s="87">
        <f t="shared" si="37"/>
        <v>90.84243374580842</v>
      </c>
      <c r="DJ16" s="96">
        <f t="shared" si="38"/>
        <v>1800.223</v>
      </c>
      <c r="DK16" s="96">
        <f t="shared" si="38"/>
        <v>1563.70143</v>
      </c>
      <c r="DL16" s="87">
        <f t="shared" si="39"/>
        <v>86.86154048692856</v>
      </c>
      <c r="DM16" s="87">
        <f>Иль!C60</f>
        <v>1737.853</v>
      </c>
      <c r="DN16" s="87">
        <f>Иль!D60</f>
        <v>1535.22543</v>
      </c>
      <c r="DO16" s="87">
        <f t="shared" si="40"/>
        <v>88.3403504208929</v>
      </c>
      <c r="DP16" s="87">
        <f>Иль!C63</f>
        <v>0</v>
      </c>
      <c r="DQ16" s="87">
        <f>Иль!D63</f>
        <v>0</v>
      </c>
      <c r="DR16" s="87" t="e">
        <f t="shared" si="41"/>
        <v>#DIV/0!</v>
      </c>
      <c r="DS16" s="87">
        <f>Иль!C64</f>
        <v>17</v>
      </c>
      <c r="DT16" s="87">
        <f>Иль!D64</f>
        <v>0</v>
      </c>
      <c r="DU16" s="87">
        <f t="shared" si="42"/>
        <v>0</v>
      </c>
      <c r="DV16" s="87">
        <f>Иль!C65</f>
        <v>45.37</v>
      </c>
      <c r="DW16" s="87">
        <f>Иль!D65</f>
        <v>28.476</v>
      </c>
      <c r="DX16" s="87">
        <f t="shared" si="43"/>
        <v>62.76394093013005</v>
      </c>
      <c r="DY16" s="87">
        <f>Иль!C67</f>
        <v>206.767</v>
      </c>
      <c r="DZ16" s="87">
        <f>Иль!D67</f>
        <v>206.767</v>
      </c>
      <c r="EA16" s="87">
        <f t="shared" si="44"/>
        <v>100</v>
      </c>
      <c r="EB16" s="87">
        <f>Иль!C68</f>
        <v>18.731</v>
      </c>
      <c r="EC16" s="87">
        <f>Иль!D68</f>
        <v>18.73039</v>
      </c>
      <c r="ED16" s="87">
        <f t="shared" si="45"/>
        <v>99.99674336661148</v>
      </c>
      <c r="EE16" s="96">
        <f>Иль!C74</f>
        <v>4415.76069</v>
      </c>
      <c r="EF16" s="96">
        <f>Иль!D74</f>
        <v>3568.53649</v>
      </c>
      <c r="EG16" s="87">
        <f t="shared" si="46"/>
        <v>80.81362964440902</v>
      </c>
      <c r="EH16" s="96">
        <f>Иль!C81</f>
        <v>5804.82024</v>
      </c>
      <c r="EI16" s="96">
        <f>Иль!D81</f>
        <v>5579.82624</v>
      </c>
      <c r="EJ16" s="87">
        <f t="shared" si="47"/>
        <v>96.12401434157073</v>
      </c>
      <c r="EK16" s="96">
        <f>Иль!C85</f>
        <v>3258.675</v>
      </c>
      <c r="EL16" s="103">
        <f>Иль!D85</f>
        <v>3146.16321</v>
      </c>
      <c r="EM16" s="87">
        <f t="shared" si="48"/>
        <v>96.54731478284886</v>
      </c>
      <c r="EN16" s="87">
        <f>Иль!C87</f>
        <v>0</v>
      </c>
      <c r="EO16" s="87">
        <f>Иль!D87</f>
        <v>0</v>
      </c>
      <c r="EP16" s="87" t="e">
        <f t="shared" si="49"/>
        <v>#DIV/0!</v>
      </c>
      <c r="EQ16" s="104">
        <f>Иль!C92</f>
        <v>15</v>
      </c>
      <c r="ER16" s="104">
        <f>Иль!D92</f>
        <v>15</v>
      </c>
      <c r="ES16" s="87">
        <f t="shared" si="50"/>
        <v>100</v>
      </c>
      <c r="ET16" s="87">
        <f>Иль!C98</f>
        <v>0</v>
      </c>
      <c r="EU16" s="87">
        <f>Иль!D98</f>
        <v>0</v>
      </c>
      <c r="EV16" s="79" t="e">
        <f t="shared" si="51"/>
        <v>#DIV/0!</v>
      </c>
      <c r="EW16" s="88">
        <f t="shared" si="52"/>
        <v>-613.4661300000007</v>
      </c>
      <c r="EX16" s="88">
        <f t="shared" si="53"/>
        <v>643.6799399999982</v>
      </c>
      <c r="EY16" s="79">
        <f aca="true" t="shared" si="54" ref="EY16:EY31">EX16/EW16*100</f>
        <v>-104.92509830982803</v>
      </c>
      <c r="EZ16" s="93"/>
      <c r="FA16" s="94"/>
      <c r="FC16" s="94"/>
    </row>
    <row r="17" spans="1:159" s="59" customFormat="1" ht="22.5" customHeight="1">
      <c r="A17" s="75">
        <v>4</v>
      </c>
      <c r="B17" s="95" t="s">
        <v>126</v>
      </c>
      <c r="C17" s="106">
        <f t="shared" si="0"/>
        <v>13264.402299999998</v>
      </c>
      <c r="D17" s="78">
        <f t="shared" si="1"/>
        <v>13671.03812</v>
      </c>
      <c r="E17" s="87">
        <f t="shared" si="2"/>
        <v>103.06561736294746</v>
      </c>
      <c r="F17" s="80">
        <f t="shared" si="3"/>
        <v>4848.53</v>
      </c>
      <c r="G17" s="80">
        <f t="shared" si="4"/>
        <v>5742.69428</v>
      </c>
      <c r="H17" s="87">
        <f t="shared" si="5"/>
        <v>118.44196653418666</v>
      </c>
      <c r="I17" s="96">
        <f>Кад!C6</f>
        <v>486</v>
      </c>
      <c r="J17" s="97">
        <f>Кад!D6</f>
        <v>620.31741</v>
      </c>
      <c r="K17" s="87">
        <f t="shared" si="6"/>
        <v>127.63732716049383</v>
      </c>
      <c r="L17" s="87">
        <f>Кад!C8</f>
        <v>300.69</v>
      </c>
      <c r="M17" s="87">
        <f>Кад!D8</f>
        <v>418.07214</v>
      </c>
      <c r="N17" s="79">
        <f t="shared" si="7"/>
        <v>139.03759353486979</v>
      </c>
      <c r="O17" s="79">
        <f>Кад!C9</f>
        <v>3.22</v>
      </c>
      <c r="P17" s="79">
        <f>Кад!D9</f>
        <v>2.94018</v>
      </c>
      <c r="Q17" s="79">
        <f t="shared" si="8"/>
        <v>91.30993788819875</v>
      </c>
      <c r="R17" s="79">
        <f>Кад!C10</f>
        <v>502.22</v>
      </c>
      <c r="S17" s="79">
        <f>Кад!D10</f>
        <v>555.86503</v>
      </c>
      <c r="T17" s="79">
        <f t="shared" si="9"/>
        <v>110.68157978575127</v>
      </c>
      <c r="U17" s="79">
        <f>Кад!C11</f>
        <v>0</v>
      </c>
      <c r="V17" s="83">
        <f>Кад!D11</f>
        <v>-71.29202</v>
      </c>
      <c r="W17" s="79" t="e">
        <f t="shared" si="10"/>
        <v>#DIV/0!</v>
      </c>
      <c r="X17" s="96">
        <f>Кад!C13</f>
        <v>95</v>
      </c>
      <c r="Y17" s="96">
        <f>Кад!D13</f>
        <v>55.54848</v>
      </c>
      <c r="Z17" s="87">
        <f t="shared" si="11"/>
        <v>58.47208421052631</v>
      </c>
      <c r="AA17" s="96">
        <f>Кад!C15</f>
        <v>400</v>
      </c>
      <c r="AB17" s="86">
        <f>Кад!D15</f>
        <v>446.39082</v>
      </c>
      <c r="AC17" s="87">
        <f t="shared" si="12"/>
        <v>111.59770500000002</v>
      </c>
      <c r="AD17" s="96">
        <f>Кад!C16</f>
        <v>2950</v>
      </c>
      <c r="AE17" s="96">
        <f>Кад!D16</f>
        <v>3028.08654</v>
      </c>
      <c r="AF17" s="87">
        <f t="shared" si="13"/>
        <v>102.64700135593219</v>
      </c>
      <c r="AG17" s="87">
        <f>Кад!C18</f>
        <v>20</v>
      </c>
      <c r="AH17" s="87">
        <f>Кад!D18</f>
        <v>8.9</v>
      </c>
      <c r="AI17" s="87">
        <f t="shared" si="14"/>
        <v>44.5</v>
      </c>
      <c r="AJ17" s="87"/>
      <c r="AK17" s="87"/>
      <c r="AL17" s="87" t="e">
        <f t="shared" si="15"/>
        <v>#DIV/0!</v>
      </c>
      <c r="AM17" s="96">
        <v>0</v>
      </c>
      <c r="AN17" s="96">
        <v>0</v>
      </c>
      <c r="AO17" s="87" t="e">
        <f t="shared" si="16"/>
        <v>#DIV/0!</v>
      </c>
      <c r="AP17" s="96">
        <f>Кад!C27</f>
        <v>79.4</v>
      </c>
      <c r="AQ17" s="98">
        <f>Кад!D27</f>
        <v>532.46424</v>
      </c>
      <c r="AR17" s="87">
        <f t="shared" si="17"/>
        <v>670.6098740554156</v>
      </c>
      <c r="AS17" s="84">
        <f>Кад!C28</f>
        <v>12</v>
      </c>
      <c r="AT17" s="98">
        <f>Кад!D28</f>
        <v>32.715</v>
      </c>
      <c r="AU17" s="87">
        <f t="shared" si="18"/>
        <v>272.625</v>
      </c>
      <c r="AV17" s="96"/>
      <c r="AW17" s="96"/>
      <c r="AX17" s="87" t="e">
        <f t="shared" si="19"/>
        <v>#DIV/0!</v>
      </c>
      <c r="AY17" s="87">
        <f>Кад!C30</f>
        <v>0</v>
      </c>
      <c r="AZ17" s="79">
        <f>Кад!D30</f>
        <v>96.0477</v>
      </c>
      <c r="BA17" s="87" t="e">
        <f t="shared" si="20"/>
        <v>#DIV/0!</v>
      </c>
      <c r="BB17" s="87"/>
      <c r="BC17" s="87"/>
      <c r="BD17" s="87"/>
      <c r="BE17" s="87">
        <f>Кад!C33</f>
        <v>0</v>
      </c>
      <c r="BF17" s="87">
        <f>Кад!D33</f>
        <v>0</v>
      </c>
      <c r="BG17" s="87" t="e">
        <f>BF17/BE17*100</f>
        <v>#DIV/0!</v>
      </c>
      <c r="BH17" s="87"/>
      <c r="BI17" s="87"/>
      <c r="BJ17" s="87" t="e">
        <f>BI17/BH17*100</f>
        <v>#DIV/0!</v>
      </c>
      <c r="BK17" s="87"/>
      <c r="BL17" s="87"/>
      <c r="BM17" s="87"/>
      <c r="BN17" s="87">
        <f>Кад!C34</f>
        <v>0</v>
      </c>
      <c r="BO17" s="87">
        <f>Кад!D34</f>
        <v>16.638759999999998</v>
      </c>
      <c r="BP17" s="89" t="e">
        <f t="shared" si="21"/>
        <v>#DIV/0!</v>
      </c>
      <c r="BQ17" s="87">
        <f>Кад!C37</f>
        <v>0</v>
      </c>
      <c r="BR17" s="87">
        <f>Кад!D37</f>
        <v>0</v>
      </c>
      <c r="BS17" s="87" t="e">
        <f t="shared" si="22"/>
        <v>#DIV/0!</v>
      </c>
      <c r="BT17" s="87"/>
      <c r="BU17" s="87"/>
      <c r="BV17" s="99" t="e">
        <f t="shared" si="23"/>
        <v>#DIV/0!</v>
      </c>
      <c r="BW17" s="99"/>
      <c r="BX17" s="99"/>
      <c r="BY17" s="99" t="e">
        <f t="shared" si="24"/>
        <v>#DIV/0!</v>
      </c>
      <c r="BZ17" s="84">
        <f t="shared" si="25"/>
        <v>8415.872299999999</v>
      </c>
      <c r="CA17" s="84">
        <f t="shared" si="26"/>
        <v>7928.34384</v>
      </c>
      <c r="CB17" s="87">
        <f t="shared" si="27"/>
        <v>94.20703591236764</v>
      </c>
      <c r="CC17" s="87">
        <f>Кад!C42</f>
        <v>2916.8</v>
      </c>
      <c r="CD17" s="87">
        <f>Кад!D42</f>
        <v>2916.8</v>
      </c>
      <c r="CE17" s="87">
        <f t="shared" si="28"/>
        <v>100</v>
      </c>
      <c r="CF17" s="87">
        <f>Кад!C43</f>
        <v>0</v>
      </c>
      <c r="CG17" s="100">
        <f>Кад!D43</f>
        <v>0</v>
      </c>
      <c r="CH17" s="87" t="e">
        <f t="shared" si="29"/>
        <v>#DIV/0!</v>
      </c>
      <c r="CI17" s="79">
        <f>Кад!C44</f>
        <v>4834.2729</v>
      </c>
      <c r="CJ17" s="87">
        <f>Кад!D44</f>
        <v>4346.74444</v>
      </c>
      <c r="CK17" s="87">
        <f t="shared" si="30"/>
        <v>89.91516469829413</v>
      </c>
      <c r="CL17" s="87">
        <f>Кад!C46</f>
        <v>206.767</v>
      </c>
      <c r="CM17" s="87">
        <f>Кад!D46</f>
        <v>206.767</v>
      </c>
      <c r="CN17" s="87">
        <f t="shared" si="31"/>
        <v>100</v>
      </c>
      <c r="CO17" s="87">
        <f>Кад!C47</f>
        <v>280.105</v>
      </c>
      <c r="CP17" s="87">
        <f>Кад!D47</f>
        <v>280.105</v>
      </c>
      <c r="CQ17" s="79">
        <f t="shared" si="32"/>
        <v>100</v>
      </c>
      <c r="CR17" s="102">
        <f>Кад!C48</f>
        <v>177.9274</v>
      </c>
      <c r="CS17" s="87">
        <f>Кад!D48</f>
        <v>177.9274</v>
      </c>
      <c r="CT17" s="87">
        <f t="shared" si="33"/>
        <v>100</v>
      </c>
      <c r="CU17" s="87"/>
      <c r="CV17" s="87"/>
      <c r="CW17" s="87"/>
      <c r="CX17" s="96"/>
      <c r="CY17" s="96"/>
      <c r="CZ17" s="87" t="e">
        <f t="shared" si="34"/>
        <v>#DIV/0!</v>
      </c>
      <c r="DA17" s="87"/>
      <c r="DB17" s="87"/>
      <c r="DC17" s="87"/>
      <c r="DD17" s="87"/>
      <c r="DE17" s="87"/>
      <c r="DF17" s="87"/>
      <c r="DG17" s="84">
        <f t="shared" si="35"/>
        <v>14564.055049999999</v>
      </c>
      <c r="DH17" s="84">
        <f t="shared" si="36"/>
        <v>12901.0117</v>
      </c>
      <c r="DI17" s="87">
        <f t="shared" si="37"/>
        <v>88.58117918196142</v>
      </c>
      <c r="DJ17" s="96">
        <f t="shared" si="38"/>
        <v>2102.158</v>
      </c>
      <c r="DK17" s="96">
        <f t="shared" si="38"/>
        <v>2014.5952200000002</v>
      </c>
      <c r="DL17" s="87">
        <f t="shared" si="39"/>
        <v>95.83462422900658</v>
      </c>
      <c r="DM17" s="87">
        <f>Кад!C58</f>
        <v>1949.68</v>
      </c>
      <c r="DN17" s="87">
        <f>Кад!D58</f>
        <v>1919.43722</v>
      </c>
      <c r="DO17" s="87">
        <f t="shared" si="40"/>
        <v>98.4488336547536</v>
      </c>
      <c r="DP17" s="87">
        <f>Кад!C61</f>
        <v>13.68</v>
      </c>
      <c r="DQ17" s="87">
        <f>Кад!D61</f>
        <v>13.68</v>
      </c>
      <c r="DR17" s="87">
        <f t="shared" si="41"/>
        <v>100</v>
      </c>
      <c r="DS17" s="87">
        <f>Кад!C62</f>
        <v>35.32</v>
      </c>
      <c r="DT17" s="87">
        <f>Кад!D62</f>
        <v>0</v>
      </c>
      <c r="DU17" s="87">
        <f t="shared" si="42"/>
        <v>0</v>
      </c>
      <c r="DV17" s="87">
        <f>Кад!C63</f>
        <v>103.478</v>
      </c>
      <c r="DW17" s="87">
        <f>Кад!D63</f>
        <v>81.478</v>
      </c>
      <c r="DX17" s="87">
        <f t="shared" si="43"/>
        <v>78.73944220027445</v>
      </c>
      <c r="DY17" s="87">
        <f>Кад!C65</f>
        <v>206.767</v>
      </c>
      <c r="DZ17" s="87">
        <f>Кад!D65</f>
        <v>206.767</v>
      </c>
      <c r="EA17" s="87">
        <f t="shared" si="44"/>
        <v>100</v>
      </c>
      <c r="EB17" s="87">
        <f>Кад!C66</f>
        <v>18.5</v>
      </c>
      <c r="EC17" s="87">
        <f>Кад!D66</f>
        <v>10.71148</v>
      </c>
      <c r="ED17" s="87">
        <f t="shared" si="45"/>
        <v>57.89989189189188</v>
      </c>
      <c r="EE17" s="96">
        <f>Кад!C72</f>
        <v>3634.16315</v>
      </c>
      <c r="EF17" s="96">
        <f>Кад!D72</f>
        <v>3275.62004</v>
      </c>
      <c r="EG17" s="87">
        <f t="shared" si="46"/>
        <v>90.13409428247601</v>
      </c>
      <c r="EH17" s="96">
        <f>Кад!C77</f>
        <v>6635.902899999999</v>
      </c>
      <c r="EI17" s="96">
        <f>Кад!D77</f>
        <v>5467.625959999999</v>
      </c>
      <c r="EJ17" s="87">
        <f t="shared" si="47"/>
        <v>82.39460465884756</v>
      </c>
      <c r="EK17" s="96">
        <f>Кад!C81</f>
        <v>1966.564</v>
      </c>
      <c r="EL17" s="103">
        <f>Кад!D81</f>
        <v>1925.692</v>
      </c>
      <c r="EM17" s="87">
        <f t="shared" si="48"/>
        <v>97.9216542151692</v>
      </c>
      <c r="EN17" s="87">
        <f>Кад!C83</f>
        <v>0</v>
      </c>
      <c r="EO17" s="87">
        <f>Кад!D83</f>
        <v>0</v>
      </c>
      <c r="EP17" s="87" t="e">
        <f t="shared" si="49"/>
        <v>#DIV/0!</v>
      </c>
      <c r="EQ17" s="104">
        <f>Кад!C88</f>
        <v>0</v>
      </c>
      <c r="ER17" s="104">
        <f>Кад!D88</f>
        <v>0</v>
      </c>
      <c r="ES17" s="87" t="e">
        <f t="shared" si="50"/>
        <v>#DIV/0!</v>
      </c>
      <c r="ET17" s="87">
        <f>Кад!C94</f>
        <v>0</v>
      </c>
      <c r="EU17" s="87">
        <f>Кад!D94</f>
        <v>0</v>
      </c>
      <c r="EV17" s="79" t="e">
        <f t="shared" si="51"/>
        <v>#DIV/0!</v>
      </c>
      <c r="EW17" s="88">
        <f t="shared" si="52"/>
        <v>-1299.652750000001</v>
      </c>
      <c r="EX17" s="88">
        <f t="shared" si="53"/>
        <v>770.0264200000001</v>
      </c>
      <c r="EY17" s="79">
        <f t="shared" si="54"/>
        <v>-59.24862775845313</v>
      </c>
      <c r="EZ17" s="93"/>
      <c r="FA17" s="94"/>
      <c r="FC17" s="94"/>
    </row>
    <row r="18" spans="1:159" s="59" customFormat="1" ht="20.25" customHeight="1">
      <c r="A18" s="75">
        <v>5</v>
      </c>
      <c r="B18" s="76" t="s">
        <v>127</v>
      </c>
      <c r="C18" s="77">
        <f t="shared" si="0"/>
        <v>24023.03083</v>
      </c>
      <c r="D18" s="108">
        <f t="shared" si="1"/>
        <v>20467.98402</v>
      </c>
      <c r="E18" s="79">
        <f t="shared" si="2"/>
        <v>85.20150585845126</v>
      </c>
      <c r="F18" s="80">
        <f t="shared" si="3"/>
        <v>5006.5199999999995</v>
      </c>
      <c r="G18" s="80">
        <f t="shared" si="4"/>
        <v>6222.00254</v>
      </c>
      <c r="H18" s="79">
        <f t="shared" si="5"/>
        <v>124.27799229804337</v>
      </c>
      <c r="I18" s="81">
        <f>Мор!C6</f>
        <v>1988.4</v>
      </c>
      <c r="J18" s="82">
        <f>Мор!D6</f>
        <v>2167.88047</v>
      </c>
      <c r="K18" s="79">
        <f t="shared" si="6"/>
        <v>109.02637648360492</v>
      </c>
      <c r="L18" s="79">
        <f>Мор!C8</f>
        <v>148.5</v>
      </c>
      <c r="M18" s="79">
        <f>Мор!D8</f>
        <v>206.47121</v>
      </c>
      <c r="N18" s="79">
        <f t="shared" si="7"/>
        <v>139.03785185185185</v>
      </c>
      <c r="O18" s="79">
        <f>Мор!C9</f>
        <v>1.59</v>
      </c>
      <c r="P18" s="79">
        <f>Мор!D9</f>
        <v>1.45205</v>
      </c>
      <c r="Q18" s="79">
        <f t="shared" si="8"/>
        <v>91.32389937106919</v>
      </c>
      <c r="R18" s="79">
        <f>Мор!C10</f>
        <v>248.03</v>
      </c>
      <c r="S18" s="79">
        <f>Мор!D10</f>
        <v>274.52229</v>
      </c>
      <c r="T18" s="79">
        <f t="shared" si="9"/>
        <v>110.68108293351611</v>
      </c>
      <c r="U18" s="79">
        <f>Мор!C11</f>
        <v>0</v>
      </c>
      <c r="V18" s="83">
        <f>Мор!D11</f>
        <v>-35.20863</v>
      </c>
      <c r="W18" s="79" t="e">
        <f t="shared" si="10"/>
        <v>#DIV/0!</v>
      </c>
      <c r="X18" s="84">
        <f>Мор!C13</f>
        <v>70</v>
      </c>
      <c r="Y18" s="84">
        <f>Мор!D13</f>
        <v>68.81839</v>
      </c>
      <c r="Z18" s="79">
        <f t="shared" si="11"/>
        <v>98.31198571428571</v>
      </c>
      <c r="AA18" s="84">
        <f>Мор!C15</f>
        <v>1000</v>
      </c>
      <c r="AB18" s="86">
        <f>Мор!D15</f>
        <v>1280.89756</v>
      </c>
      <c r="AC18" s="79">
        <f t="shared" si="12"/>
        <v>128.08975600000002</v>
      </c>
      <c r="AD18" s="84">
        <f>Мор!C16</f>
        <v>1550</v>
      </c>
      <c r="AE18" s="84">
        <f>Мор!D16</f>
        <v>2146.07321</v>
      </c>
      <c r="AF18" s="79">
        <f t="shared" si="13"/>
        <v>138.45633612903225</v>
      </c>
      <c r="AG18" s="79">
        <f>Мор!C18</f>
        <v>0</v>
      </c>
      <c r="AH18" s="79">
        <f>Мор!D18</f>
        <v>0</v>
      </c>
      <c r="AI18" s="79" t="e">
        <f t="shared" si="14"/>
        <v>#DIV/0!</v>
      </c>
      <c r="AJ18" s="79">
        <f>Мор!C22</f>
        <v>0</v>
      </c>
      <c r="AK18" s="79">
        <f>Мор!D22</f>
        <v>0</v>
      </c>
      <c r="AL18" s="79" t="e">
        <f t="shared" si="15"/>
        <v>#DIV/0!</v>
      </c>
      <c r="AM18" s="84">
        <v>0</v>
      </c>
      <c r="AN18" s="84"/>
      <c r="AO18" s="79" t="e">
        <f t="shared" si="16"/>
        <v>#DIV/0!</v>
      </c>
      <c r="AP18" s="84">
        <f>Мор!C27</f>
        <v>0</v>
      </c>
      <c r="AQ18" s="98">
        <f>Мор!D27</f>
        <v>0</v>
      </c>
      <c r="AR18" s="79" t="e">
        <f t="shared" si="17"/>
        <v>#DIV/0!</v>
      </c>
      <c r="AS18" s="84">
        <f>Мор!C28</f>
        <v>0</v>
      </c>
      <c r="AT18" s="86">
        <f>Мор!D28</f>
        <v>0</v>
      </c>
      <c r="AU18" s="79" t="e">
        <f t="shared" si="18"/>
        <v>#DIV/0!</v>
      </c>
      <c r="AV18" s="84"/>
      <c r="AW18" s="84"/>
      <c r="AX18" s="79" t="e">
        <f t="shared" si="19"/>
        <v>#DIV/0!</v>
      </c>
      <c r="AY18" s="79">
        <f>Мор!C29</f>
        <v>0</v>
      </c>
      <c r="AZ18" s="79">
        <f>Мор!D29</f>
        <v>0</v>
      </c>
      <c r="BA18" s="79" t="e">
        <f t="shared" si="20"/>
        <v>#DIV/0!</v>
      </c>
      <c r="BB18" s="79"/>
      <c r="BC18" s="79"/>
      <c r="BD18" s="79"/>
      <c r="BE18" s="79">
        <f>Мор!C33</f>
        <v>0</v>
      </c>
      <c r="BF18" s="79">
        <f>SUM(Мор!D31)</f>
        <v>23.9314</v>
      </c>
      <c r="BG18" s="79" t="e">
        <f>Мор!E33</f>
        <v>#DIV/0!</v>
      </c>
      <c r="BH18" s="79">
        <f>Мор!F33</f>
        <v>0</v>
      </c>
      <c r="BI18" s="79">
        <f>Мор!G33</f>
        <v>0</v>
      </c>
      <c r="BJ18" s="79">
        <f>Мор!H33</f>
        <v>0</v>
      </c>
      <c r="BK18" s="79">
        <f>Мор!I33</f>
        <v>0</v>
      </c>
      <c r="BL18" s="79">
        <f>Мор!J33</f>
        <v>0</v>
      </c>
      <c r="BM18" s="79">
        <f>Мор!K33</f>
        <v>0</v>
      </c>
      <c r="BN18" s="79">
        <f>Мор!C34</f>
        <v>0</v>
      </c>
      <c r="BO18" s="79">
        <f>Мор!D34</f>
        <v>87.16459</v>
      </c>
      <c r="BP18" s="89" t="e">
        <f t="shared" si="21"/>
        <v>#DIV/0!</v>
      </c>
      <c r="BQ18" s="79">
        <f>Мор!C37</f>
        <v>0</v>
      </c>
      <c r="BR18" s="79">
        <f>Мор!D37</f>
        <v>0</v>
      </c>
      <c r="BS18" s="79" t="e">
        <f t="shared" si="22"/>
        <v>#DIV/0!</v>
      </c>
      <c r="BT18" s="79"/>
      <c r="BU18" s="79"/>
      <c r="BV18" s="90" t="e">
        <f t="shared" si="23"/>
        <v>#DIV/0!</v>
      </c>
      <c r="BW18" s="90"/>
      <c r="BX18" s="90"/>
      <c r="BY18" s="90" t="e">
        <f t="shared" si="24"/>
        <v>#DIV/0!</v>
      </c>
      <c r="BZ18" s="84">
        <f t="shared" si="25"/>
        <v>19016.51083</v>
      </c>
      <c r="CA18" s="84">
        <f t="shared" si="26"/>
        <v>14245.98148</v>
      </c>
      <c r="CB18" s="79">
        <f t="shared" si="27"/>
        <v>74.91375051581952</v>
      </c>
      <c r="CC18" s="79">
        <f>Мор!C42</f>
        <v>8831.9</v>
      </c>
      <c r="CD18" s="79">
        <f>Мор!D42</f>
        <v>8831.9</v>
      </c>
      <c r="CE18" s="79">
        <f t="shared" si="28"/>
        <v>100</v>
      </c>
      <c r="CF18" s="79">
        <f>Мор!C43</f>
        <v>0</v>
      </c>
      <c r="CG18" s="91">
        <f>Мор!D43</f>
        <v>0</v>
      </c>
      <c r="CH18" s="79" t="e">
        <f t="shared" si="29"/>
        <v>#DIV/0!</v>
      </c>
      <c r="CI18" s="79">
        <f>Мор!C44</f>
        <v>9757.53173</v>
      </c>
      <c r="CJ18" s="79">
        <f>Мор!D44</f>
        <v>5512.246</v>
      </c>
      <c r="CK18" s="79">
        <f t="shared" si="30"/>
        <v>56.49221701275472</v>
      </c>
      <c r="CL18" s="79">
        <f>Мор!C46</f>
        <v>67.0441</v>
      </c>
      <c r="CM18" s="79">
        <f>Мор!D46</f>
        <v>67.0307</v>
      </c>
      <c r="CN18" s="79">
        <f t="shared" si="31"/>
        <v>99.98001315552003</v>
      </c>
      <c r="CO18" s="79">
        <f>Мор!C47</f>
        <v>360.035</v>
      </c>
      <c r="CP18" s="79">
        <f>Мор!D47</f>
        <v>302.6</v>
      </c>
      <c r="CQ18" s="79">
        <f t="shared" si="32"/>
        <v>84.04738428208368</v>
      </c>
      <c r="CR18" s="83">
        <f>Мор!C49</f>
        <v>0</v>
      </c>
      <c r="CS18" s="79">
        <f>Мор!D49</f>
        <v>0</v>
      </c>
      <c r="CT18" s="79" t="e">
        <f t="shared" si="33"/>
        <v>#DIV/0!</v>
      </c>
      <c r="CU18" s="79"/>
      <c r="CV18" s="79">
        <f>SUM(Мор!D50)</f>
        <v>-467.79522</v>
      </c>
      <c r="CW18" s="79"/>
      <c r="CX18" s="84"/>
      <c r="CY18" s="84"/>
      <c r="CZ18" s="79" t="e">
        <f t="shared" si="34"/>
        <v>#DIV/0!</v>
      </c>
      <c r="DA18" s="79"/>
      <c r="DB18" s="79"/>
      <c r="DC18" s="79"/>
      <c r="DD18" s="79"/>
      <c r="DE18" s="79"/>
      <c r="DF18" s="79"/>
      <c r="DG18" s="84">
        <f t="shared" si="35"/>
        <v>24710.52906</v>
      </c>
      <c r="DH18" s="84">
        <f t="shared" si="36"/>
        <v>19295.71982</v>
      </c>
      <c r="DI18" s="79">
        <f t="shared" si="37"/>
        <v>78.08703639306053</v>
      </c>
      <c r="DJ18" s="84">
        <f t="shared" si="38"/>
        <v>2586.5273399999996</v>
      </c>
      <c r="DK18" s="84">
        <f t="shared" si="38"/>
        <v>2574.17879</v>
      </c>
      <c r="DL18" s="79">
        <f t="shared" si="39"/>
        <v>99.52258188772906</v>
      </c>
      <c r="DM18" s="79">
        <f>Мор!C59</f>
        <v>2345.13534</v>
      </c>
      <c r="DN18" s="79">
        <f>Мор!D59</f>
        <v>2337.78679</v>
      </c>
      <c r="DO18" s="79">
        <f t="shared" si="40"/>
        <v>99.68664708280761</v>
      </c>
      <c r="DP18" s="79">
        <f>Мор!C62</f>
        <v>30.56</v>
      </c>
      <c r="DQ18" s="79">
        <f>Мор!D62</f>
        <v>30.56</v>
      </c>
      <c r="DR18" s="79">
        <f t="shared" si="41"/>
        <v>100</v>
      </c>
      <c r="DS18" s="79">
        <f>Мор!C63</f>
        <v>5</v>
      </c>
      <c r="DT18" s="79">
        <f>Мор!D63</f>
        <v>0</v>
      </c>
      <c r="DU18" s="79">
        <f t="shared" si="42"/>
        <v>0</v>
      </c>
      <c r="DV18" s="79">
        <f>Мор!C64</f>
        <v>205.832</v>
      </c>
      <c r="DW18" s="79">
        <f>Мор!D64</f>
        <v>205.832</v>
      </c>
      <c r="DX18" s="79">
        <f t="shared" si="43"/>
        <v>100</v>
      </c>
      <c r="DY18" s="79">
        <f>Мор!C65</f>
        <v>0</v>
      </c>
      <c r="DZ18" s="79">
        <f>Мор!D65</f>
        <v>0</v>
      </c>
      <c r="EA18" s="79" t="e">
        <f t="shared" si="44"/>
        <v>#DIV/0!</v>
      </c>
      <c r="EB18" s="79">
        <f>Мор!C67</f>
        <v>67.932</v>
      </c>
      <c r="EC18" s="79">
        <f>Мор!D67</f>
        <v>32.932</v>
      </c>
      <c r="ED18" s="79">
        <f t="shared" si="45"/>
        <v>48.47788965436025</v>
      </c>
      <c r="EE18" s="84">
        <f>Мор!C73</f>
        <v>1286.22233</v>
      </c>
      <c r="EF18" s="84">
        <f>Мор!D73</f>
        <v>1186.2089299999998</v>
      </c>
      <c r="EG18" s="79">
        <f t="shared" si="46"/>
        <v>92.22425255204516</v>
      </c>
      <c r="EH18" s="84">
        <f>Мор!C78</f>
        <v>16291.19739</v>
      </c>
      <c r="EI18" s="84">
        <f>Мор!D78</f>
        <v>11023.7501</v>
      </c>
      <c r="EJ18" s="79">
        <f t="shared" si="47"/>
        <v>67.66691137611954</v>
      </c>
      <c r="EK18" s="84">
        <f>Мор!C82</f>
        <v>4478.65</v>
      </c>
      <c r="EL18" s="92">
        <f>Мор!D82</f>
        <v>4478.65</v>
      </c>
      <c r="EM18" s="79">
        <f t="shared" si="48"/>
        <v>100</v>
      </c>
      <c r="EN18" s="79">
        <f>Мор!C85</f>
        <v>0</v>
      </c>
      <c r="EO18" s="79">
        <f>Мор!D85</f>
        <v>0</v>
      </c>
      <c r="EP18" s="79" t="e">
        <f t="shared" si="49"/>
        <v>#DIV/0!</v>
      </c>
      <c r="EQ18" s="80">
        <f>Мор!C90</f>
        <v>0</v>
      </c>
      <c r="ER18" s="80">
        <f>Мор!D90</f>
        <v>0</v>
      </c>
      <c r="ES18" s="79" t="e">
        <f t="shared" si="50"/>
        <v>#DIV/0!</v>
      </c>
      <c r="ET18" s="79">
        <f>Мор!C96</f>
        <v>0</v>
      </c>
      <c r="EU18" s="79">
        <f>Мор!D96</f>
        <v>0</v>
      </c>
      <c r="EV18" s="79" t="e">
        <f t="shared" si="51"/>
        <v>#DIV/0!</v>
      </c>
      <c r="EW18" s="88">
        <f t="shared" si="52"/>
        <v>-687.4982300000011</v>
      </c>
      <c r="EX18" s="88">
        <f t="shared" si="53"/>
        <v>1172.2642000000014</v>
      </c>
      <c r="EY18" s="79">
        <f t="shared" si="54"/>
        <v>-170.51159535348907</v>
      </c>
      <c r="EZ18" s="93"/>
      <c r="FA18" s="94"/>
      <c r="FC18" s="94"/>
    </row>
    <row r="19" spans="1:159" s="113" customFormat="1" ht="27.75" customHeight="1">
      <c r="A19" s="109">
        <v>6</v>
      </c>
      <c r="B19" s="95" t="s">
        <v>128</v>
      </c>
      <c r="C19" s="106">
        <f t="shared" si="0"/>
        <v>33411.55514</v>
      </c>
      <c r="D19" s="78">
        <f t="shared" si="1"/>
        <v>32685.87872</v>
      </c>
      <c r="E19" s="87">
        <f t="shared" si="2"/>
        <v>97.82806751448925</v>
      </c>
      <c r="F19" s="80">
        <f t="shared" si="3"/>
        <v>5325.54084</v>
      </c>
      <c r="G19" s="104">
        <f t="shared" si="4"/>
        <v>4918.945590000001</v>
      </c>
      <c r="H19" s="87">
        <f t="shared" si="5"/>
        <v>92.36518388994274</v>
      </c>
      <c r="I19" s="96">
        <f>Мос!C6</f>
        <v>1672.1</v>
      </c>
      <c r="J19" s="97">
        <f>Мос!D6</f>
        <v>1573.08203</v>
      </c>
      <c r="K19" s="87">
        <f t="shared" si="6"/>
        <v>94.07822678069493</v>
      </c>
      <c r="L19" s="87">
        <f>Мос!C8</f>
        <v>314.47</v>
      </c>
      <c r="M19" s="87">
        <f>Мос!D8</f>
        <v>388.57627</v>
      </c>
      <c r="N19" s="87">
        <f t="shared" si="7"/>
        <v>123.56544980443284</v>
      </c>
      <c r="O19" s="87">
        <f>Мос!C9</f>
        <v>3</v>
      </c>
      <c r="P19" s="87">
        <f>Мос!D9</f>
        <v>2.73275</v>
      </c>
      <c r="Q19" s="87">
        <f t="shared" si="8"/>
        <v>91.09166666666665</v>
      </c>
      <c r="R19" s="87">
        <f>Мос!C10</f>
        <v>466.78</v>
      </c>
      <c r="S19" s="87">
        <f>Мос!D10</f>
        <v>516.64755</v>
      </c>
      <c r="T19" s="87">
        <f t="shared" si="9"/>
        <v>110.68330905351557</v>
      </c>
      <c r="U19" s="87">
        <f>Мос!C11</f>
        <v>0</v>
      </c>
      <c r="V19" s="102">
        <f>Мос!D11</f>
        <v>-66.26222</v>
      </c>
      <c r="W19" s="87" t="e">
        <f t="shared" si="10"/>
        <v>#DIV/0!</v>
      </c>
      <c r="X19" s="96">
        <f>Мос!C13</f>
        <v>45</v>
      </c>
      <c r="Y19" s="96">
        <f>Мос!D13</f>
        <v>44.8776</v>
      </c>
      <c r="Z19" s="87">
        <f t="shared" si="11"/>
        <v>99.72800000000001</v>
      </c>
      <c r="AA19" s="96">
        <f>Мос!C15</f>
        <v>616.19084</v>
      </c>
      <c r="AB19" s="86">
        <f>Мос!D15</f>
        <v>418.79576</v>
      </c>
      <c r="AC19" s="87">
        <f t="shared" si="12"/>
        <v>67.96526868202065</v>
      </c>
      <c r="AD19" s="96">
        <f>Мос!C16</f>
        <v>2200</v>
      </c>
      <c r="AE19" s="96">
        <f>Мос!D16</f>
        <v>2036.19585</v>
      </c>
      <c r="AF19" s="87">
        <f t="shared" si="13"/>
        <v>92.55435681818183</v>
      </c>
      <c r="AG19" s="87">
        <f>Мос!C18</f>
        <v>8</v>
      </c>
      <c r="AH19" s="87">
        <f>Мос!D18</f>
        <v>4.3</v>
      </c>
      <c r="AI19" s="87">
        <f t="shared" si="14"/>
        <v>53.75</v>
      </c>
      <c r="AJ19" s="87"/>
      <c r="AK19" s="87"/>
      <c r="AL19" s="87" t="e">
        <f t="shared" si="15"/>
        <v>#DIV/0!</v>
      </c>
      <c r="AM19" s="96">
        <f>Мос!C27</f>
        <v>0</v>
      </c>
      <c r="AN19" s="96">
        <v>0</v>
      </c>
      <c r="AO19" s="87" t="e">
        <f t="shared" si="16"/>
        <v>#DIV/0!</v>
      </c>
      <c r="AP19" s="96">
        <v>0</v>
      </c>
      <c r="AQ19" s="98">
        <f>Мос!D27</f>
        <v>0</v>
      </c>
      <c r="AR19" s="87" t="e">
        <f t="shared" si="17"/>
        <v>#DIV/0!</v>
      </c>
      <c r="AS19" s="96">
        <f>Мос!C26</f>
        <v>0</v>
      </c>
      <c r="AT19" s="98">
        <f>Мос!D28</f>
        <v>0</v>
      </c>
      <c r="AU19" s="87" t="e">
        <f t="shared" si="18"/>
        <v>#DIV/0!</v>
      </c>
      <c r="AV19" s="96"/>
      <c r="AW19" s="96"/>
      <c r="AX19" s="87" t="e">
        <f t="shared" si="19"/>
        <v>#DIV/0!</v>
      </c>
      <c r="AY19" s="87">
        <f>Мос!C30</f>
        <v>0</v>
      </c>
      <c r="AZ19" s="79">
        <f>Мос!D30</f>
        <v>0</v>
      </c>
      <c r="BA19" s="87" t="e">
        <f t="shared" si="20"/>
        <v>#DIV/0!</v>
      </c>
      <c r="BB19" s="87"/>
      <c r="BC19" s="87"/>
      <c r="BD19" s="87"/>
      <c r="BE19" s="87">
        <f>Мос!C33</f>
        <v>0</v>
      </c>
      <c r="BF19" s="87">
        <f>Мос!D33</f>
        <v>0</v>
      </c>
      <c r="BG19" s="87" t="e">
        <f aca="true" t="shared" si="55" ref="BG19:BG29">BF19/BE19*100</f>
        <v>#DIV/0!</v>
      </c>
      <c r="BH19" s="87"/>
      <c r="BI19" s="87"/>
      <c r="BJ19" s="87" t="e">
        <f aca="true" t="shared" si="56" ref="BJ19:BJ29">BI19/BH19*100</f>
        <v>#DIV/0!</v>
      </c>
      <c r="BK19" s="87"/>
      <c r="BL19" s="87"/>
      <c r="BM19" s="87"/>
      <c r="BN19" s="87">
        <f>Мос!C34</f>
        <v>0</v>
      </c>
      <c r="BO19" s="87">
        <f>Мос!D35</f>
        <v>0</v>
      </c>
      <c r="BP19" s="89" t="e">
        <f t="shared" si="21"/>
        <v>#DIV/0!</v>
      </c>
      <c r="BQ19" s="87">
        <f>Мос!C36</f>
        <v>0</v>
      </c>
      <c r="BR19" s="87">
        <f>Мос!D36</f>
        <v>0</v>
      </c>
      <c r="BS19" s="87" t="e">
        <f t="shared" si="22"/>
        <v>#DIV/0!</v>
      </c>
      <c r="BT19" s="87"/>
      <c r="BU19" s="87"/>
      <c r="BV19" s="99" t="e">
        <f t="shared" si="23"/>
        <v>#DIV/0!</v>
      </c>
      <c r="BW19" s="99"/>
      <c r="BX19" s="99"/>
      <c r="BY19" s="99" t="e">
        <f t="shared" si="24"/>
        <v>#DIV/0!</v>
      </c>
      <c r="BZ19" s="96">
        <f t="shared" si="25"/>
        <v>28086.0143</v>
      </c>
      <c r="CA19" s="96">
        <f t="shared" si="26"/>
        <v>27766.933129999998</v>
      </c>
      <c r="CB19" s="87">
        <f t="shared" si="27"/>
        <v>98.8639143789085</v>
      </c>
      <c r="CC19" s="87">
        <f>SUM(Мос!C41)</f>
        <v>942.5</v>
      </c>
      <c r="CD19" s="87">
        <f>SUM(Мос!D41)</f>
        <v>942.5</v>
      </c>
      <c r="CE19" s="87">
        <f t="shared" si="28"/>
        <v>100</v>
      </c>
      <c r="CF19" s="87">
        <f>Мос!C42</f>
        <v>0</v>
      </c>
      <c r="CG19" s="100">
        <f>Мос!D42</f>
        <v>0</v>
      </c>
      <c r="CH19" s="87" t="e">
        <f t="shared" si="29"/>
        <v>#DIV/0!</v>
      </c>
      <c r="CI19" s="87">
        <f>Мос!C43</f>
        <v>15693.60924</v>
      </c>
      <c r="CJ19" s="87">
        <f>Мос!D43</f>
        <v>15693.60924</v>
      </c>
      <c r="CK19" s="87">
        <f t="shared" si="30"/>
        <v>100</v>
      </c>
      <c r="CL19" s="87">
        <f>Мос!C45</f>
        <v>4721.8897</v>
      </c>
      <c r="CM19" s="87">
        <f>Мос!D45</f>
        <v>4721.8897</v>
      </c>
      <c r="CN19" s="87">
        <f t="shared" si="31"/>
        <v>100</v>
      </c>
      <c r="CO19" s="87">
        <f>Мос!C46</f>
        <v>4853.3887</v>
      </c>
      <c r="CP19" s="87">
        <f>Мос!D46</f>
        <v>4431.93419</v>
      </c>
      <c r="CQ19" s="79">
        <f t="shared" si="32"/>
        <v>91.31628361025359</v>
      </c>
      <c r="CR19" s="102">
        <f>SUM(Мос!C51)</f>
        <v>1874.62666</v>
      </c>
      <c r="CS19" s="87">
        <f>Мос!D51</f>
        <v>1977</v>
      </c>
      <c r="CT19" s="87">
        <f t="shared" si="33"/>
        <v>105.4609988316287</v>
      </c>
      <c r="CU19" s="87"/>
      <c r="CV19" s="87"/>
      <c r="CW19" s="87"/>
      <c r="CX19" s="96"/>
      <c r="CY19" s="96"/>
      <c r="CZ19" s="87" t="e">
        <f t="shared" si="34"/>
        <v>#DIV/0!</v>
      </c>
      <c r="DA19" s="87"/>
      <c r="DB19" s="87"/>
      <c r="DC19" s="87"/>
      <c r="DD19" s="87"/>
      <c r="DE19" s="87"/>
      <c r="DF19" s="87"/>
      <c r="DG19" s="84">
        <f t="shared" si="35"/>
        <v>33838.37537</v>
      </c>
      <c r="DH19" s="84">
        <f t="shared" si="36"/>
        <v>32952.89762</v>
      </c>
      <c r="DI19" s="87">
        <f t="shared" si="37"/>
        <v>97.3832143525867</v>
      </c>
      <c r="DJ19" s="96">
        <f t="shared" si="38"/>
        <v>3742.319</v>
      </c>
      <c r="DK19" s="96">
        <f t="shared" si="38"/>
        <v>3609.30122</v>
      </c>
      <c r="DL19" s="87">
        <f t="shared" si="39"/>
        <v>96.44557879753168</v>
      </c>
      <c r="DM19" s="87">
        <f>Мос!C59</f>
        <v>3622.467</v>
      </c>
      <c r="DN19" s="87">
        <f>Мос!D59</f>
        <v>3534.12522</v>
      </c>
      <c r="DO19" s="87">
        <f t="shared" si="40"/>
        <v>97.5612813035978</v>
      </c>
      <c r="DP19" s="87">
        <f>Мос!C62</f>
        <v>0</v>
      </c>
      <c r="DQ19" s="87">
        <f>Мос!D62</f>
        <v>0</v>
      </c>
      <c r="DR19" s="87" t="e">
        <f t="shared" si="41"/>
        <v>#DIV/0!</v>
      </c>
      <c r="DS19" s="87">
        <f>Мос!C63</f>
        <v>0</v>
      </c>
      <c r="DT19" s="87">
        <f>Мос!D63</f>
        <v>0</v>
      </c>
      <c r="DU19" s="87" t="e">
        <f t="shared" si="42"/>
        <v>#DIV/0!</v>
      </c>
      <c r="DV19" s="87">
        <f>Мос!C64</f>
        <v>119.852</v>
      </c>
      <c r="DW19" s="87">
        <f>Мос!D64</f>
        <v>75.176</v>
      </c>
      <c r="DX19" s="87">
        <f t="shared" si="43"/>
        <v>62.72402629910222</v>
      </c>
      <c r="DY19" s="87">
        <f>Мос!C66</f>
        <v>206.767</v>
      </c>
      <c r="DZ19" s="87">
        <f>Мос!D66</f>
        <v>206.767</v>
      </c>
      <c r="EA19" s="87">
        <f t="shared" si="44"/>
        <v>100</v>
      </c>
      <c r="EB19" s="87">
        <f>Мос!C67</f>
        <v>7.9</v>
      </c>
      <c r="EC19" s="87">
        <f>Мос!D67</f>
        <v>7.9</v>
      </c>
      <c r="ED19" s="87">
        <f t="shared" si="45"/>
        <v>100</v>
      </c>
      <c r="EE19" s="96">
        <f>Мос!C73</f>
        <v>3200.274</v>
      </c>
      <c r="EF19" s="96">
        <f>Мос!D73</f>
        <v>2876.57714</v>
      </c>
      <c r="EG19" s="87">
        <f t="shared" si="46"/>
        <v>89.88533919283161</v>
      </c>
      <c r="EH19" s="96">
        <f>Мос!C78</f>
        <v>26115.80632</v>
      </c>
      <c r="EI19" s="96">
        <f>Мос!D78</f>
        <v>26013.67019</v>
      </c>
      <c r="EJ19" s="87">
        <f t="shared" si="47"/>
        <v>99.60891067750882</v>
      </c>
      <c r="EK19" s="96">
        <f>Мос!C83</f>
        <v>536.43207</v>
      </c>
      <c r="EL19" s="103">
        <f>Мос!D83</f>
        <v>209.88207</v>
      </c>
      <c r="EM19" s="87">
        <f t="shared" si="48"/>
        <v>39.125563466032155</v>
      </c>
      <c r="EN19" s="87">
        <f>SUM(Мос!C93)</f>
        <v>5</v>
      </c>
      <c r="EO19" s="87">
        <f>SUM(Мос!D93)</f>
        <v>5</v>
      </c>
      <c r="EP19" s="87">
        <f t="shared" si="49"/>
        <v>100</v>
      </c>
      <c r="EQ19" s="104">
        <f>SUM(Мос!C95)</f>
        <v>23.87698</v>
      </c>
      <c r="ER19" s="104">
        <f>SUM(Мос!D95)</f>
        <v>23.8</v>
      </c>
      <c r="ES19" s="87">
        <f t="shared" si="50"/>
        <v>99.67759741809894</v>
      </c>
      <c r="ET19" s="87">
        <f>Мос!C99</f>
        <v>0</v>
      </c>
      <c r="EU19" s="87">
        <f>Мос!D99</f>
        <v>0</v>
      </c>
      <c r="EV19" s="87" t="e">
        <f t="shared" si="51"/>
        <v>#DIV/0!</v>
      </c>
      <c r="EW19" s="110">
        <f t="shared" si="52"/>
        <v>-426.8202300000048</v>
      </c>
      <c r="EX19" s="110">
        <f t="shared" si="53"/>
        <v>-267.01890000000276</v>
      </c>
      <c r="EY19" s="87">
        <f t="shared" si="54"/>
        <v>62.56003844991128</v>
      </c>
      <c r="EZ19" s="111"/>
      <c r="FA19" s="112"/>
      <c r="FC19" s="112"/>
    </row>
    <row r="20" spans="1:170" s="59" customFormat="1" ht="24.75" customHeight="1">
      <c r="A20" s="75">
        <v>7</v>
      </c>
      <c r="B20" s="95" t="s">
        <v>129</v>
      </c>
      <c r="C20" s="77">
        <f t="shared" si="0"/>
        <v>17125.5321</v>
      </c>
      <c r="D20" s="78">
        <f t="shared" si="1"/>
        <v>16906.87743</v>
      </c>
      <c r="E20" s="87">
        <f t="shared" si="2"/>
        <v>98.72322408014405</v>
      </c>
      <c r="F20" s="80">
        <f t="shared" si="3"/>
        <v>2739.1200000000003</v>
      </c>
      <c r="G20" s="80">
        <f t="shared" si="4"/>
        <v>2688.4344499999997</v>
      </c>
      <c r="H20" s="87">
        <f t="shared" si="5"/>
        <v>98.14956810946579</v>
      </c>
      <c r="I20" s="107">
        <f>Ори!C6</f>
        <v>277.4</v>
      </c>
      <c r="J20" s="82">
        <f>Ори!D6</f>
        <v>275.61882</v>
      </c>
      <c r="K20" s="87">
        <f t="shared" si="6"/>
        <v>99.35790194664746</v>
      </c>
      <c r="L20" s="87">
        <f>Ори!C8</f>
        <v>178.94</v>
      </c>
      <c r="M20" s="87">
        <f>Ори!D8</f>
        <v>248.79139</v>
      </c>
      <c r="N20" s="79">
        <f t="shared" si="7"/>
        <v>139.03620766737455</v>
      </c>
      <c r="O20" s="79">
        <f>Ори!C9</f>
        <v>1.92</v>
      </c>
      <c r="P20" s="79">
        <f>Ори!D9</f>
        <v>1.74968</v>
      </c>
      <c r="Q20" s="79">
        <f t="shared" si="8"/>
        <v>91.12916666666666</v>
      </c>
      <c r="R20" s="79">
        <f>Ори!C10</f>
        <v>298.86</v>
      </c>
      <c r="S20" s="79">
        <f>Ори!D10</f>
        <v>330.79083</v>
      </c>
      <c r="T20" s="79">
        <f t="shared" si="9"/>
        <v>110.68420999799238</v>
      </c>
      <c r="U20" s="79">
        <f>Ори!C11</f>
        <v>0</v>
      </c>
      <c r="V20" s="83">
        <f>Ори!D11</f>
        <v>-42.4253</v>
      </c>
      <c r="W20" s="79" t="e">
        <f t="shared" si="10"/>
        <v>#DIV/0!</v>
      </c>
      <c r="X20" s="96">
        <f>Ори!C13</f>
        <v>15</v>
      </c>
      <c r="Y20" s="96">
        <f>Ори!D13</f>
        <v>5.87145</v>
      </c>
      <c r="Z20" s="87">
        <f t="shared" si="11"/>
        <v>39.143</v>
      </c>
      <c r="AA20" s="96">
        <f>Ори!C15</f>
        <v>350</v>
      </c>
      <c r="AB20" s="86">
        <f>Ори!D15</f>
        <v>280.24088</v>
      </c>
      <c r="AC20" s="87">
        <f t="shared" si="12"/>
        <v>80.06882285714286</v>
      </c>
      <c r="AD20" s="96">
        <f>Ори!C16</f>
        <v>1370</v>
      </c>
      <c r="AE20" s="96">
        <f>Ори!D16</f>
        <v>1255.82699</v>
      </c>
      <c r="AF20" s="87">
        <f t="shared" si="13"/>
        <v>91.66620364963504</v>
      </c>
      <c r="AG20" s="87">
        <f>Ори!C18</f>
        <v>8</v>
      </c>
      <c r="AH20" s="87">
        <f>Ори!D18</f>
        <v>3.6</v>
      </c>
      <c r="AI20" s="87">
        <f t="shared" si="14"/>
        <v>45</v>
      </c>
      <c r="AJ20" s="87"/>
      <c r="AK20" s="87"/>
      <c r="AL20" s="87" t="e">
        <f t="shared" si="15"/>
        <v>#DIV/0!</v>
      </c>
      <c r="AM20" s="96">
        <v>0</v>
      </c>
      <c r="AN20" s="96">
        <v>0</v>
      </c>
      <c r="AO20" s="87" t="e">
        <f t="shared" si="16"/>
        <v>#DIV/0!</v>
      </c>
      <c r="AP20" s="96">
        <f>Ори!C27</f>
        <v>135</v>
      </c>
      <c r="AQ20" s="98">
        <f>Ори!D27</f>
        <v>149.21396</v>
      </c>
      <c r="AR20" s="87">
        <f t="shared" si="17"/>
        <v>110.52885925925924</v>
      </c>
      <c r="AS20" s="84">
        <f>Ори!C28</f>
        <v>54</v>
      </c>
      <c r="AT20" s="98">
        <f>Ори!D28</f>
        <v>65.747</v>
      </c>
      <c r="AU20" s="87">
        <f t="shared" si="18"/>
        <v>121.7537037037037</v>
      </c>
      <c r="AV20" s="96"/>
      <c r="AW20" s="96"/>
      <c r="AX20" s="87" t="e">
        <f t="shared" si="19"/>
        <v>#DIV/0!</v>
      </c>
      <c r="AY20" s="87">
        <f>Ори!C30</f>
        <v>50</v>
      </c>
      <c r="AZ20" s="79">
        <f>Ори!D30</f>
        <v>69.10365</v>
      </c>
      <c r="BA20" s="87">
        <f t="shared" si="20"/>
        <v>138.2073</v>
      </c>
      <c r="BB20" s="87"/>
      <c r="BC20" s="87"/>
      <c r="BD20" s="87"/>
      <c r="BE20" s="87">
        <f>Ори!C33</f>
        <v>0</v>
      </c>
      <c r="BF20" s="87">
        <f>Ори!D33</f>
        <v>0</v>
      </c>
      <c r="BG20" s="87" t="e">
        <f t="shared" si="55"/>
        <v>#DIV/0!</v>
      </c>
      <c r="BH20" s="87"/>
      <c r="BI20" s="87"/>
      <c r="BJ20" s="87" t="e">
        <f t="shared" si="56"/>
        <v>#DIV/0!</v>
      </c>
      <c r="BK20" s="87"/>
      <c r="BL20" s="87"/>
      <c r="BM20" s="87"/>
      <c r="BN20" s="87">
        <f>Ори!C35</f>
        <v>0</v>
      </c>
      <c r="BO20" s="87">
        <f>Ори!D34</f>
        <v>48.9551</v>
      </c>
      <c r="BP20" s="89" t="e">
        <f t="shared" si="21"/>
        <v>#DIV/0!</v>
      </c>
      <c r="BQ20" s="87">
        <f>Ори!C36</f>
        <v>0</v>
      </c>
      <c r="BR20" s="87">
        <f>Ори!D36</f>
        <v>-4.65</v>
      </c>
      <c r="BS20" s="87" t="e">
        <f t="shared" si="22"/>
        <v>#DIV/0!</v>
      </c>
      <c r="BT20" s="87"/>
      <c r="BU20" s="87"/>
      <c r="BV20" s="99" t="e">
        <f t="shared" si="23"/>
        <v>#DIV/0!</v>
      </c>
      <c r="BW20" s="99"/>
      <c r="BX20" s="99"/>
      <c r="BY20" s="99" t="e">
        <f t="shared" si="24"/>
        <v>#DIV/0!</v>
      </c>
      <c r="BZ20" s="84">
        <f t="shared" si="25"/>
        <v>14386.4121</v>
      </c>
      <c r="CA20" s="84">
        <f t="shared" si="26"/>
        <v>14218.442980000002</v>
      </c>
      <c r="CB20" s="87">
        <f t="shared" si="27"/>
        <v>98.83244606902372</v>
      </c>
      <c r="CC20" s="87">
        <f>Ори!C41</f>
        <v>3226.8</v>
      </c>
      <c r="CD20" s="87">
        <f>Ори!D41</f>
        <v>3226.8</v>
      </c>
      <c r="CE20" s="87">
        <f t="shared" si="28"/>
        <v>100</v>
      </c>
      <c r="CF20" s="87">
        <f>Ори!C42</f>
        <v>0</v>
      </c>
      <c r="CG20" s="100">
        <f>Ори!D42</f>
        <v>0</v>
      </c>
      <c r="CH20" s="87" t="e">
        <f t="shared" si="29"/>
        <v>#DIV/0!</v>
      </c>
      <c r="CI20" s="87">
        <f>Ори!C43</f>
        <v>9628.309</v>
      </c>
      <c r="CJ20" s="87">
        <f>Ори!D43</f>
        <v>9628.30898</v>
      </c>
      <c r="CK20" s="87">
        <f t="shared" si="30"/>
        <v>99.99999979227921</v>
      </c>
      <c r="CL20" s="87">
        <f>Ори!C45</f>
        <v>206.767</v>
      </c>
      <c r="CM20" s="87">
        <f>Ори!D45</f>
        <v>206.767</v>
      </c>
      <c r="CN20" s="87">
        <f t="shared" si="31"/>
        <v>100</v>
      </c>
      <c r="CO20" s="87">
        <f>Ори!C46</f>
        <v>933.867</v>
      </c>
      <c r="CP20" s="87">
        <f>Ори!D46</f>
        <v>842.967</v>
      </c>
      <c r="CQ20" s="79">
        <f t="shared" si="32"/>
        <v>90.26627988782128</v>
      </c>
      <c r="CR20" s="102">
        <f>Ори!C47</f>
        <v>390.6691</v>
      </c>
      <c r="CS20" s="87">
        <f>Ори!D47</f>
        <v>313.6</v>
      </c>
      <c r="CT20" s="87">
        <f t="shared" si="33"/>
        <v>80.27253755160058</v>
      </c>
      <c r="CU20" s="87"/>
      <c r="CV20" s="87"/>
      <c r="CW20" s="87"/>
      <c r="CX20" s="96"/>
      <c r="CY20" s="96"/>
      <c r="CZ20" s="87" t="e">
        <f t="shared" si="34"/>
        <v>#DIV/0!</v>
      </c>
      <c r="DA20" s="87"/>
      <c r="DB20" s="87"/>
      <c r="DC20" s="87"/>
      <c r="DD20" s="87"/>
      <c r="DE20" s="87"/>
      <c r="DF20" s="87"/>
      <c r="DG20" s="84">
        <f t="shared" si="35"/>
        <v>18154.4962</v>
      </c>
      <c r="DH20" s="84">
        <f t="shared" si="36"/>
        <v>17457.999689999997</v>
      </c>
      <c r="DI20" s="87">
        <f t="shared" si="37"/>
        <v>96.1635040580195</v>
      </c>
      <c r="DJ20" s="96">
        <f t="shared" si="38"/>
        <v>1986.818</v>
      </c>
      <c r="DK20" s="96">
        <f t="shared" si="38"/>
        <v>1787.85817</v>
      </c>
      <c r="DL20" s="87">
        <f t="shared" si="39"/>
        <v>89.98600626730783</v>
      </c>
      <c r="DM20" s="87">
        <f>Ори!C58</f>
        <v>1856.132</v>
      </c>
      <c r="DN20" s="87">
        <f>Ори!D58</f>
        <v>1757.17217</v>
      </c>
      <c r="DO20" s="87">
        <f t="shared" si="40"/>
        <v>94.66849178829953</v>
      </c>
      <c r="DP20" s="87">
        <f>Ори!C61</f>
        <v>0</v>
      </c>
      <c r="DQ20" s="87">
        <f>Ори!D61</f>
        <v>0</v>
      </c>
      <c r="DR20" s="87" t="e">
        <f t="shared" si="41"/>
        <v>#DIV/0!</v>
      </c>
      <c r="DS20" s="87">
        <f>Ори!C62</f>
        <v>100</v>
      </c>
      <c r="DT20" s="87">
        <f>Ори!D62</f>
        <v>0</v>
      </c>
      <c r="DU20" s="87">
        <f t="shared" si="42"/>
        <v>0</v>
      </c>
      <c r="DV20" s="87">
        <f>Ори!C63</f>
        <v>30.686</v>
      </c>
      <c r="DW20" s="87">
        <f>Ори!D63</f>
        <v>30.686</v>
      </c>
      <c r="DX20" s="87">
        <f t="shared" si="43"/>
        <v>100</v>
      </c>
      <c r="DY20" s="87">
        <f>Ори!C65</f>
        <v>206.767</v>
      </c>
      <c r="DZ20" s="87">
        <f>Ори!D65</f>
        <v>206.767</v>
      </c>
      <c r="EA20" s="87">
        <f t="shared" si="44"/>
        <v>100</v>
      </c>
      <c r="EB20" s="87">
        <f>Ори!C66</f>
        <v>18.5</v>
      </c>
      <c r="EC20" s="87">
        <f>Ори!D66</f>
        <v>18.31148</v>
      </c>
      <c r="ED20" s="87">
        <f t="shared" si="45"/>
        <v>98.98097297297296</v>
      </c>
      <c r="EE20" s="96">
        <f>Ори!C72</f>
        <v>3047.5731</v>
      </c>
      <c r="EF20" s="96">
        <f>Ори!D72</f>
        <v>3038.0631</v>
      </c>
      <c r="EG20" s="87">
        <f t="shared" si="46"/>
        <v>99.68794842033485</v>
      </c>
      <c r="EH20" s="96">
        <f>Ори!C77</f>
        <v>11051.9431</v>
      </c>
      <c r="EI20" s="96">
        <f>Ори!D77</f>
        <v>10564.11594</v>
      </c>
      <c r="EJ20" s="87">
        <f t="shared" si="47"/>
        <v>95.58605074613531</v>
      </c>
      <c r="EK20" s="96">
        <f>Ори!C82</f>
        <v>1815.825</v>
      </c>
      <c r="EL20" s="103">
        <f>Ори!D82</f>
        <v>1815.814</v>
      </c>
      <c r="EM20" s="87">
        <f t="shared" si="48"/>
        <v>99.99939421475086</v>
      </c>
      <c r="EN20" s="87">
        <f>Ори!C84</f>
        <v>0</v>
      </c>
      <c r="EO20" s="87">
        <f>Ори!D84</f>
        <v>0</v>
      </c>
      <c r="EP20" s="87" t="e">
        <f t="shared" si="49"/>
        <v>#DIV/0!</v>
      </c>
      <c r="EQ20" s="104">
        <f>Ори!C89</f>
        <v>27.07</v>
      </c>
      <c r="ER20" s="104">
        <f>Ори!D89</f>
        <v>27.07</v>
      </c>
      <c r="ES20" s="87">
        <f t="shared" si="50"/>
        <v>100</v>
      </c>
      <c r="ET20" s="87">
        <f>Ори!C95</f>
        <v>0</v>
      </c>
      <c r="EU20" s="87">
        <f>Ори!D95</f>
        <v>0</v>
      </c>
      <c r="EV20" s="79" t="e">
        <f t="shared" si="51"/>
        <v>#DIV/0!</v>
      </c>
      <c r="EW20" s="88">
        <f t="shared" si="52"/>
        <v>-1028.964100000001</v>
      </c>
      <c r="EX20" s="88">
        <f t="shared" si="53"/>
        <v>-551.1222599999965</v>
      </c>
      <c r="EY20" s="79">
        <f t="shared" si="54"/>
        <v>53.56088322226168</v>
      </c>
      <c r="EZ20" s="93"/>
      <c r="FA20" s="94"/>
      <c r="FC20" s="94"/>
      <c r="FF20" s="114"/>
      <c r="FG20" s="114"/>
      <c r="FH20" s="114"/>
      <c r="FI20" s="114"/>
      <c r="FJ20" s="114"/>
      <c r="FK20" s="114"/>
      <c r="FL20" s="114"/>
      <c r="FM20" s="114"/>
      <c r="FN20" s="114"/>
    </row>
    <row r="21" spans="1:170" s="59" customFormat="1" ht="24.75" customHeight="1">
      <c r="A21" s="75">
        <v>8</v>
      </c>
      <c r="B21" s="95" t="s">
        <v>130</v>
      </c>
      <c r="C21" s="77">
        <f t="shared" si="0"/>
        <v>21620.02593</v>
      </c>
      <c r="D21" s="78">
        <f t="shared" si="1"/>
        <v>21483.74877</v>
      </c>
      <c r="E21" s="87">
        <f t="shared" si="2"/>
        <v>99.36967161630041</v>
      </c>
      <c r="F21" s="80">
        <f t="shared" si="3"/>
        <v>2203.15</v>
      </c>
      <c r="G21" s="80">
        <f t="shared" si="4"/>
        <v>2165.23779</v>
      </c>
      <c r="H21" s="87">
        <f t="shared" si="5"/>
        <v>98.27918162630779</v>
      </c>
      <c r="I21" s="96">
        <f>Сят!C6</f>
        <v>127.65</v>
      </c>
      <c r="J21" s="97">
        <f>Сят!D6</f>
        <v>162.09878</v>
      </c>
      <c r="K21" s="87">
        <f t="shared" si="6"/>
        <v>126.98690168429299</v>
      </c>
      <c r="L21" s="87">
        <f>Сят!C8</f>
        <v>220.44</v>
      </c>
      <c r="M21" s="87">
        <f>Сят!D8</f>
        <v>306.50075</v>
      </c>
      <c r="N21" s="79">
        <f t="shared" si="7"/>
        <v>139.04044184358554</v>
      </c>
      <c r="O21" s="79">
        <f>Сят!C9</f>
        <v>2.36</v>
      </c>
      <c r="P21" s="79">
        <f>Сят!D9</f>
        <v>2.15554</v>
      </c>
      <c r="Q21" s="79">
        <f t="shared" si="8"/>
        <v>91.3364406779661</v>
      </c>
      <c r="R21" s="79">
        <f>Сят!C10</f>
        <v>400.2</v>
      </c>
      <c r="S21" s="79">
        <f>Сят!D10</f>
        <v>407.52068</v>
      </c>
      <c r="T21" s="79">
        <f t="shared" si="9"/>
        <v>101.82925537231384</v>
      </c>
      <c r="U21" s="79">
        <f>Сят!C11</f>
        <v>0</v>
      </c>
      <c r="V21" s="83">
        <f>Сят!D11</f>
        <v>-52.26625</v>
      </c>
      <c r="W21" s="79" t="e">
        <f t="shared" si="10"/>
        <v>#DIV/0!</v>
      </c>
      <c r="X21" s="96">
        <f>Сят!C13</f>
        <v>90</v>
      </c>
      <c r="Y21" s="96">
        <f>Сят!D13</f>
        <v>19.36608</v>
      </c>
      <c r="Z21" s="87">
        <f t="shared" si="11"/>
        <v>21.517866666666666</v>
      </c>
      <c r="AA21" s="96">
        <f>Сят!C15</f>
        <v>180</v>
      </c>
      <c r="AB21" s="86">
        <f>Сят!D15</f>
        <v>177.77658</v>
      </c>
      <c r="AC21" s="87">
        <f t="shared" si="12"/>
        <v>98.76476666666666</v>
      </c>
      <c r="AD21" s="96">
        <f>Сят!C16</f>
        <v>919</v>
      </c>
      <c r="AE21" s="96">
        <f>Сят!D16</f>
        <v>624.9743</v>
      </c>
      <c r="AF21" s="87">
        <f t="shared" si="13"/>
        <v>68.00590859630033</v>
      </c>
      <c r="AG21" s="87">
        <f>Сят!C18</f>
        <v>4</v>
      </c>
      <c r="AH21" s="87">
        <f>Сят!D18</f>
        <v>3.825</v>
      </c>
      <c r="AI21" s="87">
        <f t="shared" si="14"/>
        <v>95.625</v>
      </c>
      <c r="AJ21" s="87">
        <f>Сят!C22</f>
        <v>0</v>
      </c>
      <c r="AK21" s="87">
        <f>Сят!D20</f>
        <v>0</v>
      </c>
      <c r="AL21" s="87" t="e">
        <f t="shared" si="15"/>
        <v>#DIV/0!</v>
      </c>
      <c r="AM21" s="96">
        <v>0</v>
      </c>
      <c r="AN21" s="96">
        <v>0</v>
      </c>
      <c r="AO21" s="87" t="e">
        <f t="shared" si="16"/>
        <v>#DIV/0!</v>
      </c>
      <c r="AP21" s="96">
        <f>Сят!C27</f>
        <v>242.8</v>
      </c>
      <c r="AQ21" s="98">
        <f>Сят!D27</f>
        <v>224.21</v>
      </c>
      <c r="AR21" s="87">
        <f t="shared" si="17"/>
        <v>92.34349258649094</v>
      </c>
      <c r="AS21" s="84">
        <f>Сят!C28</f>
        <v>6.7</v>
      </c>
      <c r="AT21" s="98">
        <f>Сят!D28</f>
        <v>26.28876</v>
      </c>
      <c r="AU21" s="87">
        <f t="shared" si="18"/>
        <v>392.36955223880597</v>
      </c>
      <c r="AV21" s="96"/>
      <c r="AW21" s="96"/>
      <c r="AX21" s="87" t="e">
        <f t="shared" si="19"/>
        <v>#DIV/0!</v>
      </c>
      <c r="AY21" s="87">
        <f>Сят!C30</f>
        <v>10</v>
      </c>
      <c r="AZ21" s="79">
        <f>Сят!D30</f>
        <v>6.41759</v>
      </c>
      <c r="BA21" s="87">
        <f t="shared" si="20"/>
        <v>64.1759</v>
      </c>
      <c r="BB21" s="87"/>
      <c r="BC21" s="87"/>
      <c r="BD21" s="87"/>
      <c r="BE21" s="87">
        <f>Сят!C33</f>
        <v>0</v>
      </c>
      <c r="BF21" s="87">
        <f>SUM(Сят!D31)</f>
        <v>234.3118</v>
      </c>
      <c r="BG21" s="87" t="e">
        <f t="shared" si="55"/>
        <v>#DIV/0!</v>
      </c>
      <c r="BH21" s="87"/>
      <c r="BI21" s="87"/>
      <c r="BJ21" s="87" t="e">
        <f t="shared" si="56"/>
        <v>#DIV/0!</v>
      </c>
      <c r="BK21" s="87"/>
      <c r="BL21" s="87"/>
      <c r="BM21" s="87"/>
      <c r="BN21" s="87">
        <f>Сят!C34</f>
        <v>0</v>
      </c>
      <c r="BO21" s="87">
        <f>Сят!D34</f>
        <v>22.05818</v>
      </c>
      <c r="BP21" s="89" t="e">
        <f t="shared" si="21"/>
        <v>#DIV/0!</v>
      </c>
      <c r="BQ21" s="87">
        <f>Сят!C36</f>
        <v>0</v>
      </c>
      <c r="BR21" s="87">
        <f>Сят!D36</f>
        <v>0</v>
      </c>
      <c r="BS21" s="87" t="e">
        <f t="shared" si="22"/>
        <v>#DIV/0!</v>
      </c>
      <c r="BT21" s="87"/>
      <c r="BU21" s="87"/>
      <c r="BV21" s="99" t="e">
        <f t="shared" si="23"/>
        <v>#DIV/0!</v>
      </c>
      <c r="BW21" s="99"/>
      <c r="BX21" s="99"/>
      <c r="BY21" s="99" t="e">
        <f t="shared" si="24"/>
        <v>#DIV/0!</v>
      </c>
      <c r="BZ21" s="84">
        <f t="shared" si="25"/>
        <v>19416.87593</v>
      </c>
      <c r="CA21" s="84">
        <f t="shared" si="26"/>
        <v>19318.51098</v>
      </c>
      <c r="CB21" s="87">
        <f t="shared" si="27"/>
        <v>99.49340485897619</v>
      </c>
      <c r="CC21" s="87">
        <f>Сят!C41</f>
        <v>4637.7</v>
      </c>
      <c r="CD21" s="87">
        <f>Сят!D41</f>
        <v>4637.7</v>
      </c>
      <c r="CE21" s="87">
        <f t="shared" si="28"/>
        <v>100</v>
      </c>
      <c r="CF21" s="87">
        <f>Сят!C42</f>
        <v>0</v>
      </c>
      <c r="CG21" s="100">
        <f>Сят!D42</f>
        <v>0</v>
      </c>
      <c r="CH21" s="87" t="e">
        <f t="shared" si="29"/>
        <v>#DIV/0!</v>
      </c>
      <c r="CI21" s="87">
        <f>Сят!C43</f>
        <v>12474.90703</v>
      </c>
      <c r="CJ21" s="87">
        <f>Сят!D43</f>
        <v>12461.25756</v>
      </c>
      <c r="CK21" s="87">
        <f t="shared" si="30"/>
        <v>99.89058459540279</v>
      </c>
      <c r="CL21" s="87">
        <f>Сят!C44</f>
        <v>206.767</v>
      </c>
      <c r="CM21" s="87">
        <f>Сят!D44</f>
        <v>206.767</v>
      </c>
      <c r="CN21" s="87">
        <f t="shared" si="31"/>
        <v>100</v>
      </c>
      <c r="CO21" s="87">
        <f>Сят!C48</f>
        <v>1890.728</v>
      </c>
      <c r="CP21" s="87">
        <f>Сят!D48</f>
        <v>1806.01252</v>
      </c>
      <c r="CQ21" s="79">
        <f t="shared" si="32"/>
        <v>95.5194253218866</v>
      </c>
      <c r="CR21" s="102">
        <f>Сят!C49</f>
        <v>206.7739</v>
      </c>
      <c r="CS21" s="87">
        <f>Сят!D49</f>
        <v>206.7739</v>
      </c>
      <c r="CT21" s="87">
        <f t="shared" si="33"/>
        <v>100</v>
      </c>
      <c r="CU21" s="87"/>
      <c r="CV21" s="87">
        <f>Сят!D50</f>
        <v>0</v>
      </c>
      <c r="CW21" s="87"/>
      <c r="CX21" s="96"/>
      <c r="CY21" s="96"/>
      <c r="CZ21" s="87" t="e">
        <f t="shared" si="34"/>
        <v>#DIV/0!</v>
      </c>
      <c r="DA21" s="87"/>
      <c r="DB21" s="87"/>
      <c r="DC21" s="87"/>
      <c r="DD21" s="87"/>
      <c r="DE21" s="87"/>
      <c r="DF21" s="87"/>
      <c r="DG21" s="84">
        <f t="shared" si="35"/>
        <v>21488.22334</v>
      </c>
      <c r="DH21" s="84">
        <f t="shared" si="36"/>
        <v>20949.75154</v>
      </c>
      <c r="DI21" s="87">
        <f t="shared" si="37"/>
        <v>97.49410739324529</v>
      </c>
      <c r="DJ21" s="96">
        <f aca="true" t="shared" si="57" ref="DJ21:DJ29">DM21+DP21+DS21+DV21</f>
        <v>1778.69698</v>
      </c>
      <c r="DK21" s="96">
        <f>Сят!D56</f>
        <v>1718.14416</v>
      </c>
      <c r="DL21" s="87">
        <f t="shared" si="39"/>
        <v>96.5956640911371</v>
      </c>
      <c r="DM21" s="87">
        <f>Сят!C58</f>
        <v>1687.86098</v>
      </c>
      <c r="DN21" s="87">
        <f>Сят!D58</f>
        <v>1677.30816</v>
      </c>
      <c r="DO21" s="87">
        <f t="shared" si="40"/>
        <v>99.37478144675163</v>
      </c>
      <c r="DP21" s="87">
        <f>Сят!C61</f>
        <v>0</v>
      </c>
      <c r="DQ21" s="87">
        <f>Сят!D61</f>
        <v>0</v>
      </c>
      <c r="DR21" s="87" t="e">
        <f t="shared" si="41"/>
        <v>#DIV/0!</v>
      </c>
      <c r="DS21" s="87">
        <f>Сят!C62</f>
        <v>50</v>
      </c>
      <c r="DT21" s="87">
        <f>Сят!D62</f>
        <v>0</v>
      </c>
      <c r="DU21" s="87">
        <f t="shared" si="42"/>
        <v>0</v>
      </c>
      <c r="DV21" s="87">
        <f>Сят!C63</f>
        <v>40.836</v>
      </c>
      <c r="DW21" s="87">
        <f>Сят!D63</f>
        <v>40.836</v>
      </c>
      <c r="DX21" s="87">
        <f t="shared" si="43"/>
        <v>100</v>
      </c>
      <c r="DY21" s="87">
        <f>Сят!C65</f>
        <v>206.767</v>
      </c>
      <c r="DZ21" s="87">
        <f>Сят!D65</f>
        <v>206.767</v>
      </c>
      <c r="EA21" s="87">
        <f t="shared" si="44"/>
        <v>100</v>
      </c>
      <c r="EB21" s="87">
        <f>Сят!C66</f>
        <v>80.31148</v>
      </c>
      <c r="EC21" s="87">
        <f>Сят!D66</f>
        <v>80.31148</v>
      </c>
      <c r="ED21" s="87">
        <f t="shared" si="45"/>
        <v>100</v>
      </c>
      <c r="EE21" s="96">
        <f>Сят!C72</f>
        <v>4475.33805</v>
      </c>
      <c r="EF21" s="96">
        <f>Сят!D72</f>
        <v>4285.23268</v>
      </c>
      <c r="EG21" s="87">
        <f t="shared" si="46"/>
        <v>95.75215619745194</v>
      </c>
      <c r="EH21" s="96">
        <f>Сят!C77</f>
        <v>12505.98813</v>
      </c>
      <c r="EI21" s="96">
        <f>Сят!D77</f>
        <v>12237.089520000001</v>
      </c>
      <c r="EJ21" s="87">
        <f t="shared" si="47"/>
        <v>97.84984115445504</v>
      </c>
      <c r="EK21" s="96">
        <f>Сят!C81</f>
        <v>2391.1217</v>
      </c>
      <c r="EL21" s="103">
        <f>Сят!D81</f>
        <v>2391.1217</v>
      </c>
      <c r="EM21" s="87">
        <f t="shared" si="48"/>
        <v>100</v>
      </c>
      <c r="EN21" s="87">
        <f>Сят!C83</f>
        <v>0</v>
      </c>
      <c r="EO21" s="87">
        <f>Сят!D83</f>
        <v>0</v>
      </c>
      <c r="EP21" s="87" t="e">
        <f t="shared" si="49"/>
        <v>#DIV/0!</v>
      </c>
      <c r="EQ21" s="104">
        <f>Сят!C88</f>
        <v>50</v>
      </c>
      <c r="ER21" s="104">
        <f>Сят!D88</f>
        <v>31.085</v>
      </c>
      <c r="ES21" s="87">
        <f t="shared" si="50"/>
        <v>62.17</v>
      </c>
      <c r="ET21" s="87">
        <f>Сят!C94</f>
        <v>0</v>
      </c>
      <c r="EU21" s="87">
        <f>Сят!D94</f>
        <v>0</v>
      </c>
      <c r="EV21" s="79" t="e">
        <f t="shared" si="51"/>
        <v>#DIV/0!</v>
      </c>
      <c r="EW21" s="88">
        <f t="shared" si="52"/>
        <v>131.80258999999933</v>
      </c>
      <c r="EX21" s="88">
        <f t="shared" si="53"/>
        <v>533.9972299999972</v>
      </c>
      <c r="EY21" s="79">
        <f t="shared" si="54"/>
        <v>405.1492690697504</v>
      </c>
      <c r="EZ21" s="93"/>
      <c r="FA21" s="94"/>
      <c r="FB21" s="114"/>
      <c r="FC21" s="9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</row>
    <row r="22" spans="1:170" s="59" customFormat="1" ht="22.5" customHeight="1">
      <c r="A22" s="75">
        <v>9</v>
      </c>
      <c r="B22" s="76" t="s">
        <v>131</v>
      </c>
      <c r="C22" s="77">
        <f t="shared" si="0"/>
        <v>9077.147350000001</v>
      </c>
      <c r="D22" s="108">
        <f t="shared" si="1"/>
        <v>9183.399070000001</v>
      </c>
      <c r="E22" s="79">
        <f t="shared" si="2"/>
        <v>101.17054087482671</v>
      </c>
      <c r="F22" s="80">
        <f t="shared" si="3"/>
        <v>2180.44</v>
      </c>
      <c r="G22" s="80">
        <f t="shared" si="4"/>
        <v>2524.17884</v>
      </c>
      <c r="H22" s="79">
        <f t="shared" si="5"/>
        <v>115.76465484030747</v>
      </c>
      <c r="I22" s="84">
        <f>Тор!C6</f>
        <v>112.95</v>
      </c>
      <c r="J22" s="97">
        <f>Тор!D6</f>
        <v>147.58942</v>
      </c>
      <c r="K22" s="79">
        <f t="shared" si="6"/>
        <v>130.66792386011508</v>
      </c>
      <c r="L22" s="79">
        <f>Тор!C8</f>
        <v>305.3</v>
      </c>
      <c r="M22" s="79">
        <f>Тор!D8</f>
        <v>424.4843</v>
      </c>
      <c r="N22" s="79">
        <f t="shared" si="7"/>
        <v>139.03842122502456</v>
      </c>
      <c r="O22" s="79">
        <f>Тор!C9</f>
        <v>3.27</v>
      </c>
      <c r="P22" s="79">
        <f>Тор!D9</f>
        <v>2.98529</v>
      </c>
      <c r="Q22" s="79">
        <f t="shared" si="8"/>
        <v>91.29327217125382</v>
      </c>
      <c r="R22" s="79">
        <f>Тор!C10</f>
        <v>509.92</v>
      </c>
      <c r="S22" s="79">
        <f>Тор!D10</f>
        <v>564.39058</v>
      </c>
      <c r="T22" s="79">
        <f t="shared" si="9"/>
        <v>110.6821815186696</v>
      </c>
      <c r="U22" s="79">
        <f>Тор!C11</f>
        <v>0</v>
      </c>
      <c r="V22" s="83">
        <f>Тор!D11</f>
        <v>-72.38548</v>
      </c>
      <c r="W22" s="79" t="e">
        <f t="shared" si="10"/>
        <v>#DIV/0!</v>
      </c>
      <c r="X22" s="84">
        <f>Тор!C13</f>
        <v>35</v>
      </c>
      <c r="Y22" s="84">
        <f>Тор!D13</f>
        <v>6.28594</v>
      </c>
      <c r="Z22" s="79">
        <f t="shared" si="11"/>
        <v>17.95982857142857</v>
      </c>
      <c r="AA22" s="84">
        <f>Тор!C15</f>
        <v>197</v>
      </c>
      <c r="AB22" s="86">
        <f>Тор!D15</f>
        <v>239.03048</v>
      </c>
      <c r="AC22" s="79">
        <f t="shared" si="12"/>
        <v>121.335269035533</v>
      </c>
      <c r="AD22" s="84">
        <f>Тор!C16</f>
        <v>382</v>
      </c>
      <c r="AE22" s="84">
        <f>Тор!D16</f>
        <v>430.40668</v>
      </c>
      <c r="AF22" s="79">
        <f t="shared" si="13"/>
        <v>112.6719057591623</v>
      </c>
      <c r="AG22" s="79">
        <f>Тор!C18</f>
        <v>8</v>
      </c>
      <c r="AH22" s="79">
        <f>Тор!D18</f>
        <v>3.8</v>
      </c>
      <c r="AI22" s="79">
        <f t="shared" si="14"/>
        <v>47.5</v>
      </c>
      <c r="AJ22" s="79"/>
      <c r="AK22" s="79">
        <f>Тор!D20</f>
        <v>0</v>
      </c>
      <c r="AL22" s="79" t="e">
        <f t="shared" si="15"/>
        <v>#DIV/0!</v>
      </c>
      <c r="AM22" s="84">
        <v>0</v>
      </c>
      <c r="AN22" s="84">
        <v>0</v>
      </c>
      <c r="AO22" s="79" t="e">
        <f t="shared" si="16"/>
        <v>#DIV/0!</v>
      </c>
      <c r="AP22" s="84">
        <f>Тор!C27</f>
        <v>450</v>
      </c>
      <c r="AQ22" s="86">
        <f>Тор!D27</f>
        <v>527.30944</v>
      </c>
      <c r="AR22" s="79">
        <f t="shared" si="17"/>
        <v>117.17987555555555</v>
      </c>
      <c r="AS22" s="84">
        <f>Тор!C28</f>
        <v>77</v>
      </c>
      <c r="AT22" s="86">
        <f>Тор!D28</f>
        <v>96.55402</v>
      </c>
      <c r="AU22" s="79">
        <f t="shared" si="18"/>
        <v>125.39483116883116</v>
      </c>
      <c r="AV22" s="84"/>
      <c r="AW22" s="84"/>
      <c r="AX22" s="79" t="e">
        <f t="shared" si="19"/>
        <v>#DIV/0!</v>
      </c>
      <c r="AY22" s="79">
        <f>Тор!C29</f>
        <v>100</v>
      </c>
      <c r="AZ22" s="79">
        <f>Тор!D29</f>
        <v>131.17616</v>
      </c>
      <c r="BA22" s="79">
        <f t="shared" si="20"/>
        <v>131.17616</v>
      </c>
      <c r="BB22" s="79"/>
      <c r="BC22" s="79"/>
      <c r="BD22" s="79"/>
      <c r="BE22" s="79">
        <f>Тор!C34+Тор!C33</f>
        <v>0</v>
      </c>
      <c r="BF22" s="79">
        <f>Тор!D32</f>
        <v>0</v>
      </c>
      <c r="BG22" s="79" t="e">
        <f t="shared" si="55"/>
        <v>#DIV/0!</v>
      </c>
      <c r="BH22" s="79"/>
      <c r="BI22" s="79"/>
      <c r="BJ22" s="79" t="e">
        <f t="shared" si="56"/>
        <v>#DIV/0!</v>
      </c>
      <c r="BK22" s="79"/>
      <c r="BL22" s="79"/>
      <c r="BM22" s="79"/>
      <c r="BN22" s="79">
        <f>Тор!C35</f>
        <v>0</v>
      </c>
      <c r="BO22" s="79">
        <f>Тор!D35</f>
        <v>22.55201</v>
      </c>
      <c r="BP22" s="89" t="e">
        <f t="shared" si="21"/>
        <v>#DIV/0!</v>
      </c>
      <c r="BQ22" s="79">
        <f>Тор!C37</f>
        <v>0</v>
      </c>
      <c r="BR22" s="79">
        <f>Тор!D37</f>
        <v>0</v>
      </c>
      <c r="BS22" s="79" t="e">
        <f t="shared" si="22"/>
        <v>#DIV/0!</v>
      </c>
      <c r="BT22" s="79"/>
      <c r="BU22" s="79"/>
      <c r="BV22" s="90" t="e">
        <f t="shared" si="23"/>
        <v>#DIV/0!</v>
      </c>
      <c r="BW22" s="90"/>
      <c r="BX22" s="90"/>
      <c r="BY22" s="90" t="e">
        <f t="shared" si="24"/>
        <v>#DIV/0!</v>
      </c>
      <c r="BZ22" s="84">
        <f t="shared" si="25"/>
        <v>6896.707350000001</v>
      </c>
      <c r="CA22" s="84">
        <f t="shared" si="26"/>
        <v>6659.220230000001</v>
      </c>
      <c r="CB22" s="79">
        <f t="shared" si="27"/>
        <v>96.55651446483373</v>
      </c>
      <c r="CC22" s="79">
        <f>Тор!C42</f>
        <v>2494.2</v>
      </c>
      <c r="CD22" s="79">
        <f>Тор!D42</f>
        <v>2494.2</v>
      </c>
      <c r="CE22" s="79">
        <f t="shared" si="28"/>
        <v>100</v>
      </c>
      <c r="CF22" s="79">
        <f>Тор!C43</f>
        <v>0</v>
      </c>
      <c r="CG22" s="91">
        <f>Тор!D43</f>
        <v>0</v>
      </c>
      <c r="CH22" s="79" t="e">
        <f t="shared" si="29"/>
        <v>#DIV/0!</v>
      </c>
      <c r="CI22" s="79">
        <f>Тор!C44</f>
        <v>3552.50923</v>
      </c>
      <c r="CJ22" s="79">
        <f>Тор!D44</f>
        <v>3552.50923</v>
      </c>
      <c r="CK22" s="79">
        <f t="shared" si="30"/>
        <v>100</v>
      </c>
      <c r="CL22" s="79">
        <f>Тор!C45</f>
        <v>110.166</v>
      </c>
      <c r="CM22" s="79">
        <f>Тор!D45</f>
        <v>110.166</v>
      </c>
      <c r="CN22" s="79">
        <f t="shared" si="31"/>
        <v>100</v>
      </c>
      <c r="CO22" s="79">
        <f>Тор!C46</f>
        <v>383.38762</v>
      </c>
      <c r="CP22" s="79">
        <f>Тор!D46</f>
        <v>273.895</v>
      </c>
      <c r="CQ22" s="79">
        <f t="shared" si="32"/>
        <v>71.44075231224211</v>
      </c>
      <c r="CR22" s="83">
        <f>Тор!C48</f>
        <v>356.4445</v>
      </c>
      <c r="CS22" s="79">
        <f>Тор!D48</f>
        <v>228.45</v>
      </c>
      <c r="CT22" s="79">
        <f t="shared" si="33"/>
        <v>64.09132417529236</v>
      </c>
      <c r="CU22" s="79"/>
      <c r="CV22" s="79">
        <f>Тор!D49</f>
        <v>0</v>
      </c>
      <c r="CW22" s="79"/>
      <c r="CX22" s="84"/>
      <c r="CY22" s="84"/>
      <c r="CZ22" s="79" t="e">
        <f t="shared" si="34"/>
        <v>#DIV/0!</v>
      </c>
      <c r="DA22" s="79"/>
      <c r="DB22" s="79"/>
      <c r="DC22" s="79"/>
      <c r="DD22" s="79"/>
      <c r="DE22" s="79"/>
      <c r="DF22" s="79"/>
      <c r="DG22" s="84">
        <f t="shared" si="35"/>
        <v>9657.45197</v>
      </c>
      <c r="DH22" s="84">
        <f t="shared" si="36"/>
        <v>9419.13733</v>
      </c>
      <c r="DI22" s="79">
        <f t="shared" si="37"/>
        <v>97.53232383924556</v>
      </c>
      <c r="DJ22" s="84">
        <f t="shared" si="57"/>
        <v>1397.6340000000002</v>
      </c>
      <c r="DK22" s="84">
        <f aca="true" t="shared" si="58" ref="DK22:DK29">DN22+DQ22+DT22+DW22</f>
        <v>1391.7275800000002</v>
      </c>
      <c r="DL22" s="79">
        <f t="shared" si="39"/>
        <v>99.57739866087975</v>
      </c>
      <c r="DM22" s="79">
        <f>Тор!C58</f>
        <v>1360.4</v>
      </c>
      <c r="DN22" s="79">
        <f>Тор!D58</f>
        <v>1355.49358</v>
      </c>
      <c r="DO22" s="79">
        <f t="shared" si="40"/>
        <v>99.6393399000294</v>
      </c>
      <c r="DP22" s="79">
        <f>Тор!C61</f>
        <v>8.9</v>
      </c>
      <c r="DQ22" s="79">
        <f>Тор!D61</f>
        <v>8.9</v>
      </c>
      <c r="DR22" s="79">
        <f t="shared" si="41"/>
        <v>100</v>
      </c>
      <c r="DS22" s="79">
        <f>Тор!C62</f>
        <v>1</v>
      </c>
      <c r="DT22" s="79">
        <f>Тор!D62</f>
        <v>0</v>
      </c>
      <c r="DU22" s="79">
        <f t="shared" si="42"/>
        <v>0</v>
      </c>
      <c r="DV22" s="79">
        <f>Тор!C63</f>
        <v>27.334</v>
      </c>
      <c r="DW22" s="79">
        <f>Тор!D63</f>
        <v>27.334</v>
      </c>
      <c r="DX22" s="79">
        <f t="shared" si="43"/>
        <v>100</v>
      </c>
      <c r="DY22" s="79">
        <f>Тор!C65</f>
        <v>110.166</v>
      </c>
      <c r="DZ22" s="79">
        <f>+Тор!D64</f>
        <v>110.166</v>
      </c>
      <c r="EA22" s="79">
        <f t="shared" si="44"/>
        <v>100</v>
      </c>
      <c r="EB22" s="79">
        <f>Тор!C66</f>
        <v>19.06148</v>
      </c>
      <c r="EC22" s="79">
        <f>Тор!D66</f>
        <v>19.06148</v>
      </c>
      <c r="ED22" s="79">
        <f t="shared" si="45"/>
        <v>100</v>
      </c>
      <c r="EE22" s="84">
        <f>Тор!C72</f>
        <v>4196.02625</v>
      </c>
      <c r="EF22" s="84">
        <f>Тор!D72</f>
        <v>4080.21496</v>
      </c>
      <c r="EG22" s="79">
        <f t="shared" si="46"/>
        <v>97.23997699013441</v>
      </c>
      <c r="EH22" s="84">
        <f>Тор!C78</f>
        <v>2734.46424</v>
      </c>
      <c r="EI22" s="84">
        <f>Тор!D78</f>
        <v>2617.86731</v>
      </c>
      <c r="EJ22" s="79">
        <f t="shared" si="47"/>
        <v>95.7360228634769</v>
      </c>
      <c r="EK22" s="84">
        <f>Тор!C82</f>
        <v>1200.1</v>
      </c>
      <c r="EL22" s="92">
        <f>Тор!D82</f>
        <v>1200.1</v>
      </c>
      <c r="EM22" s="79">
        <f t="shared" si="48"/>
        <v>100</v>
      </c>
      <c r="EN22" s="79">
        <f>Тор!C84</f>
        <v>0</v>
      </c>
      <c r="EO22" s="79">
        <f>Тор!D84</f>
        <v>0</v>
      </c>
      <c r="EP22" s="79" t="e">
        <f t="shared" si="49"/>
        <v>#DIV/0!</v>
      </c>
      <c r="EQ22" s="80">
        <f>Тор!C96</f>
        <v>0</v>
      </c>
      <c r="ER22" s="80">
        <f>Тор!D96</f>
        <v>0</v>
      </c>
      <c r="ES22" s="79" t="e">
        <f t="shared" si="50"/>
        <v>#DIV/0!</v>
      </c>
      <c r="ET22" s="79">
        <f>Тор!C94</f>
        <v>0</v>
      </c>
      <c r="EU22" s="79">
        <f>Тор!D94</f>
        <v>0</v>
      </c>
      <c r="EV22" s="79" t="e">
        <f t="shared" si="51"/>
        <v>#DIV/0!</v>
      </c>
      <c r="EW22" s="88">
        <f t="shared" si="52"/>
        <v>-580.304619999999</v>
      </c>
      <c r="EX22" s="88">
        <f t="shared" si="53"/>
        <v>-235.73825999999826</v>
      </c>
      <c r="EY22" s="79">
        <f t="shared" si="54"/>
        <v>40.62319200560538</v>
      </c>
      <c r="EZ22" s="93"/>
      <c r="FA22" s="94"/>
      <c r="FC22" s="94"/>
      <c r="FF22" s="114"/>
      <c r="FG22" s="114"/>
      <c r="FH22" s="114"/>
      <c r="FI22" s="114"/>
      <c r="FJ22" s="114"/>
      <c r="FK22" s="114"/>
      <c r="FL22" s="114"/>
      <c r="FM22" s="114"/>
      <c r="FN22" s="114"/>
    </row>
    <row r="23" spans="1:159" s="59" customFormat="1" ht="23.25" customHeight="1">
      <c r="A23" s="75">
        <v>10</v>
      </c>
      <c r="B23" s="95" t="s">
        <v>132</v>
      </c>
      <c r="C23" s="77">
        <f t="shared" si="0"/>
        <v>8567.830939999998</v>
      </c>
      <c r="D23" s="78">
        <f t="shared" si="1"/>
        <v>8493.50916</v>
      </c>
      <c r="E23" s="87">
        <f t="shared" si="2"/>
        <v>99.13254847673268</v>
      </c>
      <c r="F23" s="80">
        <f t="shared" si="3"/>
        <v>1206.0264100000002</v>
      </c>
      <c r="G23" s="80">
        <f t="shared" si="4"/>
        <v>1124.68625</v>
      </c>
      <c r="H23" s="87">
        <f t="shared" si="5"/>
        <v>93.2555241472697</v>
      </c>
      <c r="I23" s="96">
        <f>Хор!C6</f>
        <v>143.66641</v>
      </c>
      <c r="J23" s="97">
        <f>Хор!D6</f>
        <v>101.66133</v>
      </c>
      <c r="K23" s="87">
        <f t="shared" si="6"/>
        <v>70.76207305521172</v>
      </c>
      <c r="L23" s="87">
        <f>Хор!C8</f>
        <v>140.2</v>
      </c>
      <c r="M23" s="87">
        <f>Хор!D8</f>
        <v>194.92936</v>
      </c>
      <c r="N23" s="79">
        <f t="shared" si="7"/>
        <v>139.03663338088447</v>
      </c>
      <c r="O23" s="79">
        <f>Хор!C9</f>
        <v>1.5</v>
      </c>
      <c r="P23" s="79">
        <f>Хор!D9</f>
        <v>1.37088</v>
      </c>
      <c r="Q23" s="79">
        <f t="shared" si="8"/>
        <v>91.39200000000001</v>
      </c>
      <c r="R23" s="79">
        <f>Хор!C10</f>
        <v>234.16</v>
      </c>
      <c r="S23" s="79">
        <f>Хор!D10</f>
        <v>259.17632</v>
      </c>
      <c r="T23" s="79">
        <f t="shared" si="9"/>
        <v>110.68343013324223</v>
      </c>
      <c r="U23" s="79">
        <f>Хор!C11</f>
        <v>0</v>
      </c>
      <c r="V23" s="83">
        <f>Хор!D11</f>
        <v>-33.24045</v>
      </c>
      <c r="W23" s="79" t="e">
        <f t="shared" si="10"/>
        <v>#DIV/0!</v>
      </c>
      <c r="X23" s="96">
        <f>Хор!C13</f>
        <v>10</v>
      </c>
      <c r="Y23" s="96">
        <f>Хор!D13</f>
        <v>9.17129</v>
      </c>
      <c r="Z23" s="87">
        <f t="shared" si="11"/>
        <v>91.7129</v>
      </c>
      <c r="AA23" s="96">
        <f>Хор!C15</f>
        <v>230</v>
      </c>
      <c r="AB23" s="86">
        <f>Хор!D15</f>
        <v>288.31244</v>
      </c>
      <c r="AC23" s="87">
        <f t="shared" si="12"/>
        <v>125.3532347826087</v>
      </c>
      <c r="AD23" s="96">
        <f>Хор!C16</f>
        <v>390</v>
      </c>
      <c r="AE23" s="96">
        <f>Хор!D16</f>
        <v>316.15323</v>
      </c>
      <c r="AF23" s="87">
        <f t="shared" si="13"/>
        <v>81.06493076923077</v>
      </c>
      <c r="AG23" s="87">
        <f>Хор!C18</f>
        <v>5</v>
      </c>
      <c r="AH23" s="87">
        <f>Хор!D18</f>
        <v>2.6</v>
      </c>
      <c r="AI23" s="87">
        <f t="shared" si="14"/>
        <v>52</v>
      </c>
      <c r="AJ23" s="87"/>
      <c r="AK23" s="87"/>
      <c r="AL23" s="87" t="e">
        <f t="shared" si="15"/>
        <v>#DIV/0!</v>
      </c>
      <c r="AM23" s="96">
        <v>0</v>
      </c>
      <c r="AN23" s="96">
        <v>0</v>
      </c>
      <c r="AO23" s="87" t="e">
        <f t="shared" si="16"/>
        <v>#DIV/0!</v>
      </c>
      <c r="AP23" s="96">
        <f>Хор!C27</f>
        <v>51.5</v>
      </c>
      <c r="AQ23" s="98">
        <f>Хор!D27</f>
        <v>-25.38657</v>
      </c>
      <c r="AR23" s="87">
        <f t="shared" si="17"/>
        <v>-49.29431067961165</v>
      </c>
      <c r="AS23" s="84">
        <f>Хор!C28</f>
        <v>0</v>
      </c>
      <c r="AT23" s="98">
        <f>Хор!D28</f>
        <v>0</v>
      </c>
      <c r="AU23" s="87" t="e">
        <f t="shared" si="18"/>
        <v>#DIV/0!</v>
      </c>
      <c r="AV23" s="96"/>
      <c r="AW23" s="96"/>
      <c r="AX23" s="87" t="e">
        <f t="shared" si="19"/>
        <v>#DIV/0!</v>
      </c>
      <c r="AY23" s="87">
        <f>Хор!C29</f>
        <v>0</v>
      </c>
      <c r="AZ23" s="79">
        <f>Хор!D29</f>
        <v>0</v>
      </c>
      <c r="BA23" s="87" t="e">
        <f t="shared" si="20"/>
        <v>#DIV/0!</v>
      </c>
      <c r="BB23" s="87"/>
      <c r="BC23" s="87"/>
      <c r="BD23" s="87"/>
      <c r="BE23" s="87">
        <f>Хор!C33</f>
        <v>0</v>
      </c>
      <c r="BF23" s="87">
        <f>Хор!D33</f>
        <v>0</v>
      </c>
      <c r="BG23" s="87" t="e">
        <f t="shared" si="55"/>
        <v>#DIV/0!</v>
      </c>
      <c r="BH23" s="87"/>
      <c r="BI23" s="87"/>
      <c r="BJ23" s="87" t="e">
        <f t="shared" si="56"/>
        <v>#DIV/0!</v>
      </c>
      <c r="BK23" s="87"/>
      <c r="BL23" s="87"/>
      <c r="BM23" s="87"/>
      <c r="BN23" s="87"/>
      <c r="BO23" s="87">
        <f>SUM(Хор!D34)</f>
        <v>9.93842</v>
      </c>
      <c r="BP23" s="89" t="e">
        <f t="shared" si="21"/>
        <v>#DIV/0!</v>
      </c>
      <c r="BQ23" s="87">
        <f>Хор!C36</f>
        <v>0</v>
      </c>
      <c r="BR23" s="87">
        <f>Хор!D36</f>
        <v>0</v>
      </c>
      <c r="BS23" s="87" t="e">
        <f t="shared" si="22"/>
        <v>#DIV/0!</v>
      </c>
      <c r="BT23" s="87"/>
      <c r="BU23" s="87"/>
      <c r="BV23" s="99" t="e">
        <f t="shared" si="23"/>
        <v>#DIV/0!</v>
      </c>
      <c r="BW23" s="99"/>
      <c r="BX23" s="99"/>
      <c r="BY23" s="99" t="e">
        <f t="shared" si="24"/>
        <v>#DIV/0!</v>
      </c>
      <c r="BZ23" s="84">
        <f t="shared" si="25"/>
        <v>7361.8045299999985</v>
      </c>
      <c r="CA23" s="84">
        <f t="shared" si="26"/>
        <v>7368.822909999999</v>
      </c>
      <c r="CB23" s="87">
        <f t="shared" si="27"/>
        <v>100.09533504959822</v>
      </c>
      <c r="CC23" s="87">
        <f>Хор!C41</f>
        <v>2155.1</v>
      </c>
      <c r="CD23" s="87">
        <f>Хор!D41</f>
        <v>2155.1</v>
      </c>
      <c r="CE23" s="87">
        <f t="shared" si="28"/>
        <v>100</v>
      </c>
      <c r="CF23" s="87">
        <f>Хор!C43</f>
        <v>0</v>
      </c>
      <c r="CG23" s="100">
        <f>Хор!D43</f>
        <v>0</v>
      </c>
      <c r="CH23" s="87" t="e">
        <f t="shared" si="29"/>
        <v>#DIV/0!</v>
      </c>
      <c r="CI23" s="87">
        <f>Хор!C44</f>
        <v>3926.33839</v>
      </c>
      <c r="CJ23" s="87">
        <f>Хор!D44</f>
        <v>3926.33839</v>
      </c>
      <c r="CK23" s="87">
        <f t="shared" si="30"/>
        <v>100</v>
      </c>
      <c r="CL23" s="87">
        <f>Хор!C45</f>
        <v>103.383</v>
      </c>
      <c r="CM23" s="87">
        <f>Хор!D45</f>
        <v>103.383</v>
      </c>
      <c r="CN23" s="87">
        <f t="shared" si="31"/>
        <v>100</v>
      </c>
      <c r="CO23" s="87">
        <f>Хор!C46</f>
        <v>677.03014</v>
      </c>
      <c r="CP23" s="87">
        <f>Хор!D46</f>
        <v>676.79107</v>
      </c>
      <c r="CQ23" s="79">
        <f t="shared" si="32"/>
        <v>99.96468842583582</v>
      </c>
      <c r="CR23" s="102">
        <f>Хор!C47</f>
        <v>499.953</v>
      </c>
      <c r="CS23" s="87">
        <f>Хор!D47</f>
        <v>507.21045</v>
      </c>
      <c r="CT23" s="87">
        <f t="shared" si="33"/>
        <v>101.45162645288657</v>
      </c>
      <c r="CU23" s="87"/>
      <c r="CV23" s="87"/>
      <c r="CW23" s="87"/>
      <c r="CX23" s="96"/>
      <c r="CY23" s="96"/>
      <c r="CZ23" s="87" t="e">
        <f t="shared" si="34"/>
        <v>#DIV/0!</v>
      </c>
      <c r="DA23" s="87"/>
      <c r="DB23" s="87"/>
      <c r="DC23" s="87"/>
      <c r="DD23" s="87"/>
      <c r="DE23" s="87">
        <f>Хор!D50</f>
        <v>0</v>
      </c>
      <c r="DF23" s="87"/>
      <c r="DG23" s="84">
        <f t="shared" si="35"/>
        <v>8820.13985</v>
      </c>
      <c r="DH23" s="84">
        <f t="shared" si="36"/>
        <v>8720.39063</v>
      </c>
      <c r="DI23" s="87">
        <f t="shared" si="37"/>
        <v>98.86907439455169</v>
      </c>
      <c r="DJ23" s="96">
        <f t="shared" si="57"/>
        <v>1348.855</v>
      </c>
      <c r="DK23" s="96">
        <f t="shared" si="58"/>
        <v>1326.45564</v>
      </c>
      <c r="DL23" s="87">
        <f t="shared" si="39"/>
        <v>98.33937969611262</v>
      </c>
      <c r="DM23" s="87">
        <f>Хор!C58</f>
        <v>1328.361</v>
      </c>
      <c r="DN23" s="87">
        <f>Хор!D58</f>
        <v>1310.96164</v>
      </c>
      <c r="DO23" s="87">
        <f t="shared" si="40"/>
        <v>98.69016329145465</v>
      </c>
      <c r="DP23" s="87">
        <f>Хор!C61</f>
        <v>0</v>
      </c>
      <c r="DQ23" s="87">
        <f>Хор!D61</f>
        <v>0</v>
      </c>
      <c r="DR23" s="87" t="e">
        <f t="shared" si="41"/>
        <v>#DIV/0!</v>
      </c>
      <c r="DS23" s="87">
        <f>Хор!C62</f>
        <v>5</v>
      </c>
      <c r="DT23" s="87">
        <f>Хор!D62</f>
        <v>0</v>
      </c>
      <c r="DU23" s="87">
        <f t="shared" si="42"/>
        <v>0</v>
      </c>
      <c r="DV23" s="87">
        <f>Хор!C63</f>
        <v>15.494</v>
      </c>
      <c r="DW23" s="87">
        <f>Хор!D63</f>
        <v>15.494</v>
      </c>
      <c r="DX23" s="87">
        <f t="shared" si="43"/>
        <v>100</v>
      </c>
      <c r="DY23" s="87">
        <f>Хор!C65</f>
        <v>103.383</v>
      </c>
      <c r="DZ23" s="87">
        <f>Хор!D65</f>
        <v>103.383</v>
      </c>
      <c r="EA23" s="87">
        <f t="shared" si="44"/>
        <v>100</v>
      </c>
      <c r="EB23" s="87">
        <f>Хор!C66</f>
        <v>15</v>
      </c>
      <c r="EC23" s="87">
        <f>Хор!D66</f>
        <v>14.81148</v>
      </c>
      <c r="ED23" s="87">
        <f t="shared" si="45"/>
        <v>98.7432</v>
      </c>
      <c r="EE23" s="96">
        <f>Хор!C72</f>
        <v>2780.2559</v>
      </c>
      <c r="EF23" s="96">
        <f>Хор!D72</f>
        <v>2742.44728</v>
      </c>
      <c r="EG23" s="87">
        <f t="shared" si="46"/>
        <v>98.64010287686108</v>
      </c>
      <c r="EH23" s="96">
        <f>Хор!C77</f>
        <v>3629.26095</v>
      </c>
      <c r="EI23" s="96">
        <f>Хор!D77</f>
        <v>3606.38785</v>
      </c>
      <c r="EJ23" s="87">
        <f t="shared" si="47"/>
        <v>99.3697587383459</v>
      </c>
      <c r="EK23" s="96">
        <f>Хор!C81</f>
        <v>913.385</v>
      </c>
      <c r="EL23" s="103">
        <f>Хор!D81</f>
        <v>896.90538</v>
      </c>
      <c r="EM23" s="87">
        <f t="shared" si="48"/>
        <v>98.19576410823475</v>
      </c>
      <c r="EN23" s="87">
        <f>Хор!C83</f>
        <v>0</v>
      </c>
      <c r="EO23" s="87">
        <f>Хор!D83</f>
        <v>0</v>
      </c>
      <c r="EP23" s="87" t="e">
        <f t="shared" si="49"/>
        <v>#DIV/0!</v>
      </c>
      <c r="EQ23" s="104">
        <f>Хор!C88</f>
        <v>30</v>
      </c>
      <c r="ER23" s="104">
        <f>Хор!D88</f>
        <v>30</v>
      </c>
      <c r="ES23" s="87">
        <f t="shared" si="50"/>
        <v>100</v>
      </c>
      <c r="ET23" s="87">
        <f>Хор!C94</f>
        <v>0</v>
      </c>
      <c r="EU23" s="87">
        <f>Хор!D94</f>
        <v>0</v>
      </c>
      <c r="EV23" s="79" t="e">
        <f t="shared" si="51"/>
        <v>#DIV/0!</v>
      </c>
      <c r="EW23" s="88">
        <f t="shared" si="52"/>
        <v>-252.30891000000156</v>
      </c>
      <c r="EX23" s="88">
        <f t="shared" si="53"/>
        <v>-226.88147000000026</v>
      </c>
      <c r="EY23" s="79">
        <f t="shared" si="54"/>
        <v>89.92209985767006</v>
      </c>
      <c r="EZ23" s="93"/>
      <c r="FA23" s="94"/>
      <c r="FC23" s="94"/>
    </row>
    <row r="24" spans="1:159" s="113" customFormat="1" ht="25.5" customHeight="1">
      <c r="A24" s="109">
        <v>11</v>
      </c>
      <c r="B24" s="95" t="s">
        <v>133</v>
      </c>
      <c r="C24" s="106">
        <f t="shared" si="0"/>
        <v>11813.90683</v>
      </c>
      <c r="D24" s="78">
        <f t="shared" si="1"/>
        <v>10094.75267</v>
      </c>
      <c r="E24" s="87">
        <f t="shared" si="2"/>
        <v>85.44804707927428</v>
      </c>
      <c r="F24" s="80">
        <f t="shared" si="3"/>
        <v>1264.58</v>
      </c>
      <c r="G24" s="104">
        <f t="shared" si="4"/>
        <v>1265.5867199999998</v>
      </c>
      <c r="H24" s="87">
        <f t="shared" si="5"/>
        <v>100.0796090401556</v>
      </c>
      <c r="I24" s="96">
        <f>Чум!C6</f>
        <v>102</v>
      </c>
      <c r="J24" s="97">
        <f>Чум!D6</f>
        <v>101.66852</v>
      </c>
      <c r="K24" s="87">
        <f t="shared" si="6"/>
        <v>99.67501960784314</v>
      </c>
      <c r="L24" s="87">
        <f>Чум!C8</f>
        <v>132.82</v>
      </c>
      <c r="M24" s="87">
        <f>Чум!D8</f>
        <v>184.66991</v>
      </c>
      <c r="N24" s="87">
        <f t="shared" si="7"/>
        <v>139.03772775184459</v>
      </c>
      <c r="O24" s="87">
        <f>Чум!C9</f>
        <v>1.42</v>
      </c>
      <c r="P24" s="87">
        <f>Чум!D9</f>
        <v>1.29873</v>
      </c>
      <c r="Q24" s="87">
        <f t="shared" si="8"/>
        <v>91.45985915492957</v>
      </c>
      <c r="R24" s="87">
        <f>Чум!C10</f>
        <v>221.84</v>
      </c>
      <c r="S24" s="87">
        <f>Чум!D10</f>
        <v>245.53547</v>
      </c>
      <c r="T24" s="87">
        <f t="shared" si="9"/>
        <v>110.68133339343672</v>
      </c>
      <c r="U24" s="87">
        <f>Чум!C11</f>
        <v>0</v>
      </c>
      <c r="V24" s="102">
        <f>Чум!D11</f>
        <v>-31.49095</v>
      </c>
      <c r="W24" s="87" t="e">
        <f t="shared" si="10"/>
        <v>#DIV/0!</v>
      </c>
      <c r="X24" s="96">
        <f>Чум!C13</f>
        <v>94.8</v>
      </c>
      <c r="Y24" s="96">
        <f>Чум!D13</f>
        <v>92.3601</v>
      </c>
      <c r="Z24" s="87">
        <f t="shared" si="11"/>
        <v>97.42626582278481</v>
      </c>
      <c r="AA24" s="96">
        <f>Чум!C15</f>
        <v>91</v>
      </c>
      <c r="AB24" s="86">
        <f>Чум!D15</f>
        <v>84.55374</v>
      </c>
      <c r="AC24" s="87">
        <f t="shared" si="12"/>
        <v>92.91619780219781</v>
      </c>
      <c r="AD24" s="96">
        <f>Чум!C16</f>
        <v>460</v>
      </c>
      <c r="AE24" s="96">
        <f>Чум!D16</f>
        <v>354.57174</v>
      </c>
      <c r="AF24" s="87">
        <f t="shared" si="13"/>
        <v>77.08081304347826</v>
      </c>
      <c r="AG24" s="87">
        <f>Чум!C18</f>
        <v>5</v>
      </c>
      <c r="AH24" s="87">
        <f>Чум!D18</f>
        <v>5.1</v>
      </c>
      <c r="AI24" s="87">
        <f t="shared" si="14"/>
        <v>102</v>
      </c>
      <c r="AJ24" s="87">
        <f>Чум!C22</f>
        <v>0</v>
      </c>
      <c r="AK24" s="87">
        <f>Чум!D20</f>
        <v>0</v>
      </c>
      <c r="AL24" s="87" t="e">
        <f t="shared" si="15"/>
        <v>#DIV/0!</v>
      </c>
      <c r="AM24" s="96">
        <v>0</v>
      </c>
      <c r="AN24" s="96"/>
      <c r="AO24" s="87" t="e">
        <f t="shared" si="16"/>
        <v>#DIV/0!</v>
      </c>
      <c r="AP24" s="96">
        <f>Чум!C27</f>
        <v>85.7</v>
      </c>
      <c r="AQ24" s="98">
        <f>Чум!D27</f>
        <v>86.4716</v>
      </c>
      <c r="AR24" s="87">
        <f t="shared" si="17"/>
        <v>100.90035005834307</v>
      </c>
      <c r="AS24" s="96">
        <f>Чум!C28</f>
        <v>0</v>
      </c>
      <c r="AT24" s="98">
        <f>Чум!D28</f>
        <v>0</v>
      </c>
      <c r="AU24" s="87" t="e">
        <f t="shared" si="18"/>
        <v>#DIV/0!</v>
      </c>
      <c r="AV24" s="96"/>
      <c r="AW24" s="96"/>
      <c r="AX24" s="87" t="e">
        <f t="shared" si="19"/>
        <v>#DIV/0!</v>
      </c>
      <c r="AY24" s="87">
        <f>Чум!C30</f>
        <v>70</v>
      </c>
      <c r="AZ24" s="79">
        <f>Чум!D30</f>
        <v>68.05603</v>
      </c>
      <c r="BA24" s="87">
        <f t="shared" si="20"/>
        <v>97.22290000000001</v>
      </c>
      <c r="BB24" s="87"/>
      <c r="BC24" s="87"/>
      <c r="BD24" s="87"/>
      <c r="BE24" s="87">
        <f>Чум!C33</f>
        <v>0</v>
      </c>
      <c r="BF24" s="87">
        <f>Чум!D31</f>
        <v>56.06</v>
      </c>
      <c r="BG24" s="87" t="e">
        <f t="shared" si="55"/>
        <v>#DIV/0!</v>
      </c>
      <c r="BH24" s="87"/>
      <c r="BI24" s="87"/>
      <c r="BJ24" s="87" t="e">
        <f t="shared" si="56"/>
        <v>#DIV/0!</v>
      </c>
      <c r="BK24" s="87"/>
      <c r="BL24" s="87"/>
      <c r="BM24" s="87"/>
      <c r="BN24" s="87"/>
      <c r="BO24" s="87">
        <f>Чум!D34</f>
        <v>16.73183</v>
      </c>
      <c r="BP24" s="89" t="e">
        <f t="shared" si="21"/>
        <v>#DIV/0!</v>
      </c>
      <c r="BQ24" s="87">
        <f>Чум!C37</f>
        <v>0</v>
      </c>
      <c r="BR24" s="87">
        <f>Чум!D37</f>
        <v>0</v>
      </c>
      <c r="BS24" s="87" t="e">
        <f t="shared" si="22"/>
        <v>#DIV/0!</v>
      </c>
      <c r="BT24" s="87"/>
      <c r="BU24" s="87"/>
      <c r="BV24" s="99" t="e">
        <f t="shared" si="23"/>
        <v>#DIV/0!</v>
      </c>
      <c r="BW24" s="99"/>
      <c r="BX24" s="99"/>
      <c r="BY24" s="99" t="e">
        <f t="shared" si="24"/>
        <v>#DIV/0!</v>
      </c>
      <c r="BZ24" s="96">
        <f t="shared" si="25"/>
        <v>10549.32683</v>
      </c>
      <c r="CA24" s="96">
        <f t="shared" si="26"/>
        <v>8829.16595</v>
      </c>
      <c r="CB24" s="87">
        <f t="shared" si="27"/>
        <v>83.69411709656929</v>
      </c>
      <c r="CC24" s="87">
        <f>Чум!C42</f>
        <v>3247.3</v>
      </c>
      <c r="CD24" s="87">
        <f>Чум!D42</f>
        <v>3247.3</v>
      </c>
      <c r="CE24" s="87">
        <f t="shared" si="28"/>
        <v>100</v>
      </c>
      <c r="CF24" s="87">
        <f>Чум!C43</f>
        <v>0</v>
      </c>
      <c r="CG24" s="100">
        <f>Чум!D43</f>
        <v>0</v>
      </c>
      <c r="CH24" s="87" t="e">
        <f t="shared" si="29"/>
        <v>#DIV/0!</v>
      </c>
      <c r="CI24" s="87">
        <f>Чум!C44</f>
        <v>2509.64888</v>
      </c>
      <c r="CJ24" s="87">
        <f>Чум!D44</f>
        <v>789.788</v>
      </c>
      <c r="CK24" s="87">
        <f t="shared" si="30"/>
        <v>31.47005966826722</v>
      </c>
      <c r="CL24" s="87">
        <f>Чум!C45</f>
        <v>103.383</v>
      </c>
      <c r="CM24" s="87">
        <f>Чум!D45</f>
        <v>103.383</v>
      </c>
      <c r="CN24" s="87">
        <f t="shared" si="31"/>
        <v>100</v>
      </c>
      <c r="CO24" s="87">
        <f>Чум!C46</f>
        <v>4670.69495</v>
      </c>
      <c r="CP24" s="87">
        <f>Чум!D46</f>
        <v>4670.39495</v>
      </c>
      <c r="CQ24" s="79">
        <f t="shared" si="32"/>
        <v>99.99357697295132</v>
      </c>
      <c r="CR24" s="102">
        <f>Чум!C50</f>
        <v>18.3</v>
      </c>
      <c r="CS24" s="87">
        <f>Чум!D50</f>
        <v>18.3</v>
      </c>
      <c r="CT24" s="87">
        <f t="shared" si="33"/>
        <v>100</v>
      </c>
      <c r="CU24" s="87"/>
      <c r="CV24" s="87"/>
      <c r="CW24" s="87"/>
      <c r="CX24" s="96"/>
      <c r="CY24" s="96"/>
      <c r="CZ24" s="87" t="e">
        <f t="shared" si="34"/>
        <v>#DIV/0!</v>
      </c>
      <c r="DA24" s="87"/>
      <c r="DB24" s="87"/>
      <c r="DC24" s="87"/>
      <c r="DD24" s="87"/>
      <c r="DE24" s="87"/>
      <c r="DF24" s="87"/>
      <c r="DG24" s="84">
        <f t="shared" si="35"/>
        <v>11843.81738</v>
      </c>
      <c r="DH24" s="84">
        <f t="shared" si="36"/>
        <v>9814.37115</v>
      </c>
      <c r="DI24" s="87">
        <f t="shared" si="37"/>
        <v>82.86493142466877</v>
      </c>
      <c r="DJ24" s="96">
        <f t="shared" si="57"/>
        <v>1801.894</v>
      </c>
      <c r="DK24" s="96">
        <f t="shared" si="58"/>
        <v>1785.86077</v>
      </c>
      <c r="DL24" s="87">
        <f t="shared" si="39"/>
        <v>99.11020126600121</v>
      </c>
      <c r="DM24" s="87">
        <f>Чум!C58</f>
        <v>1764.4</v>
      </c>
      <c r="DN24" s="87">
        <f>Чум!D58</f>
        <v>1757.36677</v>
      </c>
      <c r="DO24" s="87">
        <f t="shared" si="40"/>
        <v>99.60138120607573</v>
      </c>
      <c r="DP24" s="87">
        <f>Чум!C61</f>
        <v>10.26</v>
      </c>
      <c r="DQ24" s="87">
        <f>Чум!D61</f>
        <v>10.26</v>
      </c>
      <c r="DR24" s="87">
        <f t="shared" si="41"/>
        <v>100</v>
      </c>
      <c r="DS24" s="87">
        <f>Чум!C62</f>
        <v>5</v>
      </c>
      <c r="DT24" s="87">
        <f>Чум!D62</f>
        <v>0</v>
      </c>
      <c r="DU24" s="87">
        <f t="shared" si="42"/>
        <v>0</v>
      </c>
      <c r="DV24" s="87">
        <f>Чум!C63</f>
        <v>22.234</v>
      </c>
      <c r="DW24" s="87">
        <f>Чум!D63</f>
        <v>18.234</v>
      </c>
      <c r="DX24" s="87">
        <f t="shared" si="43"/>
        <v>82.00953494647837</v>
      </c>
      <c r="DY24" s="87">
        <f>Чум!C65</f>
        <v>103.383</v>
      </c>
      <c r="DZ24" s="87">
        <f>Чум!D65</f>
        <v>103.383</v>
      </c>
      <c r="EA24" s="87">
        <f t="shared" si="44"/>
        <v>100</v>
      </c>
      <c r="EB24" s="87">
        <f>Чум!C66</f>
        <v>18.5</v>
      </c>
      <c r="EC24" s="87">
        <f>Чум!D66</f>
        <v>10.71148</v>
      </c>
      <c r="ED24" s="87">
        <f t="shared" si="45"/>
        <v>57.89989189189188</v>
      </c>
      <c r="EE24" s="96">
        <f>Чум!C72</f>
        <v>1213.47855</v>
      </c>
      <c r="EF24" s="96">
        <f>Чум!D72</f>
        <v>1181.06449</v>
      </c>
      <c r="EG24" s="87">
        <f t="shared" si="46"/>
        <v>97.32883123480015</v>
      </c>
      <c r="EH24" s="96">
        <f>Чум!C77</f>
        <v>7255.87183</v>
      </c>
      <c r="EI24" s="96">
        <f>Чум!D77</f>
        <v>5282.66141</v>
      </c>
      <c r="EJ24" s="87">
        <f t="shared" si="47"/>
        <v>72.8053297214871</v>
      </c>
      <c r="EK24" s="96">
        <f>Чум!C81</f>
        <v>1441.325</v>
      </c>
      <c r="EL24" s="103">
        <f>Чум!D81</f>
        <v>1441.325</v>
      </c>
      <c r="EM24" s="87">
        <f t="shared" si="48"/>
        <v>100</v>
      </c>
      <c r="EN24" s="87">
        <f>Чум!C83</f>
        <v>0</v>
      </c>
      <c r="EO24" s="87">
        <f>Чум!D83</f>
        <v>0</v>
      </c>
      <c r="EP24" s="87" t="e">
        <f t="shared" si="49"/>
        <v>#DIV/0!</v>
      </c>
      <c r="EQ24" s="104">
        <f>Чум!C88</f>
        <v>9.365</v>
      </c>
      <c r="ER24" s="104">
        <f>Чум!D88</f>
        <v>9.365</v>
      </c>
      <c r="ES24" s="87">
        <f t="shared" si="50"/>
        <v>100</v>
      </c>
      <c r="ET24" s="87">
        <f>Чум!C94</f>
        <v>0</v>
      </c>
      <c r="EU24" s="87">
        <f>Чум!D94</f>
        <v>0</v>
      </c>
      <c r="EV24" s="87" t="e">
        <f t="shared" si="51"/>
        <v>#DIV/0!</v>
      </c>
      <c r="EW24" s="110">
        <f t="shared" si="52"/>
        <v>-29.910550000000512</v>
      </c>
      <c r="EX24" s="110">
        <f t="shared" si="53"/>
        <v>280.381519999999</v>
      </c>
      <c r="EY24" s="87">
        <f t="shared" si="54"/>
        <v>-937.4000812422178</v>
      </c>
      <c r="EZ24" s="111"/>
      <c r="FA24" s="112"/>
      <c r="FC24" s="112"/>
    </row>
    <row r="25" spans="1:159" s="59" customFormat="1" ht="22.5" customHeight="1">
      <c r="A25" s="75">
        <v>12</v>
      </c>
      <c r="B25" s="76" t="s">
        <v>134</v>
      </c>
      <c r="C25" s="77">
        <f t="shared" si="0"/>
        <v>8159.838349999998</v>
      </c>
      <c r="D25" s="108">
        <f t="shared" si="1"/>
        <v>8362.05136</v>
      </c>
      <c r="E25" s="79">
        <f t="shared" si="2"/>
        <v>102.47814970501226</v>
      </c>
      <c r="F25" s="80">
        <f t="shared" si="3"/>
        <v>972.07</v>
      </c>
      <c r="G25" s="80">
        <f t="shared" si="4"/>
        <v>1256.79571</v>
      </c>
      <c r="H25" s="79">
        <f t="shared" si="5"/>
        <v>129.2906591089119</v>
      </c>
      <c r="I25" s="84">
        <f>Шать!C6</f>
        <v>59.1</v>
      </c>
      <c r="J25" s="97">
        <f>Шать!D6</f>
        <v>51.11637</v>
      </c>
      <c r="K25" s="79">
        <f t="shared" si="6"/>
        <v>86.49131979695431</v>
      </c>
      <c r="L25" s="79">
        <f>Шать!C8</f>
        <v>136.51</v>
      </c>
      <c r="M25" s="79">
        <f>Шать!D8</f>
        <v>189.79963</v>
      </c>
      <c r="N25" s="79">
        <f t="shared" si="7"/>
        <v>139.03716211266575</v>
      </c>
      <c r="O25" s="79">
        <f>Шать!C9</f>
        <v>1.46</v>
      </c>
      <c r="P25" s="79">
        <f>Шать!D9</f>
        <v>1.33482</v>
      </c>
      <c r="Q25" s="79">
        <f t="shared" si="8"/>
        <v>91.42602739726027</v>
      </c>
      <c r="R25" s="79">
        <f>Шать!C10</f>
        <v>228</v>
      </c>
      <c r="S25" s="79">
        <f>Шать!D10</f>
        <v>252.35589</v>
      </c>
      <c r="T25" s="79">
        <f t="shared" si="9"/>
        <v>110.68240789473684</v>
      </c>
      <c r="U25" s="79">
        <f>Шать!C11</f>
        <v>0</v>
      </c>
      <c r="V25" s="83">
        <f>Шать!D11</f>
        <v>-32.36571</v>
      </c>
      <c r="W25" s="79" t="e">
        <f t="shared" si="10"/>
        <v>#DIV/0!</v>
      </c>
      <c r="X25" s="84">
        <f>Шать!C13</f>
        <v>10</v>
      </c>
      <c r="Y25" s="84">
        <f>Шать!D13</f>
        <v>15.50624</v>
      </c>
      <c r="Z25" s="79">
        <f t="shared" si="11"/>
        <v>155.0624</v>
      </c>
      <c r="AA25" s="84">
        <f>Шать!C15</f>
        <v>75</v>
      </c>
      <c r="AB25" s="86">
        <f>Шать!D15</f>
        <v>81.73976</v>
      </c>
      <c r="AC25" s="79">
        <f t="shared" si="12"/>
        <v>108.98634666666666</v>
      </c>
      <c r="AD25" s="84">
        <f>Шать!C16</f>
        <v>273</v>
      </c>
      <c r="AE25" s="84">
        <f>Шать!D16</f>
        <v>336.73396</v>
      </c>
      <c r="AF25" s="79">
        <f t="shared" si="13"/>
        <v>123.3457728937729</v>
      </c>
      <c r="AG25" s="79">
        <f>Шать!C18</f>
        <v>3</v>
      </c>
      <c r="AH25" s="79">
        <f>Шать!D18</f>
        <v>1.4</v>
      </c>
      <c r="AI25" s="79">
        <f t="shared" si="14"/>
        <v>46.666666666666664</v>
      </c>
      <c r="AJ25" s="79"/>
      <c r="AK25" s="79"/>
      <c r="AL25" s="79" t="e">
        <f>AJ25/AK25*100</f>
        <v>#DIV/0!</v>
      </c>
      <c r="AM25" s="84">
        <v>0</v>
      </c>
      <c r="AN25" s="84">
        <f>0</f>
        <v>0</v>
      </c>
      <c r="AO25" s="79" t="e">
        <f t="shared" si="16"/>
        <v>#DIV/0!</v>
      </c>
      <c r="AP25" s="84">
        <f>Шать!C27</f>
        <v>140</v>
      </c>
      <c r="AQ25" s="98">
        <f>Шать!D27</f>
        <v>291.68505</v>
      </c>
      <c r="AR25" s="79">
        <f t="shared" si="17"/>
        <v>208.3464642857143</v>
      </c>
      <c r="AS25" s="84">
        <f>Шать!C28</f>
        <v>26</v>
      </c>
      <c r="AT25" s="86">
        <f>Шать!D28</f>
        <v>26.0112</v>
      </c>
      <c r="AU25" s="79">
        <f t="shared" si="18"/>
        <v>100.04307692307692</v>
      </c>
      <c r="AV25" s="84"/>
      <c r="AW25" s="84"/>
      <c r="AX25" s="79" t="e">
        <f t="shared" si="19"/>
        <v>#DIV/0!</v>
      </c>
      <c r="AY25" s="79">
        <f>Шать!C29</f>
        <v>20</v>
      </c>
      <c r="AZ25" s="79">
        <f>Шать!D29</f>
        <v>41.4785</v>
      </c>
      <c r="BA25" s="79">
        <f t="shared" si="20"/>
        <v>207.3925</v>
      </c>
      <c r="BB25" s="79"/>
      <c r="BC25" s="79"/>
      <c r="BD25" s="79"/>
      <c r="BE25" s="79">
        <f>Шать!C33</f>
        <v>0</v>
      </c>
      <c r="BF25" s="79">
        <f>Шать!D33</f>
        <v>0</v>
      </c>
      <c r="BG25" s="79" t="e">
        <f t="shared" si="55"/>
        <v>#DIV/0!</v>
      </c>
      <c r="BH25" s="79"/>
      <c r="BI25" s="79"/>
      <c r="BJ25" s="79" t="e">
        <f t="shared" si="56"/>
        <v>#DIV/0!</v>
      </c>
      <c r="BK25" s="79"/>
      <c r="BL25" s="79"/>
      <c r="BM25" s="79"/>
      <c r="BN25" s="79">
        <f>Шать!C34</f>
        <v>0</v>
      </c>
      <c r="BO25" s="79">
        <f>Шать!D34</f>
        <v>0</v>
      </c>
      <c r="BP25" s="89" t="e">
        <f t="shared" si="21"/>
        <v>#DIV/0!</v>
      </c>
      <c r="BQ25" s="79">
        <f>Шать!C37</f>
        <v>0</v>
      </c>
      <c r="BR25" s="79">
        <f>SUM(Шать!D37)</f>
        <v>0</v>
      </c>
      <c r="BS25" s="79" t="e">
        <f t="shared" si="22"/>
        <v>#DIV/0!</v>
      </c>
      <c r="BT25" s="79"/>
      <c r="BU25" s="79"/>
      <c r="BV25" s="90" t="e">
        <f t="shared" si="23"/>
        <v>#DIV/0!</v>
      </c>
      <c r="BW25" s="90"/>
      <c r="BX25" s="90"/>
      <c r="BY25" s="90" t="e">
        <f t="shared" si="24"/>
        <v>#DIV/0!</v>
      </c>
      <c r="BZ25" s="84">
        <f t="shared" si="25"/>
        <v>7187.7683499999985</v>
      </c>
      <c r="CA25" s="84">
        <f t="shared" si="26"/>
        <v>7105.255649999999</v>
      </c>
      <c r="CB25" s="79">
        <f t="shared" si="27"/>
        <v>98.8520400772237</v>
      </c>
      <c r="CC25" s="79">
        <f>Шать!C42</f>
        <v>2122.2</v>
      </c>
      <c r="CD25" s="79">
        <f>Шать!D42</f>
        <v>2122.2</v>
      </c>
      <c r="CE25" s="79">
        <f t="shared" si="28"/>
        <v>100</v>
      </c>
      <c r="CF25" s="79">
        <f>Шать!C43</f>
        <v>0</v>
      </c>
      <c r="CG25" s="91">
        <f>Шать!D43</f>
        <v>0</v>
      </c>
      <c r="CH25" s="79" t="e">
        <f t="shared" si="29"/>
        <v>#DIV/0!</v>
      </c>
      <c r="CI25" s="79">
        <f>Шать!C44</f>
        <v>3233.5907</v>
      </c>
      <c r="CJ25" s="79">
        <f>Шать!D44</f>
        <v>3233.578</v>
      </c>
      <c r="CK25" s="79">
        <f t="shared" si="30"/>
        <v>99.99960724775711</v>
      </c>
      <c r="CL25" s="79">
        <f>Шать!C45</f>
        <v>103.383</v>
      </c>
      <c r="CM25" s="79">
        <f>Шать!D45</f>
        <v>103.383</v>
      </c>
      <c r="CN25" s="79">
        <f t="shared" si="31"/>
        <v>100</v>
      </c>
      <c r="CO25" s="79">
        <f>Шать!C46</f>
        <v>1428.118</v>
      </c>
      <c r="CP25" s="79">
        <f>Шать!D46</f>
        <v>1395.618</v>
      </c>
      <c r="CQ25" s="79">
        <f t="shared" si="32"/>
        <v>97.72427768573745</v>
      </c>
      <c r="CR25" s="83">
        <f>Шать!C50</f>
        <v>300.47665</v>
      </c>
      <c r="CS25" s="79">
        <f>Шать!D50</f>
        <v>250.47665</v>
      </c>
      <c r="CT25" s="79">
        <f t="shared" si="33"/>
        <v>83.35977188244078</v>
      </c>
      <c r="CU25" s="79"/>
      <c r="CV25" s="79"/>
      <c r="CW25" s="79"/>
      <c r="CX25" s="84"/>
      <c r="CY25" s="84"/>
      <c r="CZ25" s="79" t="e">
        <f t="shared" si="34"/>
        <v>#DIV/0!</v>
      </c>
      <c r="DA25" s="79"/>
      <c r="DB25" s="79"/>
      <c r="DC25" s="79"/>
      <c r="DD25" s="79"/>
      <c r="DE25" s="79"/>
      <c r="DF25" s="79"/>
      <c r="DG25" s="84">
        <f t="shared" si="35"/>
        <v>8354.681100000002</v>
      </c>
      <c r="DH25" s="84">
        <f t="shared" si="36"/>
        <v>8256.96594</v>
      </c>
      <c r="DI25" s="79">
        <f t="shared" si="37"/>
        <v>98.83041424525466</v>
      </c>
      <c r="DJ25" s="84">
        <f t="shared" si="57"/>
        <v>1428.112</v>
      </c>
      <c r="DK25" s="84">
        <f t="shared" si="58"/>
        <v>1393.0022900000001</v>
      </c>
      <c r="DL25" s="79">
        <f t="shared" si="39"/>
        <v>97.54152965593735</v>
      </c>
      <c r="DM25" s="79">
        <f>Шать!C58</f>
        <v>1404.75</v>
      </c>
      <c r="DN25" s="79">
        <f>Шать!D58</f>
        <v>1374.64029</v>
      </c>
      <c r="DO25" s="79">
        <f t="shared" si="40"/>
        <v>97.85657875066738</v>
      </c>
      <c r="DP25" s="79">
        <f>Шать!C61</f>
        <v>0</v>
      </c>
      <c r="DQ25" s="79">
        <f>Шать!D61</f>
        <v>0</v>
      </c>
      <c r="DR25" s="79" t="e">
        <f t="shared" si="41"/>
        <v>#DIV/0!</v>
      </c>
      <c r="DS25" s="79">
        <f>Шать!C62</f>
        <v>5</v>
      </c>
      <c r="DT25" s="79">
        <f>Шать!D62</f>
        <v>0</v>
      </c>
      <c r="DU25" s="79">
        <f t="shared" si="42"/>
        <v>0</v>
      </c>
      <c r="DV25" s="79">
        <f>Шать!C63</f>
        <v>18.362</v>
      </c>
      <c r="DW25" s="79">
        <f>Шать!D63</f>
        <v>18.362</v>
      </c>
      <c r="DX25" s="79">
        <f t="shared" si="43"/>
        <v>100</v>
      </c>
      <c r="DY25" s="79">
        <f>Шать!C65</f>
        <v>103.383</v>
      </c>
      <c r="DZ25" s="79">
        <f>Шать!D65</f>
        <v>103.383</v>
      </c>
      <c r="EA25" s="79">
        <f t="shared" si="44"/>
        <v>100</v>
      </c>
      <c r="EB25" s="79">
        <f>Шать!C66</f>
        <v>18.5</v>
      </c>
      <c r="EC25" s="79">
        <f>Шать!D66</f>
        <v>18.31148</v>
      </c>
      <c r="ED25" s="79">
        <f t="shared" si="45"/>
        <v>98.98097297297296</v>
      </c>
      <c r="EE25" s="84">
        <f>Шать!C72</f>
        <v>3289.03055</v>
      </c>
      <c r="EF25" s="84">
        <f>Шать!D72</f>
        <v>3237.21937</v>
      </c>
      <c r="EG25" s="79">
        <f t="shared" si="46"/>
        <v>98.42472791868715</v>
      </c>
      <c r="EH25" s="84">
        <f>Шать!C77</f>
        <v>2738.4055500000004</v>
      </c>
      <c r="EI25" s="84">
        <f>Шать!D77</f>
        <v>2730.7928</v>
      </c>
      <c r="EJ25" s="79">
        <f t="shared" si="47"/>
        <v>99.72200063646525</v>
      </c>
      <c r="EK25" s="84">
        <f>Шать!C81</f>
        <v>767.25</v>
      </c>
      <c r="EL25" s="92">
        <f>Шать!D81</f>
        <v>767.25</v>
      </c>
      <c r="EM25" s="79">
        <f t="shared" si="48"/>
        <v>100</v>
      </c>
      <c r="EN25" s="79">
        <f>Шать!C83</f>
        <v>0</v>
      </c>
      <c r="EO25" s="79">
        <f>Шать!D83</f>
        <v>0</v>
      </c>
      <c r="EP25" s="79" t="e">
        <f t="shared" si="49"/>
        <v>#DIV/0!</v>
      </c>
      <c r="EQ25" s="80">
        <f>Шать!C88</f>
        <v>10</v>
      </c>
      <c r="ER25" s="80">
        <f>Шать!D88</f>
        <v>7.007</v>
      </c>
      <c r="ES25" s="79">
        <f t="shared" si="50"/>
        <v>70.07</v>
      </c>
      <c r="ET25" s="79">
        <f>Шать!C94</f>
        <v>0</v>
      </c>
      <c r="EU25" s="79">
        <f>Шать!D94</f>
        <v>0</v>
      </c>
      <c r="EV25" s="79" t="e">
        <f t="shared" si="51"/>
        <v>#DIV/0!</v>
      </c>
      <c r="EW25" s="88">
        <f t="shared" si="52"/>
        <v>-194.84275000000343</v>
      </c>
      <c r="EX25" s="88">
        <f t="shared" si="53"/>
        <v>105.08541999999943</v>
      </c>
      <c r="EY25" s="79">
        <f t="shared" si="54"/>
        <v>-53.93345146278092</v>
      </c>
      <c r="EZ25" s="93"/>
      <c r="FA25" s="94"/>
      <c r="FC25" s="94"/>
    </row>
    <row r="26" spans="1:159" s="113" customFormat="1" ht="24.75" customHeight="1">
      <c r="A26" s="115">
        <v>13</v>
      </c>
      <c r="B26" s="95" t="s">
        <v>135</v>
      </c>
      <c r="C26" s="106">
        <f t="shared" si="0"/>
        <v>8578.033599999999</v>
      </c>
      <c r="D26" s="78">
        <f t="shared" si="1"/>
        <v>8598.608789999998</v>
      </c>
      <c r="E26" s="87">
        <f t="shared" si="2"/>
        <v>100.23985905114662</v>
      </c>
      <c r="F26" s="80">
        <f t="shared" si="3"/>
        <v>2809.4</v>
      </c>
      <c r="G26" s="104">
        <f t="shared" si="4"/>
        <v>3023.2406600000004</v>
      </c>
      <c r="H26" s="87">
        <f t="shared" si="5"/>
        <v>107.61161315583401</v>
      </c>
      <c r="I26" s="96">
        <f>Юнг!C6</f>
        <v>126.9</v>
      </c>
      <c r="J26" s="97">
        <f>Юнг!D6</f>
        <v>132.54315</v>
      </c>
      <c r="K26" s="87">
        <f t="shared" si="6"/>
        <v>104.44692671394797</v>
      </c>
      <c r="L26" s="87">
        <f>Юнг!C8</f>
        <v>220.44</v>
      </c>
      <c r="M26" s="87">
        <f>Юнг!D8</f>
        <v>306.50075</v>
      </c>
      <c r="N26" s="87">
        <f t="shared" si="7"/>
        <v>139.04044184358554</v>
      </c>
      <c r="O26" s="87">
        <f>Юнг!C9</f>
        <v>2.36</v>
      </c>
      <c r="P26" s="87">
        <f>Юнг!D9</f>
        <v>2.15554</v>
      </c>
      <c r="Q26" s="87">
        <f t="shared" si="8"/>
        <v>91.3364406779661</v>
      </c>
      <c r="R26" s="87">
        <f>Юнг!C10</f>
        <v>368.2</v>
      </c>
      <c r="S26" s="87">
        <f>Юнг!D10</f>
        <v>407.52068</v>
      </c>
      <c r="T26" s="87">
        <f t="shared" si="9"/>
        <v>110.67916349809887</v>
      </c>
      <c r="U26" s="87">
        <f>Юнг!C11</f>
        <v>0</v>
      </c>
      <c r="V26" s="102">
        <f>Юнг!D11</f>
        <v>-52.26625</v>
      </c>
      <c r="W26" s="87" t="e">
        <f t="shared" si="10"/>
        <v>#DIV/0!</v>
      </c>
      <c r="X26" s="96">
        <f>Юнг!C13</f>
        <v>140</v>
      </c>
      <c r="Y26" s="96">
        <f>Юнг!D13</f>
        <v>129.3675</v>
      </c>
      <c r="Z26" s="87">
        <f t="shared" si="11"/>
        <v>92.40535714285714</v>
      </c>
      <c r="AA26" s="96">
        <f>Юнг!C15</f>
        <v>340</v>
      </c>
      <c r="AB26" s="86">
        <f>Юнг!D15</f>
        <v>351.12849</v>
      </c>
      <c r="AC26" s="87">
        <f t="shared" si="12"/>
        <v>103.27308529411765</v>
      </c>
      <c r="AD26" s="96">
        <f>Юнг!C16</f>
        <v>1150</v>
      </c>
      <c r="AE26" s="96">
        <f>Юнг!D16</f>
        <v>1139.95821</v>
      </c>
      <c r="AF26" s="87">
        <f t="shared" si="13"/>
        <v>99.12680086956523</v>
      </c>
      <c r="AG26" s="87">
        <f>Юнг!C18</f>
        <v>10</v>
      </c>
      <c r="AH26" s="87">
        <f>Юнг!D18</f>
        <v>3.95</v>
      </c>
      <c r="AI26" s="87">
        <f t="shared" si="14"/>
        <v>39.5</v>
      </c>
      <c r="AJ26" s="87"/>
      <c r="AK26" s="87"/>
      <c r="AL26" s="87" t="e">
        <f>AJ26/AK26*100</f>
        <v>#DIV/0!</v>
      </c>
      <c r="AM26" s="96">
        <v>0</v>
      </c>
      <c r="AN26" s="96"/>
      <c r="AO26" s="87" t="e">
        <f t="shared" si="16"/>
        <v>#DIV/0!</v>
      </c>
      <c r="AP26" s="96">
        <f>Юнг!C27</f>
        <v>307</v>
      </c>
      <c r="AQ26" s="98">
        <f>Юнг!D27</f>
        <v>399.49386</v>
      </c>
      <c r="AR26" s="87">
        <f t="shared" si="17"/>
        <v>130.12829315960911</v>
      </c>
      <c r="AS26" s="96">
        <f>Юнг!C28</f>
        <v>79.5</v>
      </c>
      <c r="AT26" s="98">
        <f>Юнг!D28</f>
        <v>59.82698</v>
      </c>
      <c r="AU26" s="87">
        <f t="shared" si="18"/>
        <v>75.25406289308177</v>
      </c>
      <c r="AV26" s="96"/>
      <c r="AW26" s="96"/>
      <c r="AX26" s="87" t="e">
        <f t="shared" si="19"/>
        <v>#DIV/0!</v>
      </c>
      <c r="AY26" s="87">
        <f>Юнг!C30</f>
        <v>55</v>
      </c>
      <c r="AZ26" s="79">
        <f>Юнг!D30</f>
        <v>67.49633</v>
      </c>
      <c r="BA26" s="87">
        <f t="shared" si="20"/>
        <v>122.7206</v>
      </c>
      <c r="BB26" s="87"/>
      <c r="BC26" s="87"/>
      <c r="BD26" s="87"/>
      <c r="BE26" s="87">
        <f>Юнг!C31</f>
        <v>10</v>
      </c>
      <c r="BF26" s="87">
        <f>Юнг!D31</f>
        <v>10.23</v>
      </c>
      <c r="BG26" s="87">
        <f t="shared" si="55"/>
        <v>102.30000000000001</v>
      </c>
      <c r="BH26" s="87"/>
      <c r="BI26" s="87"/>
      <c r="BJ26" s="87" t="e">
        <f t="shared" si="56"/>
        <v>#DIV/0!</v>
      </c>
      <c r="BK26" s="87"/>
      <c r="BL26" s="87"/>
      <c r="BM26" s="87"/>
      <c r="BN26" s="87">
        <f>Юнг!C34</f>
        <v>0</v>
      </c>
      <c r="BO26" s="87">
        <f>Юнг!D34</f>
        <v>65.33542</v>
      </c>
      <c r="BP26" s="89" t="e">
        <f t="shared" si="21"/>
        <v>#DIV/0!</v>
      </c>
      <c r="BQ26" s="87">
        <f>Юнг!C36</f>
        <v>0</v>
      </c>
      <c r="BR26" s="87">
        <f>Юнг!D36</f>
        <v>0</v>
      </c>
      <c r="BS26" s="87" t="e">
        <f t="shared" si="22"/>
        <v>#DIV/0!</v>
      </c>
      <c r="BT26" s="87"/>
      <c r="BU26" s="87"/>
      <c r="BV26" s="99" t="e">
        <f t="shared" si="23"/>
        <v>#DIV/0!</v>
      </c>
      <c r="BW26" s="99"/>
      <c r="BX26" s="99"/>
      <c r="BY26" s="99" t="e">
        <f t="shared" si="24"/>
        <v>#DIV/0!</v>
      </c>
      <c r="BZ26" s="96">
        <f t="shared" si="25"/>
        <v>5768.633599999999</v>
      </c>
      <c r="CA26" s="96">
        <f t="shared" si="26"/>
        <v>5575.368129999999</v>
      </c>
      <c r="CB26" s="87">
        <f t="shared" si="27"/>
        <v>96.64971840125189</v>
      </c>
      <c r="CC26" s="87">
        <f>Юнг!C41</f>
        <v>1697.1</v>
      </c>
      <c r="CD26" s="87">
        <f>Юнг!D41</f>
        <v>1697.1</v>
      </c>
      <c r="CE26" s="87">
        <f t="shared" si="28"/>
        <v>100</v>
      </c>
      <c r="CF26" s="87">
        <f>Юнг!C42</f>
        <v>0</v>
      </c>
      <c r="CG26" s="100">
        <f>Юнг!D42</f>
        <v>0</v>
      </c>
      <c r="CH26" s="87" t="e">
        <f t="shared" si="29"/>
        <v>#DIV/0!</v>
      </c>
      <c r="CI26" s="87">
        <f>Юнг!C43</f>
        <v>1951.9506</v>
      </c>
      <c r="CJ26" s="87">
        <f>Юнг!D43</f>
        <v>1951.9506</v>
      </c>
      <c r="CK26" s="87">
        <f t="shared" si="30"/>
        <v>100</v>
      </c>
      <c r="CL26" s="87">
        <f>Юнг!C44</f>
        <v>103.383</v>
      </c>
      <c r="CM26" s="87">
        <f>Юнг!D44</f>
        <v>103.383</v>
      </c>
      <c r="CN26" s="87">
        <f t="shared" si="31"/>
        <v>100</v>
      </c>
      <c r="CO26" s="87">
        <f>Юнг!C45</f>
        <v>1823.6</v>
      </c>
      <c r="CP26" s="87">
        <f>Юнг!D45</f>
        <v>1822.9539</v>
      </c>
      <c r="CQ26" s="79">
        <f t="shared" si="32"/>
        <v>99.96457008115816</v>
      </c>
      <c r="CR26" s="102">
        <f>Юнг!C48</f>
        <v>192.6</v>
      </c>
      <c r="CS26" s="87">
        <f>Юнг!D48</f>
        <v>0</v>
      </c>
      <c r="CT26" s="87">
        <f t="shared" si="33"/>
        <v>0</v>
      </c>
      <c r="CU26" s="87"/>
      <c r="CV26" s="87">
        <f>SUM(Юнг!D49)</f>
        <v>-0.019370000000000002</v>
      </c>
      <c r="CW26" s="87"/>
      <c r="CX26" s="96"/>
      <c r="CY26" s="96"/>
      <c r="CZ26" s="87" t="e">
        <f t="shared" si="34"/>
        <v>#DIV/0!</v>
      </c>
      <c r="DA26" s="87"/>
      <c r="DB26" s="87"/>
      <c r="DC26" s="87"/>
      <c r="DD26" s="87"/>
      <c r="DE26" s="87"/>
      <c r="DF26" s="87"/>
      <c r="DG26" s="84">
        <f t="shared" si="35"/>
        <v>9335.39802</v>
      </c>
      <c r="DH26" s="84">
        <f t="shared" si="36"/>
        <v>9252.20803</v>
      </c>
      <c r="DI26" s="87">
        <f t="shared" si="37"/>
        <v>99.10887580988216</v>
      </c>
      <c r="DJ26" s="96">
        <f t="shared" si="57"/>
        <v>1716.0910000000001</v>
      </c>
      <c r="DK26" s="96">
        <f t="shared" si="58"/>
        <v>1693.9167400000001</v>
      </c>
      <c r="DL26" s="87">
        <f t="shared" si="39"/>
        <v>98.70786222875128</v>
      </c>
      <c r="DM26" s="87">
        <f>Юнг!C57</f>
        <v>1625.85</v>
      </c>
      <c r="DN26" s="87">
        <f>Юнг!D57</f>
        <v>1606.33274</v>
      </c>
      <c r="DO26" s="87">
        <f t="shared" si="40"/>
        <v>98.79956576559954</v>
      </c>
      <c r="DP26" s="87">
        <f>Юнг!C60</f>
        <v>18.4</v>
      </c>
      <c r="DQ26" s="87">
        <f>Юнг!D60</f>
        <v>18.4</v>
      </c>
      <c r="DR26" s="87">
        <f t="shared" si="41"/>
        <v>100</v>
      </c>
      <c r="DS26" s="87">
        <f>Юнг!C61</f>
        <v>1.477</v>
      </c>
      <c r="DT26" s="87">
        <f>Юнг!D61</f>
        <v>0</v>
      </c>
      <c r="DU26" s="87">
        <f t="shared" si="42"/>
        <v>0</v>
      </c>
      <c r="DV26" s="87">
        <f>Юнг!C62</f>
        <v>70.364</v>
      </c>
      <c r="DW26" s="87">
        <f>Юнг!D62</f>
        <v>69.184</v>
      </c>
      <c r="DX26" s="87">
        <f t="shared" si="43"/>
        <v>98.3230060826559</v>
      </c>
      <c r="DY26" s="87">
        <f>Юнг!C64</f>
        <v>103.383</v>
      </c>
      <c r="DZ26" s="87">
        <f>Юнг!D64</f>
        <v>103.383</v>
      </c>
      <c r="EA26" s="87">
        <f t="shared" si="44"/>
        <v>100</v>
      </c>
      <c r="EB26" s="87">
        <f>Юнг!C65</f>
        <v>64</v>
      </c>
      <c r="EC26" s="87">
        <f>Юнг!D65</f>
        <v>62.03576</v>
      </c>
      <c r="ED26" s="87">
        <f t="shared" si="45"/>
        <v>96.930875</v>
      </c>
      <c r="EE26" s="96">
        <f>Юнг!C71</f>
        <v>3177.85366</v>
      </c>
      <c r="EF26" s="96">
        <f>Юнг!D71</f>
        <v>3160.86663</v>
      </c>
      <c r="EG26" s="87">
        <f t="shared" si="46"/>
        <v>99.46545587627845</v>
      </c>
      <c r="EH26" s="96">
        <f>Юнг!C76</f>
        <v>2827.06036</v>
      </c>
      <c r="EI26" s="96">
        <f>Юнг!D76</f>
        <v>2785.1041800000003</v>
      </c>
      <c r="EJ26" s="87">
        <f t="shared" si="47"/>
        <v>98.51590788107546</v>
      </c>
      <c r="EK26" s="96">
        <f>Юнг!C80</f>
        <v>1437.91</v>
      </c>
      <c r="EL26" s="103">
        <f>Юнг!D80</f>
        <v>1437.86472</v>
      </c>
      <c r="EM26" s="87">
        <f t="shared" si="48"/>
        <v>99.99685098511033</v>
      </c>
      <c r="EN26" s="87">
        <f>Юнг!C82</f>
        <v>0</v>
      </c>
      <c r="EO26" s="87">
        <f>Юнг!D82</f>
        <v>0</v>
      </c>
      <c r="EP26" s="87" t="e">
        <f t="shared" si="49"/>
        <v>#DIV/0!</v>
      </c>
      <c r="EQ26" s="104">
        <f>Юнг!C87</f>
        <v>9.1</v>
      </c>
      <c r="ER26" s="104">
        <f>Юнг!D87</f>
        <v>9.037</v>
      </c>
      <c r="ES26" s="87">
        <f t="shared" si="50"/>
        <v>99.30769230769232</v>
      </c>
      <c r="ET26" s="87">
        <f>Юнг!C93</f>
        <v>0</v>
      </c>
      <c r="EU26" s="87">
        <f>Юнг!D93</f>
        <v>0</v>
      </c>
      <c r="EV26" s="87" t="e">
        <f t="shared" si="51"/>
        <v>#DIV/0!</v>
      </c>
      <c r="EW26" s="110">
        <f t="shared" si="52"/>
        <v>-757.3644200000017</v>
      </c>
      <c r="EX26" s="110">
        <f t="shared" si="53"/>
        <v>-653.5992400000014</v>
      </c>
      <c r="EY26" s="87">
        <f t="shared" si="54"/>
        <v>86.29917418090487</v>
      </c>
      <c r="EZ26" s="111"/>
      <c r="FA26" s="112"/>
      <c r="FC26" s="112"/>
    </row>
    <row r="27" spans="1:159" s="59" customFormat="1" ht="25.5" customHeight="1">
      <c r="A27" s="75">
        <v>14</v>
      </c>
      <c r="B27" s="95" t="s">
        <v>136</v>
      </c>
      <c r="C27" s="77">
        <f t="shared" si="0"/>
        <v>14863.826320000002</v>
      </c>
      <c r="D27" s="78">
        <f t="shared" si="1"/>
        <v>15362.151560000002</v>
      </c>
      <c r="E27" s="87">
        <f t="shared" si="2"/>
        <v>103.35260402854331</v>
      </c>
      <c r="F27" s="80">
        <f t="shared" si="3"/>
        <v>1546.69</v>
      </c>
      <c r="G27" s="80">
        <f t="shared" si="4"/>
        <v>2045.0152400000002</v>
      </c>
      <c r="H27" s="87">
        <f t="shared" si="5"/>
        <v>132.21881825058674</v>
      </c>
      <c r="I27" s="96">
        <f>Юсь!C6</f>
        <v>200.1</v>
      </c>
      <c r="J27" s="97">
        <f>Юсь!D6</f>
        <v>269.4312</v>
      </c>
      <c r="K27" s="87">
        <f t="shared" si="6"/>
        <v>134.64827586206894</v>
      </c>
      <c r="L27" s="87">
        <f>Юсь!C8</f>
        <v>200.15</v>
      </c>
      <c r="M27" s="87">
        <f>Юсь!D8</f>
        <v>278.2873</v>
      </c>
      <c r="N27" s="79">
        <f t="shared" si="7"/>
        <v>139.0393704721459</v>
      </c>
      <c r="O27" s="79">
        <f>Юсь!C9</f>
        <v>2.15</v>
      </c>
      <c r="P27" s="79">
        <f>Юсь!D9</f>
        <v>1.95712</v>
      </c>
      <c r="Q27" s="79">
        <f t="shared" si="8"/>
        <v>91.02883720930232</v>
      </c>
      <c r="R27" s="79">
        <f>Юсь!C10</f>
        <v>334.29</v>
      </c>
      <c r="S27" s="79">
        <f>Юсь!D10</f>
        <v>370.00832</v>
      </c>
      <c r="T27" s="79">
        <f t="shared" si="9"/>
        <v>110.68483053636065</v>
      </c>
      <c r="U27" s="79">
        <f>Юсь!C11</f>
        <v>0</v>
      </c>
      <c r="V27" s="83">
        <f>Юсь!D11</f>
        <v>-47.45514</v>
      </c>
      <c r="W27" s="79" t="e">
        <f t="shared" si="10"/>
        <v>#DIV/0!</v>
      </c>
      <c r="X27" s="96">
        <f>Юсь!C13</f>
        <v>10</v>
      </c>
      <c r="Y27" s="96">
        <f>Юсь!D13</f>
        <v>6.10936</v>
      </c>
      <c r="Z27" s="87">
        <f t="shared" si="11"/>
        <v>61.093599999999995</v>
      </c>
      <c r="AA27" s="96">
        <f>Юсь!C15</f>
        <v>117</v>
      </c>
      <c r="AB27" s="86">
        <f>Юсь!D15</f>
        <v>113.97714</v>
      </c>
      <c r="AC27" s="87">
        <f t="shared" si="12"/>
        <v>97.41635897435897</v>
      </c>
      <c r="AD27" s="96">
        <f>Юсь!C16</f>
        <v>348</v>
      </c>
      <c r="AE27" s="96">
        <f>Юсь!D16</f>
        <v>556.993</v>
      </c>
      <c r="AF27" s="87">
        <f t="shared" si="13"/>
        <v>160.05545977011494</v>
      </c>
      <c r="AG27" s="87">
        <f>Юсь!C18</f>
        <v>10</v>
      </c>
      <c r="AH27" s="87">
        <f>Юсь!D18</f>
        <v>4.3</v>
      </c>
      <c r="AI27" s="87">
        <f t="shared" si="14"/>
        <v>43</v>
      </c>
      <c r="AJ27" s="87"/>
      <c r="AK27" s="87"/>
      <c r="AL27" s="87" t="e">
        <f>AJ27/AK27*100</f>
        <v>#DIV/0!</v>
      </c>
      <c r="AM27" s="96">
        <v>0</v>
      </c>
      <c r="AN27" s="96">
        <v>0</v>
      </c>
      <c r="AO27" s="87" t="e">
        <f t="shared" si="16"/>
        <v>#DIV/0!</v>
      </c>
      <c r="AP27" s="96">
        <f>Юсь!C27</f>
        <v>0</v>
      </c>
      <c r="AQ27" s="98">
        <f>Юсь!D27</f>
        <v>0</v>
      </c>
      <c r="AR27" s="87" t="e">
        <f t="shared" si="17"/>
        <v>#DIV/0!</v>
      </c>
      <c r="AS27" s="84">
        <f>Юсь!C28</f>
        <v>55</v>
      </c>
      <c r="AT27" s="98">
        <f>Юсь!D28</f>
        <v>57.99035</v>
      </c>
      <c r="AU27" s="87">
        <f t="shared" si="18"/>
        <v>105.437</v>
      </c>
      <c r="AV27" s="96"/>
      <c r="AW27" s="96"/>
      <c r="AX27" s="87" t="e">
        <f t="shared" si="19"/>
        <v>#DIV/0!</v>
      </c>
      <c r="AY27" s="87">
        <f>Юсь!C30</f>
        <v>270</v>
      </c>
      <c r="AZ27" s="79">
        <f>Юсь!D30</f>
        <v>425.13375</v>
      </c>
      <c r="BA27" s="87">
        <f t="shared" si="20"/>
        <v>157.45694444444445</v>
      </c>
      <c r="BB27" s="87"/>
      <c r="BC27" s="87"/>
      <c r="BD27" s="87"/>
      <c r="BE27" s="87">
        <f>Юсь!C31</f>
        <v>0</v>
      </c>
      <c r="BF27" s="87">
        <f>Юсь!D31</f>
        <v>0</v>
      </c>
      <c r="BG27" s="87" t="e">
        <f t="shared" si="55"/>
        <v>#DIV/0!</v>
      </c>
      <c r="BH27" s="87"/>
      <c r="BI27" s="87"/>
      <c r="BJ27" s="87" t="e">
        <f t="shared" si="56"/>
        <v>#DIV/0!</v>
      </c>
      <c r="BK27" s="87"/>
      <c r="BL27" s="87"/>
      <c r="BM27" s="87"/>
      <c r="BN27" s="87"/>
      <c r="BO27" s="87">
        <f>SUM(Юсь!D34)</f>
        <v>8.28284</v>
      </c>
      <c r="BP27" s="89" t="e">
        <f t="shared" si="21"/>
        <v>#DIV/0!</v>
      </c>
      <c r="BQ27" s="87">
        <f>Юсь!C36</f>
        <v>0</v>
      </c>
      <c r="BR27" s="87">
        <f>Юсь!D36</f>
        <v>0</v>
      </c>
      <c r="BS27" s="87" t="e">
        <f t="shared" si="22"/>
        <v>#DIV/0!</v>
      </c>
      <c r="BT27" s="87"/>
      <c r="BU27" s="87"/>
      <c r="BV27" s="99" t="e">
        <f t="shared" si="23"/>
        <v>#DIV/0!</v>
      </c>
      <c r="BW27" s="99"/>
      <c r="BX27" s="99"/>
      <c r="BY27" s="99" t="e">
        <f t="shared" si="24"/>
        <v>#DIV/0!</v>
      </c>
      <c r="BZ27" s="84">
        <f t="shared" si="25"/>
        <v>13317.136320000001</v>
      </c>
      <c r="CA27" s="84">
        <f t="shared" si="26"/>
        <v>13317.136320000001</v>
      </c>
      <c r="CB27" s="87">
        <f t="shared" si="27"/>
        <v>100</v>
      </c>
      <c r="CC27" s="87">
        <f>Юсь!C41</f>
        <v>5087.2</v>
      </c>
      <c r="CD27" s="87">
        <f>Юсь!D41</f>
        <v>5087.2</v>
      </c>
      <c r="CE27" s="87">
        <f t="shared" si="28"/>
        <v>100</v>
      </c>
      <c r="CF27" s="87">
        <f>Юсь!C42</f>
        <v>0</v>
      </c>
      <c r="CG27" s="100">
        <f>Юсь!D42</f>
        <v>0</v>
      </c>
      <c r="CH27" s="87" t="e">
        <f t="shared" si="29"/>
        <v>#DIV/0!</v>
      </c>
      <c r="CI27" s="87">
        <f>Юсь!C43</f>
        <v>2037.26197</v>
      </c>
      <c r="CJ27" s="87">
        <f>Юсь!D43</f>
        <v>2037.26197</v>
      </c>
      <c r="CK27" s="87">
        <f t="shared" si="30"/>
        <v>100</v>
      </c>
      <c r="CL27" s="87">
        <f>Юсь!C44</f>
        <v>2903.75635</v>
      </c>
      <c r="CM27" s="87">
        <f>Юсь!D44</f>
        <v>2903.75635</v>
      </c>
      <c r="CN27" s="87">
        <f t="shared" si="31"/>
        <v>100</v>
      </c>
      <c r="CO27" s="87">
        <f>Юсь!C51</f>
        <v>3043.818</v>
      </c>
      <c r="CP27" s="87">
        <f>Юсь!D51</f>
        <v>3043.818</v>
      </c>
      <c r="CQ27" s="79">
        <f t="shared" si="32"/>
        <v>100</v>
      </c>
      <c r="CR27" s="102">
        <f>Юсь!C52</f>
        <v>245.1</v>
      </c>
      <c r="CS27" s="87">
        <f>Юсь!D52</f>
        <v>245.1</v>
      </c>
      <c r="CT27" s="87">
        <f t="shared" si="33"/>
        <v>100</v>
      </c>
      <c r="CU27" s="87"/>
      <c r="CV27" s="87"/>
      <c r="CW27" s="87"/>
      <c r="CX27" s="96"/>
      <c r="CY27" s="96"/>
      <c r="CZ27" s="87" t="e">
        <f t="shared" si="34"/>
        <v>#DIV/0!</v>
      </c>
      <c r="DA27" s="87"/>
      <c r="DB27" s="87"/>
      <c r="DC27" s="87"/>
      <c r="DD27" s="87"/>
      <c r="DE27" s="87"/>
      <c r="DF27" s="87"/>
      <c r="DG27" s="84">
        <f t="shared" si="35"/>
        <v>15187.61232</v>
      </c>
      <c r="DH27" s="84">
        <f t="shared" si="36"/>
        <v>14630.839329999999</v>
      </c>
      <c r="DI27" s="87">
        <f t="shared" si="37"/>
        <v>96.33403211598437</v>
      </c>
      <c r="DJ27" s="96">
        <f t="shared" si="57"/>
        <v>1650.1619999999998</v>
      </c>
      <c r="DK27" s="96">
        <f t="shared" si="58"/>
        <v>1599.85541</v>
      </c>
      <c r="DL27" s="87">
        <f t="shared" si="39"/>
        <v>96.95141507318677</v>
      </c>
      <c r="DM27" s="87">
        <f>Юсь!C60</f>
        <v>1627.168</v>
      </c>
      <c r="DN27" s="87">
        <f>Юсь!D60</f>
        <v>1581.86141</v>
      </c>
      <c r="DO27" s="87">
        <f t="shared" si="40"/>
        <v>97.21561694920254</v>
      </c>
      <c r="DP27" s="87">
        <f>Юсь!C63</f>
        <v>0</v>
      </c>
      <c r="DQ27" s="87">
        <f>Юсь!D63</f>
        <v>0</v>
      </c>
      <c r="DR27" s="87" t="e">
        <f t="shared" si="41"/>
        <v>#DIV/0!</v>
      </c>
      <c r="DS27" s="87">
        <f>Юсь!C64</f>
        <v>5</v>
      </c>
      <c r="DT27" s="87">
        <f>Юсь!D64</f>
        <v>0</v>
      </c>
      <c r="DU27" s="87">
        <f t="shared" si="42"/>
        <v>0</v>
      </c>
      <c r="DV27" s="87">
        <f>Юсь!C65</f>
        <v>17.994</v>
      </c>
      <c r="DW27" s="87">
        <f>Юсь!D65</f>
        <v>17.994</v>
      </c>
      <c r="DX27" s="87">
        <f t="shared" si="43"/>
        <v>100</v>
      </c>
      <c r="DY27" s="87">
        <f>Юсь!C67</f>
        <v>206.767</v>
      </c>
      <c r="DZ27" s="87">
        <f>Юсь!D67</f>
        <v>206.767</v>
      </c>
      <c r="EA27" s="87">
        <f t="shared" si="44"/>
        <v>100</v>
      </c>
      <c r="EB27" s="87">
        <f>Юсь!C68</f>
        <v>14.234</v>
      </c>
      <c r="EC27" s="87">
        <f>Юсь!D68</f>
        <v>14.04548</v>
      </c>
      <c r="ED27" s="87">
        <f t="shared" si="45"/>
        <v>98.67556554728115</v>
      </c>
      <c r="EE27" s="96">
        <f>Юсь!C74</f>
        <v>2103.19743</v>
      </c>
      <c r="EF27" s="96">
        <f>Юсь!D74</f>
        <v>2072.00997</v>
      </c>
      <c r="EG27" s="87">
        <f t="shared" si="46"/>
        <v>98.5171406376243</v>
      </c>
      <c r="EH27" s="96">
        <f>Юсь!C79</f>
        <v>8939.07589</v>
      </c>
      <c r="EI27" s="96">
        <f>Юсь!D79</f>
        <v>8495.0879</v>
      </c>
      <c r="EJ27" s="87">
        <f t="shared" si="47"/>
        <v>95.03317797652124</v>
      </c>
      <c r="EK27" s="96">
        <f>Юсь!C83</f>
        <v>2259.176</v>
      </c>
      <c r="EL27" s="103">
        <f>Юсь!D83</f>
        <v>2232.09557</v>
      </c>
      <c r="EM27" s="87">
        <f t="shared" si="48"/>
        <v>98.80131384186093</v>
      </c>
      <c r="EN27" s="87">
        <f>Юсь!C85</f>
        <v>0</v>
      </c>
      <c r="EO27" s="87">
        <f>Юсь!D85</f>
        <v>0</v>
      </c>
      <c r="EP27" s="87" t="e">
        <f t="shared" si="49"/>
        <v>#DIV/0!</v>
      </c>
      <c r="EQ27" s="104">
        <f>Юсь!C90</f>
        <v>15</v>
      </c>
      <c r="ER27" s="104">
        <f>Юсь!D90</f>
        <v>10.978</v>
      </c>
      <c r="ES27" s="87">
        <f t="shared" si="50"/>
        <v>73.18666666666667</v>
      </c>
      <c r="ET27" s="87">
        <f>Юсь!C96</f>
        <v>0</v>
      </c>
      <c r="EU27" s="87">
        <f>Юсь!D96</f>
        <v>0</v>
      </c>
      <c r="EV27" s="79" t="e">
        <f t="shared" si="51"/>
        <v>#DIV/0!</v>
      </c>
      <c r="EW27" s="88">
        <f t="shared" si="52"/>
        <v>-323.78599999999824</v>
      </c>
      <c r="EX27" s="88">
        <f t="shared" si="53"/>
        <v>731.3122300000032</v>
      </c>
      <c r="EY27" s="79">
        <f t="shared" si="54"/>
        <v>-225.8628322410503</v>
      </c>
      <c r="EZ27" s="93"/>
      <c r="FA27" s="94"/>
      <c r="FC27" s="94"/>
    </row>
    <row r="28" spans="1:159" s="59" customFormat="1" ht="23.25" customHeight="1">
      <c r="A28" s="75">
        <v>15</v>
      </c>
      <c r="B28" s="95" t="s">
        <v>137</v>
      </c>
      <c r="C28" s="106">
        <f t="shared" si="0"/>
        <v>18487.458169999998</v>
      </c>
      <c r="D28" s="78">
        <f t="shared" si="1"/>
        <v>12922.922279999999</v>
      </c>
      <c r="E28" s="87">
        <f t="shared" si="2"/>
        <v>69.90102241837825</v>
      </c>
      <c r="F28" s="80">
        <f t="shared" si="3"/>
        <v>2647.75</v>
      </c>
      <c r="G28" s="80">
        <f t="shared" si="4"/>
        <v>2674.76398</v>
      </c>
      <c r="H28" s="87">
        <f t="shared" si="5"/>
        <v>101.02026173165896</v>
      </c>
      <c r="I28" s="96">
        <f>Яра!C6</f>
        <v>211.2</v>
      </c>
      <c r="J28" s="97">
        <f>Яра!D6</f>
        <v>202.68409</v>
      </c>
      <c r="K28" s="87">
        <f t="shared" si="6"/>
        <v>95.9678456439394</v>
      </c>
      <c r="L28" s="87">
        <f>Яра!C8</f>
        <v>309.91</v>
      </c>
      <c r="M28" s="87">
        <f>Яра!D8</f>
        <v>430.89645</v>
      </c>
      <c r="N28" s="79">
        <f t="shared" si="7"/>
        <v>139.0392210641799</v>
      </c>
      <c r="O28" s="79">
        <f>Яра!C9</f>
        <v>3.32</v>
      </c>
      <c r="P28" s="79">
        <f>Яра!D9</f>
        <v>3.03038</v>
      </c>
      <c r="Q28" s="79">
        <f t="shared" si="8"/>
        <v>91.27650602409639</v>
      </c>
      <c r="R28" s="79">
        <f>Яра!C10</f>
        <v>517.62</v>
      </c>
      <c r="S28" s="79">
        <f>Яра!D10</f>
        <v>572.9161</v>
      </c>
      <c r="T28" s="79">
        <f t="shared" si="9"/>
        <v>110.68275955334028</v>
      </c>
      <c r="U28" s="79">
        <f>Яра!C11</f>
        <v>0</v>
      </c>
      <c r="V28" s="83">
        <f>Яра!D11</f>
        <v>-73.4789</v>
      </c>
      <c r="W28" s="79" t="e">
        <f t="shared" si="10"/>
        <v>#DIV/0!</v>
      </c>
      <c r="X28" s="96">
        <f>Яра!C13</f>
        <v>20</v>
      </c>
      <c r="Y28" s="96">
        <f>Яра!D13</f>
        <v>8.8872</v>
      </c>
      <c r="Z28" s="87">
        <f t="shared" si="11"/>
        <v>44.436</v>
      </c>
      <c r="AA28" s="96">
        <f>Яра!C15</f>
        <v>300</v>
      </c>
      <c r="AB28" s="86">
        <f>Яра!D15</f>
        <v>206.67951</v>
      </c>
      <c r="AC28" s="87">
        <f t="shared" si="12"/>
        <v>68.89317</v>
      </c>
      <c r="AD28" s="96">
        <f>Яра!C16</f>
        <v>1200</v>
      </c>
      <c r="AE28" s="96">
        <f>Яра!D16</f>
        <v>1130.15953</v>
      </c>
      <c r="AF28" s="87">
        <f t="shared" si="13"/>
        <v>94.17996083333333</v>
      </c>
      <c r="AG28" s="87">
        <f>Яра!C18</f>
        <v>15</v>
      </c>
      <c r="AH28" s="87">
        <f>Яра!D18</f>
        <v>6.23</v>
      </c>
      <c r="AI28" s="87">
        <f t="shared" si="14"/>
        <v>41.53333333333334</v>
      </c>
      <c r="AJ28" s="87"/>
      <c r="AK28" s="87"/>
      <c r="AL28" s="87" t="e">
        <f>AJ28/AK28*100</f>
        <v>#DIV/0!</v>
      </c>
      <c r="AM28" s="96">
        <v>0</v>
      </c>
      <c r="AN28" s="96">
        <v>0</v>
      </c>
      <c r="AO28" s="87" t="e">
        <f t="shared" si="16"/>
        <v>#DIV/0!</v>
      </c>
      <c r="AP28" s="96">
        <f>Яра!C27</f>
        <v>20.7</v>
      </c>
      <c r="AQ28" s="98">
        <f>Яра!D27</f>
        <v>18.58001</v>
      </c>
      <c r="AR28" s="87">
        <f t="shared" si="17"/>
        <v>89.75850241545895</v>
      </c>
      <c r="AS28" s="84">
        <f>Яра!C28</f>
        <v>0</v>
      </c>
      <c r="AT28" s="98">
        <f>Яра!D28</f>
        <v>0</v>
      </c>
      <c r="AU28" s="87" t="e">
        <f t="shared" si="18"/>
        <v>#DIV/0!</v>
      </c>
      <c r="AV28" s="96"/>
      <c r="AW28" s="96"/>
      <c r="AX28" s="87" t="e">
        <f t="shared" si="19"/>
        <v>#DIV/0!</v>
      </c>
      <c r="AY28" s="87">
        <f>Яра!C31</f>
        <v>50</v>
      </c>
      <c r="AZ28" s="79">
        <f>Яра!D31</f>
        <v>136.20032</v>
      </c>
      <c r="BA28" s="87">
        <f t="shared" si="20"/>
        <v>272.40064</v>
      </c>
      <c r="BB28" s="87"/>
      <c r="BC28" s="87"/>
      <c r="BD28" s="87"/>
      <c r="BE28" s="87">
        <f>Яра!C34</f>
        <v>0</v>
      </c>
      <c r="BF28" s="87">
        <v>0</v>
      </c>
      <c r="BG28" s="87" t="e">
        <f t="shared" si="55"/>
        <v>#DIV/0!</v>
      </c>
      <c r="BH28" s="87"/>
      <c r="BI28" s="87"/>
      <c r="BJ28" s="87" t="e">
        <f t="shared" si="56"/>
        <v>#DIV/0!</v>
      </c>
      <c r="BK28" s="87"/>
      <c r="BL28" s="87"/>
      <c r="BM28" s="87"/>
      <c r="BN28" s="87">
        <f>Яра!C35</f>
        <v>0</v>
      </c>
      <c r="BO28" s="87">
        <f>Яра!D35</f>
        <v>32.24129</v>
      </c>
      <c r="BP28" s="89" t="e">
        <f t="shared" si="21"/>
        <v>#DIV/0!</v>
      </c>
      <c r="BQ28" s="87">
        <f>Яра!C37</f>
        <v>0</v>
      </c>
      <c r="BR28" s="87">
        <f>Яра!D37</f>
        <v>-0.262</v>
      </c>
      <c r="BS28" s="87" t="e">
        <f t="shared" si="22"/>
        <v>#DIV/0!</v>
      </c>
      <c r="BT28" s="87"/>
      <c r="BU28" s="87"/>
      <c r="BV28" s="99" t="e">
        <f t="shared" si="23"/>
        <v>#DIV/0!</v>
      </c>
      <c r="BW28" s="99"/>
      <c r="BX28" s="99"/>
      <c r="BY28" s="99" t="e">
        <f t="shared" si="24"/>
        <v>#DIV/0!</v>
      </c>
      <c r="BZ28" s="84">
        <f t="shared" si="25"/>
        <v>15839.708169999998</v>
      </c>
      <c r="CA28" s="84">
        <f t="shared" si="26"/>
        <v>10248.1583</v>
      </c>
      <c r="CB28" s="87">
        <f t="shared" si="27"/>
        <v>64.69916105783912</v>
      </c>
      <c r="CC28" s="87">
        <f>Яра!C42</f>
        <v>3577.8</v>
      </c>
      <c r="CD28" s="87">
        <f>Яра!D42</f>
        <v>3577.8</v>
      </c>
      <c r="CE28" s="87">
        <f t="shared" si="28"/>
        <v>100</v>
      </c>
      <c r="CF28" s="87">
        <f>Яра!C43</f>
        <v>0</v>
      </c>
      <c r="CG28" s="100">
        <f>Яра!D43</f>
        <v>0</v>
      </c>
      <c r="CH28" s="87" t="e">
        <f t="shared" si="29"/>
        <v>#DIV/0!</v>
      </c>
      <c r="CI28" s="87">
        <f>Яра!C44</f>
        <v>9503.26947</v>
      </c>
      <c r="CJ28" s="87">
        <f>Яра!D44</f>
        <v>4059.33896</v>
      </c>
      <c r="CK28" s="87">
        <f t="shared" si="30"/>
        <v>42.71518315685518</v>
      </c>
      <c r="CL28" s="87">
        <f>Яра!C45</f>
        <v>206.767</v>
      </c>
      <c r="CM28" s="87">
        <f>Яра!D45</f>
        <v>206.767</v>
      </c>
      <c r="CN28" s="87">
        <f t="shared" si="31"/>
        <v>100</v>
      </c>
      <c r="CO28" s="87">
        <f>Яра!C47</f>
        <v>2328.044</v>
      </c>
      <c r="CP28" s="87">
        <f>Яра!D47</f>
        <v>2173.71584</v>
      </c>
      <c r="CQ28" s="79">
        <f t="shared" si="32"/>
        <v>93.3709087972564</v>
      </c>
      <c r="CR28" s="102">
        <f>Яра!C51</f>
        <v>223.8277</v>
      </c>
      <c r="CS28" s="87">
        <f>Яра!D51</f>
        <v>230.5365</v>
      </c>
      <c r="CT28" s="87">
        <f t="shared" si="33"/>
        <v>102.99730551669879</v>
      </c>
      <c r="CU28" s="87"/>
      <c r="CV28" s="87"/>
      <c r="CW28" s="87"/>
      <c r="CX28" s="96"/>
      <c r="CY28" s="96"/>
      <c r="CZ28" s="87" t="e">
        <f t="shared" si="34"/>
        <v>#DIV/0!</v>
      </c>
      <c r="DA28" s="87"/>
      <c r="DB28" s="87">
        <f>Яра!D46</f>
        <v>0</v>
      </c>
      <c r="DC28" s="87" t="e">
        <f>DB28/DA28</f>
        <v>#DIV/0!</v>
      </c>
      <c r="DD28" s="87"/>
      <c r="DE28" s="87"/>
      <c r="DF28" s="87"/>
      <c r="DG28" s="84">
        <f t="shared" si="35"/>
        <v>18740.3809</v>
      </c>
      <c r="DH28" s="84">
        <f t="shared" si="36"/>
        <v>12483.40614</v>
      </c>
      <c r="DI28" s="87">
        <f t="shared" si="37"/>
        <v>66.61233945357002</v>
      </c>
      <c r="DJ28" s="96">
        <f t="shared" si="57"/>
        <v>1831.36623</v>
      </c>
      <c r="DK28" s="96">
        <f t="shared" si="58"/>
        <v>1817.02788</v>
      </c>
      <c r="DL28" s="87">
        <f t="shared" si="39"/>
        <v>99.21706812296087</v>
      </c>
      <c r="DM28" s="87">
        <f>Яра!C59</f>
        <v>1705.2</v>
      </c>
      <c r="DN28" s="87">
        <f>Яра!D59</f>
        <v>1700.86165</v>
      </c>
      <c r="DO28" s="87">
        <f t="shared" si="40"/>
        <v>99.74558116349989</v>
      </c>
      <c r="DP28" s="87">
        <f>Яра!C62</f>
        <v>11.02</v>
      </c>
      <c r="DQ28" s="87">
        <f>Яра!D62</f>
        <v>11.02</v>
      </c>
      <c r="DR28" s="87">
        <f t="shared" si="41"/>
        <v>100</v>
      </c>
      <c r="DS28" s="87">
        <f>Яра!C63</f>
        <v>10</v>
      </c>
      <c r="DT28" s="87">
        <f>Яра!D63</f>
        <v>0</v>
      </c>
      <c r="DU28" s="87">
        <f t="shared" si="42"/>
        <v>0</v>
      </c>
      <c r="DV28" s="87">
        <f>Яра!C64</f>
        <v>105.14623</v>
      </c>
      <c r="DW28" s="87">
        <f>Яра!D64</f>
        <v>105.14623</v>
      </c>
      <c r="DX28" s="87">
        <f t="shared" si="43"/>
        <v>100</v>
      </c>
      <c r="DY28" s="87">
        <f>Яра!C66</f>
        <v>206.767</v>
      </c>
      <c r="DZ28" s="87">
        <f>Яра!D65</f>
        <v>206.767</v>
      </c>
      <c r="EA28" s="87">
        <f t="shared" si="44"/>
        <v>100</v>
      </c>
      <c r="EB28" s="87">
        <f>Яра!C67</f>
        <v>70.33467</v>
      </c>
      <c r="EC28" s="87">
        <f>Яра!D67</f>
        <v>69.31253000000001</v>
      </c>
      <c r="ED28" s="87">
        <f t="shared" si="45"/>
        <v>98.54674799782242</v>
      </c>
      <c r="EE28" s="96">
        <f>Яра!C73</f>
        <v>4430.90056</v>
      </c>
      <c r="EF28" s="96">
        <f>Яра!D73</f>
        <v>4314.56211</v>
      </c>
      <c r="EG28" s="87">
        <f t="shared" si="46"/>
        <v>97.37438363997046</v>
      </c>
      <c r="EH28" s="96">
        <f>Яра!C78</f>
        <v>9749.46944</v>
      </c>
      <c r="EI28" s="96">
        <f>Яра!D78</f>
        <v>3634.46985</v>
      </c>
      <c r="EJ28" s="87">
        <f t="shared" si="47"/>
        <v>37.27864241605336</v>
      </c>
      <c r="EK28" s="96">
        <f>Яра!C82</f>
        <v>2439.543</v>
      </c>
      <c r="EL28" s="103">
        <f>Яра!D82</f>
        <v>2429.26677</v>
      </c>
      <c r="EM28" s="87">
        <f t="shared" si="48"/>
        <v>99.57876413738147</v>
      </c>
      <c r="EN28" s="87">
        <f>Яра!C84</f>
        <v>0</v>
      </c>
      <c r="EO28" s="87">
        <f>Яра!D84</f>
        <v>0</v>
      </c>
      <c r="EP28" s="87" t="e">
        <f t="shared" si="49"/>
        <v>#DIV/0!</v>
      </c>
      <c r="EQ28" s="104">
        <f>Яра!C89</f>
        <v>12</v>
      </c>
      <c r="ER28" s="104">
        <f>Яра!D89</f>
        <v>12</v>
      </c>
      <c r="ES28" s="87">
        <f t="shared" si="50"/>
        <v>100</v>
      </c>
      <c r="ET28" s="87">
        <f>Яра!C95</f>
        <v>0</v>
      </c>
      <c r="EU28" s="87">
        <f>Яра!D95</f>
        <v>0</v>
      </c>
      <c r="EV28" s="79" t="e">
        <f t="shared" si="51"/>
        <v>#DIV/0!</v>
      </c>
      <c r="EW28" s="88">
        <f t="shared" si="52"/>
        <v>-252.92273000000205</v>
      </c>
      <c r="EX28" s="88">
        <f t="shared" si="53"/>
        <v>439.5161399999997</v>
      </c>
      <c r="EY28" s="79">
        <f t="shared" si="54"/>
        <v>-173.77486792112208</v>
      </c>
      <c r="EZ28" s="93"/>
      <c r="FA28" s="94"/>
      <c r="FC28" s="94"/>
    </row>
    <row r="29" spans="1:159" s="59" customFormat="1" ht="25.5" customHeight="1">
      <c r="A29" s="75">
        <v>16</v>
      </c>
      <c r="B29" s="76" t="s">
        <v>138</v>
      </c>
      <c r="C29" s="77">
        <f t="shared" si="0"/>
        <v>4895.657999999999</v>
      </c>
      <c r="D29" s="78">
        <f t="shared" si="1"/>
        <v>4584.51245</v>
      </c>
      <c r="E29" s="79">
        <f t="shared" si="2"/>
        <v>93.64445902879656</v>
      </c>
      <c r="F29" s="80">
        <f t="shared" si="3"/>
        <v>2309.85</v>
      </c>
      <c r="G29" s="80">
        <f t="shared" si="4"/>
        <v>2004.25233</v>
      </c>
      <c r="H29" s="79">
        <f t="shared" si="5"/>
        <v>86.76980453276187</v>
      </c>
      <c r="I29" s="84">
        <f>Яро!C6</f>
        <v>117.6</v>
      </c>
      <c r="J29" s="97">
        <f>Яро!D6</f>
        <v>128.27625</v>
      </c>
      <c r="K29" s="79">
        <f t="shared" si="6"/>
        <v>109.07844387755104</v>
      </c>
      <c r="L29" s="79">
        <f>Яро!C8</f>
        <v>178.01</v>
      </c>
      <c r="M29" s="79">
        <f>Яро!D8</f>
        <v>247.50897</v>
      </c>
      <c r="N29" s="79">
        <f t="shared" si="7"/>
        <v>139.0421717881018</v>
      </c>
      <c r="O29" s="79">
        <f>Яро!C9</f>
        <v>1.91</v>
      </c>
      <c r="P29" s="79">
        <f>Яро!D9</f>
        <v>1.74066</v>
      </c>
      <c r="Q29" s="79">
        <f t="shared" si="8"/>
        <v>91.13403141361258</v>
      </c>
      <c r="R29" s="79">
        <f>Яро!C10</f>
        <v>297.33</v>
      </c>
      <c r="S29" s="79">
        <f>Яро!D10</f>
        <v>329.08573</v>
      </c>
      <c r="T29" s="79">
        <f t="shared" si="9"/>
        <v>110.68029798540344</v>
      </c>
      <c r="U29" s="79">
        <f>Яро!C11</f>
        <v>0</v>
      </c>
      <c r="V29" s="83">
        <f>Яро!D11</f>
        <v>-42.20664</v>
      </c>
      <c r="W29" s="79" t="e">
        <f t="shared" si="10"/>
        <v>#DIV/0!</v>
      </c>
      <c r="X29" s="84">
        <f>Яро!C13</f>
        <v>10</v>
      </c>
      <c r="Y29" s="84">
        <f>Яро!D13</f>
        <v>0.26730000000000004</v>
      </c>
      <c r="Z29" s="79">
        <f t="shared" si="11"/>
        <v>2.6730000000000005</v>
      </c>
      <c r="AA29" s="84">
        <f>Яро!C15</f>
        <v>380</v>
      </c>
      <c r="AB29" s="86">
        <f>Яро!D15</f>
        <v>242.10605</v>
      </c>
      <c r="AC29" s="79">
        <f t="shared" si="12"/>
        <v>63.71211842105263</v>
      </c>
      <c r="AD29" s="84">
        <f>Яро!C16</f>
        <v>920</v>
      </c>
      <c r="AE29" s="84">
        <f>Яро!D16</f>
        <v>604.00679</v>
      </c>
      <c r="AF29" s="79">
        <f t="shared" si="13"/>
        <v>65.65291195652175</v>
      </c>
      <c r="AG29" s="79">
        <f>Яро!C18</f>
        <v>5</v>
      </c>
      <c r="AH29" s="79">
        <f>Яро!D18</f>
        <v>3.95</v>
      </c>
      <c r="AI29" s="79">
        <f t="shared" si="14"/>
        <v>79</v>
      </c>
      <c r="AJ29" s="79"/>
      <c r="AK29" s="79"/>
      <c r="AL29" s="79" t="e">
        <f>AJ29/AK29*100</f>
        <v>#DIV/0!</v>
      </c>
      <c r="AM29" s="84">
        <v>0</v>
      </c>
      <c r="AN29" s="84">
        <v>0</v>
      </c>
      <c r="AO29" s="79" t="e">
        <f t="shared" si="16"/>
        <v>#DIV/0!</v>
      </c>
      <c r="AP29" s="84">
        <f>Яро!C26</f>
        <v>400</v>
      </c>
      <c r="AQ29" s="86">
        <f>Яро!D27</f>
        <v>489.21202</v>
      </c>
      <c r="AR29" s="79">
        <f t="shared" si="17"/>
        <v>122.303005</v>
      </c>
      <c r="AS29" s="84">
        <v>0</v>
      </c>
      <c r="AT29" s="86">
        <f>Яро!D28</f>
        <v>0</v>
      </c>
      <c r="AU29" s="79" t="e">
        <f t="shared" si="18"/>
        <v>#DIV/0!</v>
      </c>
      <c r="AV29" s="84"/>
      <c r="AW29" s="84"/>
      <c r="AX29" s="79" t="e">
        <f t="shared" si="19"/>
        <v>#DIV/0!</v>
      </c>
      <c r="AY29" s="79"/>
      <c r="AZ29" s="79">
        <f>Яро!D29</f>
        <v>0</v>
      </c>
      <c r="BA29" s="79" t="e">
        <f t="shared" si="20"/>
        <v>#DIV/0!</v>
      </c>
      <c r="BB29" s="79"/>
      <c r="BC29" s="79"/>
      <c r="BD29" s="79"/>
      <c r="BE29" s="79">
        <f>Яро!C31</f>
        <v>0</v>
      </c>
      <c r="BF29" s="79">
        <f>Яро!D31</f>
        <v>0</v>
      </c>
      <c r="BG29" s="79" t="e">
        <f t="shared" si="55"/>
        <v>#DIV/0!</v>
      </c>
      <c r="BH29" s="79"/>
      <c r="BI29" s="79"/>
      <c r="BJ29" s="79" t="e">
        <f t="shared" si="56"/>
        <v>#DIV/0!</v>
      </c>
      <c r="BK29" s="79"/>
      <c r="BL29" s="79"/>
      <c r="BM29" s="79"/>
      <c r="BN29" s="79">
        <f>Яро!C34</f>
        <v>0</v>
      </c>
      <c r="BO29" s="79">
        <f>Яро!D34</f>
        <v>0.3052</v>
      </c>
      <c r="BP29" s="89" t="e">
        <f t="shared" si="21"/>
        <v>#DIV/0!</v>
      </c>
      <c r="BQ29" s="79">
        <v>0</v>
      </c>
      <c r="BR29" s="79">
        <f>SUM(Яро!D36)</f>
        <v>0</v>
      </c>
      <c r="BS29" s="79" t="e">
        <f t="shared" si="22"/>
        <v>#DIV/0!</v>
      </c>
      <c r="BT29" s="79"/>
      <c r="BU29" s="79"/>
      <c r="BV29" s="90" t="e">
        <f t="shared" si="23"/>
        <v>#DIV/0!</v>
      </c>
      <c r="BW29" s="90"/>
      <c r="BX29" s="90"/>
      <c r="BY29" s="90" t="e">
        <f t="shared" si="24"/>
        <v>#DIV/0!</v>
      </c>
      <c r="BZ29" s="84">
        <f t="shared" si="25"/>
        <v>2585.8079999999995</v>
      </c>
      <c r="CA29" s="84">
        <f t="shared" si="26"/>
        <v>2580.26012</v>
      </c>
      <c r="CB29" s="79">
        <f t="shared" si="27"/>
        <v>99.78544888096876</v>
      </c>
      <c r="CC29" s="87">
        <f>Яро!C40</f>
        <v>1658.6</v>
      </c>
      <c r="CD29" s="87">
        <f>Яро!D40</f>
        <v>1658.6</v>
      </c>
      <c r="CE29" s="79">
        <f t="shared" si="28"/>
        <v>100</v>
      </c>
      <c r="CF29" s="79">
        <f>Яро!C41</f>
        <v>0</v>
      </c>
      <c r="CG29" s="91">
        <f>Яро!D41</f>
        <v>0</v>
      </c>
      <c r="CH29" s="79" t="e">
        <f t="shared" si="29"/>
        <v>#DIV/0!</v>
      </c>
      <c r="CI29" s="79">
        <f>Яро!C42</f>
        <v>637.37</v>
      </c>
      <c r="CJ29" s="79">
        <f>Яро!D42</f>
        <v>637.37</v>
      </c>
      <c r="CK29" s="79">
        <f t="shared" si="30"/>
        <v>100</v>
      </c>
      <c r="CL29" s="79">
        <f>Яро!C43</f>
        <v>103.383</v>
      </c>
      <c r="CM29" s="79">
        <f>Яро!D43</f>
        <v>103.383</v>
      </c>
      <c r="CN29" s="79">
        <f t="shared" si="31"/>
        <v>100</v>
      </c>
      <c r="CO29" s="79">
        <f>Яро!C45</f>
        <v>186.455</v>
      </c>
      <c r="CP29" s="79">
        <f>Яро!D45</f>
        <v>183.704</v>
      </c>
      <c r="CQ29" s="79">
        <f t="shared" si="32"/>
        <v>98.52457697567777</v>
      </c>
      <c r="CR29" s="83">
        <f>Яро!C46</f>
        <v>0</v>
      </c>
      <c r="CS29" s="79">
        <f>Яро!D46</f>
        <v>0</v>
      </c>
      <c r="CT29" s="79" t="e">
        <f t="shared" si="33"/>
        <v>#DIV/0!</v>
      </c>
      <c r="CU29" s="79"/>
      <c r="CV29" s="79">
        <f>SUM(Яро!D47)</f>
        <v>-2.79688</v>
      </c>
      <c r="CW29" s="79"/>
      <c r="CX29" s="84"/>
      <c r="CY29" s="84"/>
      <c r="CZ29" s="79" t="e">
        <f t="shared" si="34"/>
        <v>#DIV/0!</v>
      </c>
      <c r="DA29" s="79"/>
      <c r="DB29" s="79"/>
      <c r="DC29" s="79"/>
      <c r="DD29" s="79"/>
      <c r="DE29" s="79"/>
      <c r="DF29" s="79"/>
      <c r="DG29" s="84">
        <f t="shared" si="35"/>
        <v>5272.09735</v>
      </c>
      <c r="DH29" s="84">
        <f t="shared" si="36"/>
        <v>4628.381300000001</v>
      </c>
      <c r="DI29" s="79">
        <f t="shared" si="37"/>
        <v>87.7901334655742</v>
      </c>
      <c r="DJ29" s="84">
        <f t="shared" si="57"/>
        <v>1547.4483100000002</v>
      </c>
      <c r="DK29" s="84">
        <f t="shared" si="58"/>
        <v>1440.1277200000002</v>
      </c>
      <c r="DL29" s="79">
        <f t="shared" si="39"/>
        <v>93.06467367559436</v>
      </c>
      <c r="DM29" s="79">
        <f>Яро!C56</f>
        <v>1468.79231</v>
      </c>
      <c r="DN29" s="79">
        <f>Яро!D56</f>
        <v>1411.47172</v>
      </c>
      <c r="DO29" s="79">
        <f t="shared" si="40"/>
        <v>96.09743395238772</v>
      </c>
      <c r="DP29" s="79">
        <f>Яро!C59</f>
        <v>8.9</v>
      </c>
      <c r="DQ29" s="79">
        <f>Яро!D59</f>
        <v>8.9</v>
      </c>
      <c r="DR29" s="79">
        <f t="shared" si="41"/>
        <v>100</v>
      </c>
      <c r="DS29" s="79">
        <f>Яро!C60</f>
        <v>50</v>
      </c>
      <c r="DT29" s="79">
        <f>Яро!D60</f>
        <v>0</v>
      </c>
      <c r="DU29" s="79">
        <f t="shared" si="42"/>
        <v>0</v>
      </c>
      <c r="DV29" s="79">
        <f>Яро!C61</f>
        <v>19.756</v>
      </c>
      <c r="DW29" s="79">
        <f>Яро!D61</f>
        <v>19.756</v>
      </c>
      <c r="DX29" s="79">
        <f t="shared" si="43"/>
        <v>100</v>
      </c>
      <c r="DY29" s="79">
        <f>Яро!C62</f>
        <v>103.383</v>
      </c>
      <c r="DZ29" s="79">
        <f>Яро!D62</f>
        <v>103.383</v>
      </c>
      <c r="EA29" s="79">
        <f t="shared" si="44"/>
        <v>100</v>
      </c>
      <c r="EB29" s="79">
        <f>Яро!C64</f>
        <v>16.31148</v>
      </c>
      <c r="EC29" s="79">
        <f>Яро!D64</f>
        <v>14.31148</v>
      </c>
      <c r="ED29" s="79">
        <f t="shared" si="45"/>
        <v>87.73869691775363</v>
      </c>
      <c r="EE29" s="84">
        <f>Яро!C70</f>
        <v>1509.9593499999999</v>
      </c>
      <c r="EF29" s="84">
        <f>Яро!D70</f>
        <v>1253.2467199999999</v>
      </c>
      <c r="EG29" s="79">
        <f t="shared" si="46"/>
        <v>82.99870589231425</v>
      </c>
      <c r="EH29" s="84">
        <f>Яро!C75</f>
        <v>992.12021</v>
      </c>
      <c r="EI29" s="84">
        <f>Яро!D75</f>
        <v>789.4893800000001</v>
      </c>
      <c r="EJ29" s="79">
        <f t="shared" si="47"/>
        <v>79.5759800115351</v>
      </c>
      <c r="EK29" s="84">
        <f>Яро!C80</f>
        <v>1072.875</v>
      </c>
      <c r="EL29" s="92">
        <f>Яро!D79</f>
        <v>1003.875</v>
      </c>
      <c r="EM29" s="79">
        <f t="shared" si="48"/>
        <v>93.56868227892346</v>
      </c>
      <c r="EN29" s="79">
        <f>Яро!C81</f>
        <v>0</v>
      </c>
      <c r="EO29" s="79">
        <f>Яро!D81</f>
        <v>0</v>
      </c>
      <c r="EP29" s="79" t="e">
        <f t="shared" si="49"/>
        <v>#DIV/0!</v>
      </c>
      <c r="EQ29" s="80">
        <f>Яро!C86</f>
        <v>30</v>
      </c>
      <c r="ER29" s="80">
        <f>Яро!D86</f>
        <v>23.948</v>
      </c>
      <c r="ES29" s="79">
        <f t="shared" si="50"/>
        <v>79.82666666666667</v>
      </c>
      <c r="ET29" s="79">
        <f>Яро!C92</f>
        <v>0</v>
      </c>
      <c r="EU29" s="79">
        <f>Яро!D92</f>
        <v>0</v>
      </c>
      <c r="EV29" s="79" t="e">
        <f t="shared" si="51"/>
        <v>#DIV/0!</v>
      </c>
      <c r="EW29" s="88">
        <f t="shared" si="52"/>
        <v>-376.43935000000056</v>
      </c>
      <c r="EX29" s="88">
        <f t="shared" si="53"/>
        <v>-43.86885000000075</v>
      </c>
      <c r="EY29" s="79">
        <f t="shared" si="54"/>
        <v>11.653630259429756</v>
      </c>
      <c r="EZ29" s="93"/>
      <c r="FA29" s="94"/>
      <c r="FC29" s="94"/>
    </row>
    <row r="30" spans="1:256" s="79" customFormat="1" ht="17.25" customHeight="1">
      <c r="A30" s="116"/>
      <c r="B30" s="117"/>
      <c r="C30" s="108"/>
      <c r="D30" s="118"/>
      <c r="F30" s="80"/>
      <c r="G30" s="84"/>
      <c r="I30" s="84"/>
      <c r="J30" s="97"/>
      <c r="V30" s="119"/>
      <c r="X30" s="84"/>
      <c r="Y30" s="84"/>
      <c r="AA30" s="84"/>
      <c r="AB30" s="84"/>
      <c r="AD30" s="84"/>
      <c r="AE30" s="84"/>
      <c r="AM30" s="84"/>
      <c r="AN30" s="84"/>
      <c r="AP30" s="84"/>
      <c r="AQ30" s="84"/>
      <c r="AS30" s="84"/>
      <c r="AT30" s="86"/>
      <c r="AV30" s="84"/>
      <c r="AW30" s="84"/>
      <c r="BA30" s="79" t="e">
        <f t="shared" si="20"/>
        <v>#DIV/0!</v>
      </c>
      <c r="BP30" s="89"/>
      <c r="BV30" s="90"/>
      <c r="BW30" s="90"/>
      <c r="BX30" s="90"/>
      <c r="BY30" s="90"/>
      <c r="BZ30" s="84"/>
      <c r="CA30" s="84"/>
      <c r="CG30" s="91"/>
      <c r="CH30" s="91"/>
      <c r="CR30" s="119"/>
      <c r="CX30" s="84"/>
      <c r="CY30" s="84"/>
      <c r="DG30" s="84"/>
      <c r="DH30" s="84"/>
      <c r="DJ30" s="84"/>
      <c r="DK30" s="120"/>
      <c r="DZ30" s="88"/>
      <c r="EE30" s="84"/>
      <c r="EF30" s="84"/>
      <c r="EH30" s="84"/>
      <c r="EI30" s="84"/>
      <c r="EK30" s="84"/>
      <c r="EL30" s="84"/>
      <c r="EQ30" s="80"/>
      <c r="ER30" s="80"/>
      <c r="EW30" s="88"/>
      <c r="EX30" s="88"/>
      <c r="EZ30" s="59"/>
      <c r="FA30" s="94"/>
      <c r="FB30" s="59"/>
      <c r="FC30" s="94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155" s="131" customFormat="1" ht="18.75" customHeight="1">
      <c r="A31" s="467" t="s">
        <v>139</v>
      </c>
      <c r="B31" s="467"/>
      <c r="C31" s="121">
        <f>SUM(C14:C29)</f>
        <v>233193.75746999998</v>
      </c>
      <c r="D31" s="121">
        <f>SUM(D14:D29)</f>
        <v>222576.17755</v>
      </c>
      <c r="E31" s="122">
        <f>D31/C31*100</f>
        <v>95.44688501304933</v>
      </c>
      <c r="F31" s="123">
        <f>SUM(F14:F29)</f>
        <v>41921.15289</v>
      </c>
      <c r="G31" s="122">
        <f>SUM(G14:G29)</f>
        <v>45597.69870000001</v>
      </c>
      <c r="H31" s="122">
        <f>G31/F31*100</f>
        <v>108.7701447993264</v>
      </c>
      <c r="I31" s="122">
        <f>SUM(I14:I29)</f>
        <v>6108.606409999999</v>
      </c>
      <c r="J31" s="124">
        <f>SUM(J14:J29)</f>
        <v>6596.92165</v>
      </c>
      <c r="K31" s="122">
        <f>J31/I31*100</f>
        <v>107.99388939514276</v>
      </c>
      <c r="L31" s="122">
        <f>SUM(L14:L29)</f>
        <v>3399.7400000000007</v>
      </c>
      <c r="M31" s="122">
        <f>SUM(M14:M29)</f>
        <v>4678.304300000001</v>
      </c>
      <c r="N31" s="122">
        <f>M31/L31*100</f>
        <v>137.6077082365122</v>
      </c>
      <c r="O31" s="122">
        <f>SUM(O14:O29)</f>
        <v>36.059999999999995</v>
      </c>
      <c r="P31" s="122">
        <f>SUM(P14:P29)</f>
        <v>32.90125</v>
      </c>
      <c r="Q31" s="122">
        <f>P31/O31*100</f>
        <v>91.24029395452024</v>
      </c>
      <c r="R31" s="122">
        <f>SUM(R14:R29)</f>
        <v>5697.9</v>
      </c>
      <c r="S31" s="122">
        <f>SUM(S14:S29)</f>
        <v>6220.2319099999995</v>
      </c>
      <c r="T31" s="122">
        <f>S31/R31*100</f>
        <v>109.16709507011355</v>
      </c>
      <c r="U31" s="122">
        <f>SUM(U14:U29)</f>
        <v>0</v>
      </c>
      <c r="V31" s="122">
        <f>SUM(V14:V29)</f>
        <v>-797.77094</v>
      </c>
      <c r="W31" s="122" t="e">
        <f>V31/U31*100</f>
        <v>#DIV/0!</v>
      </c>
      <c r="X31" s="122">
        <f>SUM(X14:X29)</f>
        <v>719.8</v>
      </c>
      <c r="Y31" s="122">
        <f>SUM(Y14:Y29)</f>
        <v>507.04491</v>
      </c>
      <c r="Z31" s="122">
        <f>Y31/X31*100</f>
        <v>70.44247151986663</v>
      </c>
      <c r="AA31" s="122">
        <f>SUM(AA14:AA29)</f>
        <v>5603.19084</v>
      </c>
      <c r="AB31" s="122">
        <f>SUM(AB14:AB29)</f>
        <v>5596.260470000001</v>
      </c>
      <c r="AC31" s="122">
        <f>AB31/AA31*100</f>
        <v>99.87631386833151</v>
      </c>
      <c r="AD31" s="122">
        <f>SUM(AD14:AD29)</f>
        <v>16257</v>
      </c>
      <c r="AE31" s="122">
        <f>SUM(AE14:AE29)</f>
        <v>16538.533509999997</v>
      </c>
      <c r="AF31" s="122">
        <f>AE31/AD31*100</f>
        <v>101.73176791535951</v>
      </c>
      <c r="AG31" s="121">
        <f>SUM(AG14:AG29)</f>
        <v>118</v>
      </c>
      <c r="AH31" s="122">
        <f>SUM(AH14:AH29)</f>
        <v>61.265</v>
      </c>
      <c r="AI31" s="79">
        <f>AH31/AG31*100</f>
        <v>51.91949152542373</v>
      </c>
      <c r="AJ31" s="122">
        <f>AJ14+AJ15+AJ16+AJ17+AJ18+AJ19+AJ20+AJ21+AJ22+AJ23+AJ24+AJ25+AJ26+AJ27+AJ28+AJ29</f>
        <v>0</v>
      </c>
      <c r="AK31" s="122">
        <f>AK14+AK15+AK16+AK17+AK18+AK19+AK20+AK21+AK22+AK23+AK24+AK25+AK26+AK27+AK28+AK29</f>
        <v>0</v>
      </c>
      <c r="AL31" s="79" t="e">
        <f>AK31/AJ31*100</f>
        <v>#DIV/0!</v>
      </c>
      <c r="AM31" s="122">
        <f>SUM(AM14:AM29)</f>
        <v>0</v>
      </c>
      <c r="AN31" s="122">
        <f>SUM(AN14:AN29)</f>
        <v>0</v>
      </c>
      <c r="AO31" s="122" t="e">
        <f>AN31/AM31*100</f>
        <v>#DIV/0!</v>
      </c>
      <c r="AP31" s="122">
        <f>SUM(AP14:AP29)</f>
        <v>2485.3999999999996</v>
      </c>
      <c r="AQ31" s="122">
        <f>SUM(AQ14:AQ29)</f>
        <v>3503.35048</v>
      </c>
      <c r="AR31" s="122">
        <f>AQ31/AP31*100</f>
        <v>140.9572093023256</v>
      </c>
      <c r="AS31" s="122">
        <f>SUM(AS14:AS29)</f>
        <v>390.79999999999995</v>
      </c>
      <c r="AT31" s="122">
        <f>SUM(AT14:AT29)</f>
        <v>478.67015999999995</v>
      </c>
      <c r="AU31" s="122">
        <f>AT31/AS31*100</f>
        <v>122.4846878198567</v>
      </c>
      <c r="AV31" s="122">
        <f>SUM(AV14:AV29)</f>
        <v>0</v>
      </c>
      <c r="AW31" s="122">
        <f>SUM(AW14:AW29)</f>
        <v>0</v>
      </c>
      <c r="AX31" s="122" t="e">
        <f>AW31/AV31*100</f>
        <v>#DIV/0!</v>
      </c>
      <c r="AY31" s="122">
        <f>SUM(AY14:AY29)</f>
        <v>925</v>
      </c>
      <c r="AZ31" s="122">
        <f>SUM(AZ14:AZ29)</f>
        <v>1306.54531</v>
      </c>
      <c r="BA31" s="79">
        <f t="shared" si="20"/>
        <v>141.2481416216216</v>
      </c>
      <c r="BB31" s="79">
        <f>SUM(BB14:BB29)</f>
        <v>0</v>
      </c>
      <c r="BC31" s="79">
        <f>SUM(BC14:BC29)</f>
        <v>0</v>
      </c>
      <c r="BD31" s="79" t="e">
        <f>BC31/BB31*100</f>
        <v>#DIV/0!</v>
      </c>
      <c r="BE31" s="123">
        <f>SUM(BE14:BE29)</f>
        <v>179.65564</v>
      </c>
      <c r="BF31" s="122">
        <f>SUM(BF14:BF29)</f>
        <v>494.18884</v>
      </c>
      <c r="BG31" s="122">
        <f>BF31/BE31*100</f>
        <v>275.07560575331786</v>
      </c>
      <c r="BH31" s="122">
        <f>SUM(BH14:BH29)</f>
        <v>0</v>
      </c>
      <c r="BI31" s="122">
        <f>SUM(BI14:BI29)</f>
        <v>0</v>
      </c>
      <c r="BJ31" s="122" t="e">
        <f>BI31/BH31*100</f>
        <v>#DIV/0!</v>
      </c>
      <c r="BK31" s="122">
        <f>SUM(BK14:BK29)</f>
        <v>0</v>
      </c>
      <c r="BL31" s="122">
        <f>BL15+BL27+BL28+BL19+BL22+BL26+BL18</f>
        <v>12.0024</v>
      </c>
      <c r="BM31" s="122" t="e">
        <f>BL31/BK31*100</f>
        <v>#DIV/0!</v>
      </c>
      <c r="BN31" s="122">
        <f>BN14+BN15+BN16+BN17+BN18+BN19+BN20+BN21+BN22+BN23+BN24+BN25+BN26+BN27+BN28+BN29</f>
        <v>0</v>
      </c>
      <c r="BO31" s="122">
        <f>BO14+BO15+BO16+BO17+BO18+BO19+BO20+BO21+BO22+BO23+BO24+BO25+BO26+BO27+BO28+BO29</f>
        <v>388.737</v>
      </c>
      <c r="BP31" s="125" t="e">
        <f>BO31/BN31*100</f>
        <v>#DIV/0!</v>
      </c>
      <c r="BQ31" s="122">
        <f>SUM(BQ14:BQ29)</f>
        <v>0</v>
      </c>
      <c r="BR31" s="122">
        <f>SUM(BR14:BR29)</f>
        <v>-7.485150000000001</v>
      </c>
      <c r="BS31" s="122" t="e">
        <f>BR31/BQ31*100</f>
        <v>#DIV/0!</v>
      </c>
      <c r="BT31" s="122">
        <f>SUM(BT14:BT29)</f>
        <v>0</v>
      </c>
      <c r="BU31" s="122"/>
      <c r="BV31" s="122" t="e">
        <f aca="true" t="shared" si="59" ref="BV31:CA31">SUM(BV14:BV29)</f>
        <v>#DIV/0!</v>
      </c>
      <c r="BW31" s="122">
        <f t="shared" si="59"/>
        <v>0</v>
      </c>
      <c r="BX31" s="122">
        <f t="shared" si="59"/>
        <v>0</v>
      </c>
      <c r="BY31" s="126" t="e">
        <f t="shared" si="59"/>
        <v>#DIV/0!</v>
      </c>
      <c r="BZ31" s="123">
        <f t="shared" si="59"/>
        <v>191272.60457999996</v>
      </c>
      <c r="CA31" s="122">
        <f t="shared" si="59"/>
        <v>176978.47885</v>
      </c>
      <c r="CB31" s="122">
        <f>CA31/BZ31*100</f>
        <v>92.52683061362224</v>
      </c>
      <c r="CC31" s="122">
        <f>SUM(CC14:CC29)</f>
        <v>53535.399999999994</v>
      </c>
      <c r="CD31" s="122">
        <f>SUM(CD14:CD29)</f>
        <v>53535.399999999994</v>
      </c>
      <c r="CE31" s="122">
        <f>CD31/CC31*100</f>
        <v>100</v>
      </c>
      <c r="CF31" s="123">
        <f>SUM(CF14:CF29)</f>
        <v>0</v>
      </c>
      <c r="CG31" s="127">
        <f>SUM(CG14:CG29)</f>
        <v>0</v>
      </c>
      <c r="CH31" s="127" t="e">
        <f>CG31/CF31*100</f>
        <v>#DIV/0!</v>
      </c>
      <c r="CI31" s="128">
        <f>SUM(CI14:CI29)</f>
        <v>93436.15706999999</v>
      </c>
      <c r="CJ31" s="122">
        <f>SUM(CJ14:CJ29)</f>
        <v>80993.65026999998</v>
      </c>
      <c r="CK31" s="122">
        <f>CJ31/CI31*100</f>
        <v>86.68341336996727</v>
      </c>
      <c r="CL31" s="122">
        <f>SUM(CL14:CL29)</f>
        <v>9706.412049999999</v>
      </c>
      <c r="CM31" s="122">
        <f>SUM(CM14:CM29)</f>
        <v>9706.39865</v>
      </c>
      <c r="CN31" s="122">
        <f>CM31/CL31*100</f>
        <v>99.99986194692816</v>
      </c>
      <c r="CO31" s="128">
        <f>SUM(CO14:CO29)</f>
        <v>29899.51741</v>
      </c>
      <c r="CP31" s="129">
        <f>SUM(CP14:CP29)</f>
        <v>28849.847360000003</v>
      </c>
      <c r="CQ31" s="122">
        <f>CP31/CO31*100</f>
        <v>96.4893411635837</v>
      </c>
      <c r="CR31" s="122">
        <f>SUM(CR14:CR29)</f>
        <v>4695.118050000001</v>
      </c>
      <c r="CS31" s="122">
        <f>SUM(CS14:CS29)</f>
        <v>4363.794040000001</v>
      </c>
      <c r="CT31" s="122">
        <f>CS31/CR31*100</f>
        <v>92.94322301438193</v>
      </c>
      <c r="CU31" s="122">
        <f>SUM(CU14:CU29)</f>
        <v>0</v>
      </c>
      <c r="CV31" s="122">
        <f>SUM(CV14:CV29)</f>
        <v>-470.61146999999994</v>
      </c>
      <c r="CW31" s="122" t="e">
        <f>CV31/CU31*100</f>
        <v>#DIV/0!</v>
      </c>
      <c r="CX31" s="122">
        <f>SUM(CX14:CX29)</f>
        <v>0</v>
      </c>
      <c r="CY31" s="122">
        <f>SUM(CY14:CY29)</f>
        <v>0</v>
      </c>
      <c r="CZ31" s="122" t="e">
        <f>CY31/CX31*100</f>
        <v>#DIV/0!</v>
      </c>
      <c r="DA31" s="122">
        <f>DA14+DA15+DA16+DA17+DA18+DA19+DA20+DA21+DA22+DA23+DA24+DA25+DA26+DA27+DA28+DA29</f>
        <v>0</v>
      </c>
      <c r="DB31" s="122">
        <f>DB14+DB15+DB16+DB17+DB18+DB19+DB20+DB21+DB22+DB23+DB24+DB25+DB26+DB27+DB28+DB29</f>
        <v>0</v>
      </c>
      <c r="DC31" s="122" t="e">
        <f>DB31/DA31*100</f>
        <v>#DIV/0!</v>
      </c>
      <c r="DD31" s="122">
        <f>DD14+DD15+DD16+DD17+DD18+DD19+DD20+DD21+DD22+DD23+DD24+DD25+DD26+DD27+DD28+DD29</f>
        <v>0</v>
      </c>
      <c r="DE31" s="122">
        <f>DE14+DE15+DE16+DE17+DE18+DE19+DE20+DE21+DE22+DE23+DE24+DE25+DE26+DE27+DE28+DE29</f>
        <v>0</v>
      </c>
      <c r="DF31" s="122">
        <v>0</v>
      </c>
      <c r="DG31" s="123">
        <f>SUM(DG14:DG29)</f>
        <v>240934.90527999995</v>
      </c>
      <c r="DH31" s="123">
        <f>SUM(DH14:DH29)</f>
        <v>218889.45347</v>
      </c>
      <c r="DI31" s="122">
        <f>DH31/DG31*100</f>
        <v>90.8500381941836</v>
      </c>
      <c r="DJ31" s="123">
        <f>SUM(DJ14:DJ29)</f>
        <v>30306.639860000003</v>
      </c>
      <c r="DK31" s="123">
        <f>SUM(DK14:DK29)</f>
        <v>29018.790240000002</v>
      </c>
      <c r="DL31" s="122">
        <f>DK31/DJ31*100</f>
        <v>95.7506024226072</v>
      </c>
      <c r="DM31" s="122">
        <f>SUM(DM14:DM29)</f>
        <v>28876.378630000007</v>
      </c>
      <c r="DN31" s="123">
        <f>SUM(DN14:DN29)</f>
        <v>28112.076010000004</v>
      </c>
      <c r="DO31" s="122">
        <f>DN31/DM31*100</f>
        <v>97.35319089075124</v>
      </c>
      <c r="DP31" s="122">
        <f>SUM(DP14:DP29)</f>
        <v>112.58</v>
      </c>
      <c r="DQ31" s="122">
        <f>SUM(DQ14:DQ29)</f>
        <v>112.58</v>
      </c>
      <c r="DR31" s="122">
        <f>DQ31/DP31*100</f>
        <v>100</v>
      </c>
      <c r="DS31" s="123">
        <f>SUM(DS14:DS29)</f>
        <v>434.79699999999997</v>
      </c>
      <c r="DT31" s="122">
        <f>SUM(DT14:DT29)</f>
        <v>0</v>
      </c>
      <c r="DU31" s="122">
        <f>DT31/DS31*100</f>
        <v>0</v>
      </c>
      <c r="DV31" s="122">
        <f>SUM(DV14:DV29)</f>
        <v>882.88423</v>
      </c>
      <c r="DW31" s="122">
        <f>SUM(DW14:DW29)</f>
        <v>794.13423</v>
      </c>
      <c r="DX31" s="79">
        <f>DW31/DV31*100</f>
        <v>89.94771941956648</v>
      </c>
      <c r="DY31" s="122">
        <f>SUM(DY14:DY29)</f>
        <v>2384.6</v>
      </c>
      <c r="DZ31" s="123">
        <f>SUM(DZ14:DZ29)</f>
        <v>2384.6</v>
      </c>
      <c r="EA31" s="122">
        <f>DZ31/DY31*100</f>
        <v>100</v>
      </c>
      <c r="EB31" s="123">
        <f>SUM(EB14:EB29)</f>
        <v>522.49611</v>
      </c>
      <c r="EC31" s="123">
        <f>SUM(EC14:EC29)</f>
        <v>423.94501999999994</v>
      </c>
      <c r="ED31" s="79">
        <f>EC31/EB31*100</f>
        <v>81.13840694431197</v>
      </c>
      <c r="EE31" s="122">
        <f>SUM(EE14:EE29)</f>
        <v>47177.37410000001</v>
      </c>
      <c r="EF31" s="123">
        <f>SUM(EF14:EF29)</f>
        <v>44501.36464</v>
      </c>
      <c r="EG31" s="122">
        <f>EF31/EE31*100</f>
        <v>94.32776937875394</v>
      </c>
      <c r="EH31" s="122">
        <f>SUM(EH14:EH29)</f>
        <v>129645.73046</v>
      </c>
      <c r="EI31" s="123">
        <f>SUM(EI14:EI29)</f>
        <v>112711.52609</v>
      </c>
      <c r="EJ31" s="122">
        <f>EI31/EH31*100</f>
        <v>86.93809328705602</v>
      </c>
      <c r="EK31" s="130">
        <f>SUM(EK14:EK29)</f>
        <v>30576.652769999997</v>
      </c>
      <c r="EL31" s="123">
        <f>SUM(EL14:EL29)</f>
        <v>29637.885480000004</v>
      </c>
      <c r="EM31" s="122">
        <f>EL31/EK31*100</f>
        <v>96.92979052657766</v>
      </c>
      <c r="EN31" s="123">
        <f>SUM(EN14:EN29)</f>
        <v>10</v>
      </c>
      <c r="EO31" s="123">
        <f>SUM(EO14:EO29)</f>
        <v>10</v>
      </c>
      <c r="EP31" s="122">
        <f>EO31/EN31*100</f>
        <v>100</v>
      </c>
      <c r="EQ31" s="122">
        <f>SUM(EQ14:EQ29)</f>
        <v>311.41197999999997</v>
      </c>
      <c r="ER31" s="122">
        <f>SUM(ER14:ER29)</f>
        <v>201.34200000000004</v>
      </c>
      <c r="ES31" s="122">
        <f>ER31/EQ31*100</f>
        <v>64.65454540316658</v>
      </c>
      <c r="ET31" s="122">
        <f>SUM(ET14:ET29)</f>
        <v>0</v>
      </c>
      <c r="EU31" s="121">
        <f>SUM(EU14:EU29)</f>
        <v>0</v>
      </c>
      <c r="EV31" s="79" t="e">
        <f>EU31/ET31*100</f>
        <v>#DIV/0!</v>
      </c>
      <c r="EW31" s="130">
        <f>SUM(EW14:EW29)</f>
        <v>-7741.147810000017</v>
      </c>
      <c r="EX31" s="128">
        <f>SUM(EX14:EX29)</f>
        <v>3686.7240799999945</v>
      </c>
      <c r="EY31" s="79">
        <f t="shared" si="54"/>
        <v>-47.625031461580974</v>
      </c>
    </row>
    <row r="32" spans="3:154" s="132" customFormat="1" ht="27.75" customHeight="1">
      <c r="C32" s="133">
        <v>233193.75747</v>
      </c>
      <c r="D32" s="133">
        <v>222576.17755</v>
      </c>
      <c r="E32" s="133"/>
      <c r="F32" s="133">
        <v>41921.15289</v>
      </c>
      <c r="G32" s="133">
        <v>45597.6987</v>
      </c>
      <c r="H32" s="133"/>
      <c r="I32" s="133">
        <v>6108.60641</v>
      </c>
      <c r="J32" s="133">
        <v>6596.92165</v>
      </c>
      <c r="K32" s="133"/>
      <c r="L32" s="133">
        <v>3399.74</v>
      </c>
      <c r="M32" s="133">
        <v>4678.3043</v>
      </c>
      <c r="N32" s="133"/>
      <c r="O32" s="133">
        <v>36.06</v>
      </c>
      <c r="P32" s="133">
        <v>32.90125</v>
      </c>
      <c r="Q32" s="133"/>
      <c r="R32" s="133">
        <v>5697.9</v>
      </c>
      <c r="S32" s="133">
        <v>6220.23191</v>
      </c>
      <c r="T32" s="133"/>
      <c r="U32" s="133" t="e">
        <f>NA()</f>
        <v>#N/A</v>
      </c>
      <c r="V32" s="133">
        <v>-797.77094</v>
      </c>
      <c r="W32" s="133"/>
      <c r="X32" s="133">
        <v>719.8</v>
      </c>
      <c r="Y32" s="133">
        <v>507.04491</v>
      </c>
      <c r="Z32" s="133"/>
      <c r="AA32" s="133">
        <v>5603.19084</v>
      </c>
      <c r="AB32" s="133">
        <v>5596.26047</v>
      </c>
      <c r="AC32" s="133"/>
      <c r="AD32" s="133">
        <v>16257</v>
      </c>
      <c r="AE32" s="133">
        <v>16538.53351</v>
      </c>
      <c r="AF32" s="133"/>
      <c r="AG32" s="133">
        <v>118</v>
      </c>
      <c r="AH32" s="133">
        <v>61.265</v>
      </c>
      <c r="AI32" s="133"/>
      <c r="AJ32" s="133" t="e">
        <f>NA()</f>
        <v>#N/A</v>
      </c>
      <c r="AK32" s="133" t="e">
        <f>NA()</f>
        <v>#N/A</v>
      </c>
      <c r="AL32" s="133"/>
      <c r="AM32" s="133" t="e">
        <f>NA()</f>
        <v>#N/A</v>
      </c>
      <c r="AN32" s="133" t="e">
        <f>NA()</f>
        <v>#N/A</v>
      </c>
      <c r="AO32" s="133"/>
      <c r="AP32" s="133">
        <v>2485.4</v>
      </c>
      <c r="AQ32" s="133">
        <v>3503.35048</v>
      </c>
      <c r="AR32" s="133"/>
      <c r="AS32" s="133">
        <v>390.8</v>
      </c>
      <c r="AT32" s="133">
        <v>478.67016</v>
      </c>
      <c r="AU32" s="133"/>
      <c r="AV32" s="133" t="e">
        <f>NA()</f>
        <v>#N/A</v>
      </c>
      <c r="AW32" s="133" t="e">
        <f>NA()</f>
        <v>#N/A</v>
      </c>
      <c r="AX32" s="133" t="e">
        <f>NA()</f>
        <v>#N/A</v>
      </c>
      <c r="AY32" s="133">
        <v>925</v>
      </c>
      <c r="AZ32" s="133">
        <v>1306.54531</v>
      </c>
      <c r="BA32" s="133"/>
      <c r="BB32" s="133" t="e">
        <f>NA()</f>
        <v>#N/A</v>
      </c>
      <c r="BC32" s="133" t="e">
        <f>NA()</f>
        <v>#N/A</v>
      </c>
      <c r="BD32" s="133" t="e">
        <f>NA()</f>
        <v>#N/A</v>
      </c>
      <c r="BE32" s="133">
        <v>179.65564</v>
      </c>
      <c r="BF32" s="133">
        <v>494.18884</v>
      </c>
      <c r="BG32" s="133"/>
      <c r="BH32" s="133" t="e">
        <f>NA()</f>
        <v>#N/A</v>
      </c>
      <c r="BI32" s="133" t="e">
        <f>NA()</f>
        <v>#N/A</v>
      </c>
      <c r="BJ32" s="133" t="e">
        <f>NA()</f>
        <v>#N/A</v>
      </c>
      <c r="BK32" s="133" t="e">
        <f>NA()</f>
        <v>#N/A</v>
      </c>
      <c r="BL32" s="133" t="e">
        <f>NA()</f>
        <v>#N/A</v>
      </c>
      <c r="BM32" s="133" t="e">
        <f>NA()</f>
        <v>#N/A</v>
      </c>
      <c r="BN32" s="133">
        <v>0</v>
      </c>
      <c r="BO32" s="133">
        <v>388.737</v>
      </c>
      <c r="BP32" s="133"/>
      <c r="BQ32" s="133" t="e">
        <f>NA()</f>
        <v>#N/A</v>
      </c>
      <c r="BR32" s="133">
        <v>-7.48515</v>
      </c>
      <c r="BS32" s="133"/>
      <c r="BT32" s="133" t="e">
        <f>NA()</f>
        <v>#N/A</v>
      </c>
      <c r="BU32" s="133" t="e">
        <f>NA()</f>
        <v>#N/A</v>
      </c>
      <c r="BV32" s="133" t="e">
        <f>NA()</f>
        <v>#N/A</v>
      </c>
      <c r="BW32" s="133" t="e">
        <f>NA()</f>
        <v>#N/A</v>
      </c>
      <c r="BX32" s="133" t="e">
        <f>NA()</f>
        <v>#N/A</v>
      </c>
      <c r="BY32" s="133" t="e">
        <f>NA()</f>
        <v>#N/A</v>
      </c>
      <c r="BZ32" s="133">
        <v>191272.60458</v>
      </c>
      <c r="CA32" s="133">
        <v>176978.47885</v>
      </c>
      <c r="CB32" s="133"/>
      <c r="CC32" s="133">
        <v>53535.4</v>
      </c>
      <c r="CD32" s="133">
        <v>53535.4</v>
      </c>
      <c r="CE32" s="133"/>
      <c r="CF32" s="133">
        <v>0</v>
      </c>
      <c r="CG32" s="133">
        <v>0</v>
      </c>
      <c r="CH32" s="133"/>
      <c r="CI32" s="133">
        <v>93436.15707</v>
      </c>
      <c r="CJ32" s="133">
        <v>80993.65027</v>
      </c>
      <c r="CK32" s="133"/>
      <c r="CL32" s="133">
        <v>9706.41205</v>
      </c>
      <c r="CM32" s="133">
        <v>9706.39865</v>
      </c>
      <c r="CN32" s="133"/>
      <c r="CO32" s="133">
        <v>29899.51741</v>
      </c>
      <c r="CP32" s="133">
        <v>28849.84736</v>
      </c>
      <c r="CQ32" s="133"/>
      <c r="CR32" s="133">
        <v>4695.11805</v>
      </c>
      <c r="CS32" s="133">
        <v>4363.79404</v>
      </c>
      <c r="CT32" s="133"/>
      <c r="CU32" s="133" t="e">
        <f>NA()</f>
        <v>#N/A</v>
      </c>
      <c r="CV32" s="133">
        <v>-470.61147</v>
      </c>
      <c r="CW32" s="133"/>
      <c r="CX32" s="133" t="e">
        <f>NA()</f>
        <v>#N/A</v>
      </c>
      <c r="CY32" s="133" t="e">
        <f>NA()</f>
        <v>#N/A</v>
      </c>
      <c r="CZ32" s="133" t="e">
        <f>NA()</f>
        <v>#N/A</v>
      </c>
      <c r="DA32" s="133" t="e">
        <f>NA()</f>
        <v>#N/A</v>
      </c>
      <c r="DB32" s="133" t="e">
        <f>NA()</f>
        <v>#N/A</v>
      </c>
      <c r="DC32" s="133" t="e">
        <f>NA()</f>
        <v>#N/A</v>
      </c>
      <c r="DD32" s="133" t="e">
        <f>NA()</f>
        <v>#N/A</v>
      </c>
      <c r="DE32" s="133" t="e">
        <f>NA()</f>
        <v>#N/A</v>
      </c>
      <c r="DF32" s="133"/>
      <c r="DG32" s="133">
        <v>240934.88828</v>
      </c>
      <c r="DH32" s="133">
        <v>218889.45347</v>
      </c>
      <c r="DI32" s="133"/>
      <c r="DJ32" s="133">
        <v>30306.63986</v>
      </c>
      <c r="DK32" s="133">
        <v>29018.79024</v>
      </c>
      <c r="DL32" s="133"/>
      <c r="DM32" s="133">
        <v>28876.37863</v>
      </c>
      <c r="DN32" s="133">
        <v>28112.07601</v>
      </c>
      <c r="DO32" s="133"/>
      <c r="DP32" s="133">
        <v>112.58</v>
      </c>
      <c r="DQ32" s="133">
        <v>112.58</v>
      </c>
      <c r="DR32" s="133"/>
      <c r="DS32" s="133">
        <v>434.797</v>
      </c>
      <c r="DT32" s="133" t="e">
        <f>NA()</f>
        <v>#N/A</v>
      </c>
      <c r="DU32" s="133"/>
      <c r="DV32" s="133">
        <v>882.88423</v>
      </c>
      <c r="DW32" s="133">
        <v>794.13423</v>
      </c>
      <c r="DX32" s="133"/>
      <c r="DY32" s="133">
        <v>2384.6</v>
      </c>
      <c r="DZ32" s="133">
        <v>2384.6</v>
      </c>
      <c r="EA32" s="133"/>
      <c r="EB32" s="133">
        <v>522.49611</v>
      </c>
      <c r="EC32" s="133">
        <v>423.94502</v>
      </c>
      <c r="ED32" s="133"/>
      <c r="EE32" s="133">
        <v>47177.3741</v>
      </c>
      <c r="EF32" s="133">
        <v>44501.36464</v>
      </c>
      <c r="EG32" s="133"/>
      <c r="EH32" s="133">
        <v>129645.73046</v>
      </c>
      <c r="EI32" s="133">
        <v>112711.52609</v>
      </c>
      <c r="EJ32" s="133"/>
      <c r="EK32" s="133">
        <v>30576.65277</v>
      </c>
      <c r="EL32" s="133">
        <v>29637.88548</v>
      </c>
      <c r="EM32" s="133"/>
      <c r="EN32" s="133">
        <v>10</v>
      </c>
      <c r="EO32" s="133">
        <v>10</v>
      </c>
      <c r="EP32" s="133"/>
      <c r="EQ32" s="133">
        <v>311.41198</v>
      </c>
      <c r="ER32" s="133">
        <v>201.342</v>
      </c>
      <c r="ES32" s="133"/>
      <c r="ET32" s="133" t="e">
        <f>NA()</f>
        <v>#N/A</v>
      </c>
      <c r="EU32" s="133" t="e">
        <f>NA()</f>
        <v>#N/A</v>
      </c>
      <c r="EV32" s="133"/>
      <c r="EW32" s="133">
        <v>-7741.14781</v>
      </c>
      <c r="EX32" s="133">
        <v>3686.72408</v>
      </c>
    </row>
    <row r="33" spans="3:155" ht="15">
      <c r="C33" s="133">
        <f>C32-C31</f>
        <v>0</v>
      </c>
      <c r="D33" s="133">
        <f>D32-D31</f>
        <v>0</v>
      </c>
      <c r="E33" s="133"/>
      <c r="F33" s="133">
        <f>F32-F31</f>
        <v>0</v>
      </c>
      <c r="G33" s="133">
        <f>G32-G31</f>
        <v>0</v>
      </c>
      <c r="H33" s="133"/>
      <c r="I33" s="133">
        <f>I32-I31</f>
        <v>0</v>
      </c>
      <c r="J33" s="133">
        <f>J32-J31</f>
        <v>0</v>
      </c>
      <c r="K33" s="133"/>
      <c r="L33" s="133">
        <f>L32-L31</f>
        <v>0</v>
      </c>
      <c r="M33" s="133">
        <f>M32-M31</f>
        <v>0</v>
      </c>
      <c r="N33" s="133"/>
      <c r="O33" s="133">
        <f>O32-O31</f>
        <v>0</v>
      </c>
      <c r="P33" s="133">
        <f>P32-P31</f>
        <v>0</v>
      </c>
      <c r="Q33" s="133"/>
      <c r="R33" s="133">
        <f>R32-R31</f>
        <v>0</v>
      </c>
      <c r="S33" s="133">
        <f>S32-S31</f>
        <v>0</v>
      </c>
      <c r="T33" s="133"/>
      <c r="U33" s="133" t="e">
        <f>U32-U31</f>
        <v>#N/A</v>
      </c>
      <c r="V33" s="133">
        <f>V32-V31</f>
        <v>0</v>
      </c>
      <c r="W33" s="133"/>
      <c r="X33" s="133">
        <f>X32-X31</f>
        <v>0</v>
      </c>
      <c r="Y33" s="133">
        <f>SUM(Y32-Y31)</f>
        <v>0</v>
      </c>
      <c r="Z33" s="133"/>
      <c r="AA33" s="133">
        <f>AA32-AA31</f>
        <v>0</v>
      </c>
      <c r="AB33" s="133">
        <f>AB32-AB31</f>
        <v>0</v>
      </c>
      <c r="AC33" s="133"/>
      <c r="AD33" s="133">
        <f>AD32-AD31</f>
        <v>0</v>
      </c>
      <c r="AE33" s="133">
        <f>AE32-AE31</f>
        <v>0</v>
      </c>
      <c r="AF33" s="133"/>
      <c r="AG33" s="133">
        <f>AG32-AG31</f>
        <v>0</v>
      </c>
      <c r="AH33" s="133">
        <f>AH32-AH31</f>
        <v>0</v>
      </c>
      <c r="AI33" s="133"/>
      <c r="AJ33" s="133" t="e">
        <f aca="true" t="shared" si="60" ref="AJ33:AQ33">AJ32-AJ31</f>
        <v>#N/A</v>
      </c>
      <c r="AK33" s="133" t="e">
        <f t="shared" si="60"/>
        <v>#N/A</v>
      </c>
      <c r="AL33" s="133" t="e">
        <f t="shared" si="60"/>
        <v>#DIV/0!</v>
      </c>
      <c r="AM33" s="133" t="e">
        <f t="shared" si="60"/>
        <v>#N/A</v>
      </c>
      <c r="AN33" s="133" t="e">
        <f t="shared" si="60"/>
        <v>#N/A</v>
      </c>
      <c r="AO33" s="133" t="e">
        <f t="shared" si="60"/>
        <v>#DIV/0!</v>
      </c>
      <c r="AP33" s="133">
        <f t="shared" si="60"/>
        <v>0</v>
      </c>
      <c r="AQ33" s="133">
        <f t="shared" si="60"/>
        <v>0</v>
      </c>
      <c r="AR33" s="133"/>
      <c r="AS33" s="133">
        <f>AS32-AS31</f>
        <v>0</v>
      </c>
      <c r="AT33" s="133">
        <f>AT32-AT31</f>
        <v>0</v>
      </c>
      <c r="AU33" s="133"/>
      <c r="AV33" s="133" t="e">
        <f>AV32-AV31</f>
        <v>#N/A</v>
      </c>
      <c r="AW33" s="133" t="e">
        <f>AW32-AW31</f>
        <v>#N/A</v>
      </c>
      <c r="AX33" s="133" t="e">
        <f>AX32-AX31</f>
        <v>#N/A</v>
      </c>
      <c r="AY33" s="133">
        <f>AY32-AY31</f>
        <v>0</v>
      </c>
      <c r="AZ33" s="133">
        <f>AZ32-AZ31</f>
        <v>0</v>
      </c>
      <c r="BA33" s="133"/>
      <c r="BB33" s="133" t="e">
        <f>BB32-BB31</f>
        <v>#N/A</v>
      </c>
      <c r="BC33" s="133" t="e">
        <f>BC32-BC31</f>
        <v>#N/A</v>
      </c>
      <c r="BD33" s="133" t="e">
        <f>BD32-BD31</f>
        <v>#N/A</v>
      </c>
      <c r="BE33" s="133">
        <f>BE32-BE31</f>
        <v>0</v>
      </c>
      <c r="BF33" s="133">
        <f>BF32-BF31</f>
        <v>0</v>
      </c>
      <c r="BG33" s="133"/>
      <c r="BH33" s="133" t="e">
        <f aca="true" t="shared" si="61" ref="BH33:BO33">BH32-BH31</f>
        <v>#N/A</v>
      </c>
      <c r="BI33" s="133" t="e">
        <f t="shared" si="61"/>
        <v>#N/A</v>
      </c>
      <c r="BJ33" s="133" t="e">
        <f t="shared" si="61"/>
        <v>#N/A</v>
      </c>
      <c r="BK33" s="133" t="e">
        <f t="shared" si="61"/>
        <v>#N/A</v>
      </c>
      <c r="BL33" s="133" t="e">
        <f t="shared" si="61"/>
        <v>#N/A</v>
      </c>
      <c r="BM33" s="133" t="e">
        <f t="shared" si="61"/>
        <v>#N/A</v>
      </c>
      <c r="BN33" s="133">
        <f t="shared" si="61"/>
        <v>0</v>
      </c>
      <c r="BO33" s="133">
        <f t="shared" si="61"/>
        <v>0</v>
      </c>
      <c r="BP33" s="133"/>
      <c r="BQ33" s="133" t="e">
        <f>BQ32-BQ31</f>
        <v>#N/A</v>
      </c>
      <c r="BR33" s="133">
        <f>BR32-BR31</f>
        <v>0</v>
      </c>
      <c r="BS33" s="133"/>
      <c r="BT33" s="133" t="e">
        <f aca="true" t="shared" si="62" ref="BT33:CA33">BT32-BT31</f>
        <v>#N/A</v>
      </c>
      <c r="BU33" s="133" t="e">
        <f t="shared" si="62"/>
        <v>#N/A</v>
      </c>
      <c r="BV33" s="133" t="e">
        <f t="shared" si="62"/>
        <v>#N/A</v>
      </c>
      <c r="BW33" s="133" t="e">
        <f t="shared" si="62"/>
        <v>#N/A</v>
      </c>
      <c r="BX33" s="133" t="e">
        <f t="shared" si="62"/>
        <v>#N/A</v>
      </c>
      <c r="BY33" s="133" t="e">
        <f t="shared" si="62"/>
        <v>#N/A</v>
      </c>
      <c r="BZ33" s="133">
        <f t="shared" si="62"/>
        <v>0</v>
      </c>
      <c r="CA33" s="133">
        <f t="shared" si="62"/>
        <v>0</v>
      </c>
      <c r="CB33" s="133"/>
      <c r="CC33" s="133">
        <f>CC32-CC31</f>
        <v>0</v>
      </c>
      <c r="CD33" s="133">
        <f>CD32-CD31</f>
        <v>0</v>
      </c>
      <c r="CE33" s="133"/>
      <c r="CF33" s="133">
        <f>CF32-CF31</f>
        <v>0</v>
      </c>
      <c r="CG33" s="133">
        <f>CG32-CG31</f>
        <v>0</v>
      </c>
      <c r="CH33" s="133"/>
      <c r="CI33" s="133">
        <f>CI32-CI31</f>
        <v>0</v>
      </c>
      <c r="CJ33" s="133">
        <f>CJ32-CJ31</f>
        <v>0</v>
      </c>
      <c r="CK33" s="133"/>
      <c r="CL33" s="133">
        <f>CL32-CL31</f>
        <v>0</v>
      </c>
      <c r="CM33" s="133">
        <f>CM32-CM31</f>
        <v>0</v>
      </c>
      <c r="CN33" s="133"/>
      <c r="CO33" s="133">
        <f>CO32-CO31</f>
        <v>0</v>
      </c>
      <c r="CP33" s="133">
        <f>CP32-CP31</f>
        <v>0</v>
      </c>
      <c r="CQ33" s="133"/>
      <c r="CR33" s="133">
        <f>CR32-CR31</f>
        <v>0</v>
      </c>
      <c r="CS33" s="133">
        <f>CS32-CS31</f>
        <v>0</v>
      </c>
      <c r="CT33" s="133"/>
      <c r="CU33" s="133" t="e">
        <f>CU32-CU31</f>
        <v>#N/A</v>
      </c>
      <c r="CV33" s="133">
        <f>CV32-CV31</f>
        <v>0</v>
      </c>
      <c r="CW33" s="133"/>
      <c r="CX33" s="133" t="e">
        <f aca="true" t="shared" si="63" ref="CX33:DH33">CX32-CX31</f>
        <v>#N/A</v>
      </c>
      <c r="CY33" s="133" t="e">
        <f t="shared" si="63"/>
        <v>#N/A</v>
      </c>
      <c r="CZ33" s="133" t="e">
        <f t="shared" si="63"/>
        <v>#N/A</v>
      </c>
      <c r="DA33" s="133" t="e">
        <f t="shared" si="63"/>
        <v>#N/A</v>
      </c>
      <c r="DB33" s="133" t="e">
        <f t="shared" si="63"/>
        <v>#N/A</v>
      </c>
      <c r="DC33" s="133" t="e">
        <f t="shared" si="63"/>
        <v>#N/A</v>
      </c>
      <c r="DD33" s="133" t="e">
        <f t="shared" si="63"/>
        <v>#N/A</v>
      </c>
      <c r="DE33" s="133" t="e">
        <f t="shared" si="63"/>
        <v>#N/A</v>
      </c>
      <c r="DF33" s="133">
        <f t="shared" si="63"/>
        <v>0</v>
      </c>
      <c r="DG33" s="133">
        <f t="shared" si="63"/>
        <v>-0.01699999993434176</v>
      </c>
      <c r="DH33" s="133">
        <f t="shared" si="63"/>
        <v>0</v>
      </c>
      <c r="DI33" s="133"/>
      <c r="DJ33" s="133">
        <f>DJ32-DJ31</f>
        <v>0</v>
      </c>
      <c r="DK33" s="133">
        <f>DK32-DK31</f>
        <v>0</v>
      </c>
      <c r="DL33" s="133"/>
      <c r="DM33" s="133">
        <f>DM32-DM31</f>
        <v>0</v>
      </c>
      <c r="DN33" s="133">
        <f>DN32-DN31</f>
        <v>0</v>
      </c>
      <c r="DO33" s="133"/>
      <c r="DP33" s="133">
        <f>DP32-DP31</f>
        <v>0</v>
      </c>
      <c r="DQ33" s="133">
        <f>DQ32-DQ31</f>
        <v>0</v>
      </c>
      <c r="DR33" s="133"/>
      <c r="DS33" s="133">
        <f>DS32-DS31</f>
        <v>0</v>
      </c>
      <c r="DT33" s="133" t="e">
        <f>DT32-DT31</f>
        <v>#N/A</v>
      </c>
      <c r="DU33" s="133"/>
      <c r="DV33" s="133">
        <f>DV32-DV31</f>
        <v>0</v>
      </c>
      <c r="DW33" s="133">
        <f>DW32-DW31</f>
        <v>0</v>
      </c>
      <c r="DX33" s="133"/>
      <c r="DY33" s="133">
        <f>DY32-DY31</f>
        <v>0</v>
      </c>
      <c r="DZ33" s="133">
        <f>DZ32-DZ31</f>
        <v>0</v>
      </c>
      <c r="EA33" s="133"/>
      <c r="EB33" s="133">
        <f>EB32-EB31</f>
        <v>0</v>
      </c>
      <c r="EC33" s="133">
        <f>EC32-EC31</f>
        <v>0</v>
      </c>
      <c r="ED33" s="133"/>
      <c r="EE33" s="133">
        <f>EE32-EE31</f>
        <v>0</v>
      </c>
      <c r="EF33" s="133">
        <f>EF32-EF31</f>
        <v>0</v>
      </c>
      <c r="EG33" s="133"/>
      <c r="EH33" s="133">
        <f>EH32-EH31</f>
        <v>0</v>
      </c>
      <c r="EI33" s="133">
        <f>EI32-EI31</f>
        <v>0</v>
      </c>
      <c r="EJ33" s="133"/>
      <c r="EK33" s="133">
        <f>EK32-EK31</f>
        <v>0</v>
      </c>
      <c r="EL33" s="133">
        <f>EL32-EL31</f>
        <v>0</v>
      </c>
      <c r="EM33" s="133"/>
      <c r="EN33" s="133">
        <f>EN32-EN31</f>
        <v>0</v>
      </c>
      <c r="EO33" s="133">
        <f>EO32-EO31</f>
        <v>0</v>
      </c>
      <c r="EP33" s="133"/>
      <c r="EQ33" s="133">
        <f>EQ32-EQ31</f>
        <v>0</v>
      </c>
      <c r="ER33" s="133">
        <f>ER32-ER31</f>
        <v>0</v>
      </c>
      <c r="ES33" s="133"/>
      <c r="ET33" s="133" t="e">
        <f>ET32-ET31</f>
        <v>#N/A</v>
      </c>
      <c r="EU33" s="133" t="e">
        <f>EU32-EU31</f>
        <v>#N/A</v>
      </c>
      <c r="EV33" s="133"/>
      <c r="EW33" s="133">
        <f>EW32-EW31</f>
        <v>1.6370904631912708E-11</v>
      </c>
      <c r="EX33" s="133">
        <f>EX32-EX31</f>
        <v>5.4569682106375694E-12</v>
      </c>
      <c r="EY33" s="134"/>
    </row>
  </sheetData>
  <sheetProtection selectLockedCells="1" selectUnlockedCells="1"/>
  <mergeCells count="69">
    <mergeCell ref="A31:B31"/>
    <mergeCell ref="EQ9:ES11"/>
    <mergeCell ref="ET9:EV11"/>
    <mergeCell ref="DM11:DO11"/>
    <mergeCell ref="DP11:DR11"/>
    <mergeCell ref="DS11:DU11"/>
    <mergeCell ref="DV11:DX11"/>
    <mergeCell ref="DY9:EA11"/>
    <mergeCell ref="EB9:ED11"/>
    <mergeCell ref="EE9:EG11"/>
    <mergeCell ref="EH9:EJ11"/>
    <mergeCell ref="EK9:EM11"/>
    <mergeCell ref="EN9:EP11"/>
    <mergeCell ref="CR9:CT11"/>
    <mergeCell ref="CU9:CW11"/>
    <mergeCell ref="DA9:DC11"/>
    <mergeCell ref="DD9:DF11"/>
    <mergeCell ref="DJ9:DL11"/>
    <mergeCell ref="DM9:DX9"/>
    <mergeCell ref="BW9:BY11"/>
    <mergeCell ref="CC9:CE11"/>
    <mergeCell ref="CF9:CH11"/>
    <mergeCell ref="CI9:CK11"/>
    <mergeCell ref="CL9:CN11"/>
    <mergeCell ref="CO9:CQ11"/>
    <mergeCell ref="BE9:BG11"/>
    <mergeCell ref="BH9:BJ11"/>
    <mergeCell ref="BK9:BM11"/>
    <mergeCell ref="BN9:BP11"/>
    <mergeCell ref="BQ9:BS11"/>
    <mergeCell ref="BT9:BV11"/>
    <mergeCell ref="AM9:AO11"/>
    <mergeCell ref="AP9:AR11"/>
    <mergeCell ref="AS9:AU11"/>
    <mergeCell ref="AV9:AX11"/>
    <mergeCell ref="AY9:BA11"/>
    <mergeCell ref="BB9:BD11"/>
    <mergeCell ref="U9:W11"/>
    <mergeCell ref="X9:Z11"/>
    <mergeCell ref="AA9:AC11"/>
    <mergeCell ref="AD9:AF11"/>
    <mergeCell ref="AG9:AI11"/>
    <mergeCell ref="AJ9:AL11"/>
    <mergeCell ref="DJ7:EV7"/>
    <mergeCell ref="EW7:EY11"/>
    <mergeCell ref="F8:H11"/>
    <mergeCell ref="I8:AX8"/>
    <mergeCell ref="BZ8:CB11"/>
    <mergeCell ref="CC8:CN8"/>
    <mergeCell ref="CX8:CZ11"/>
    <mergeCell ref="DA8:DC8"/>
    <mergeCell ref="DD8:DF8"/>
    <mergeCell ref="DJ8:EV8"/>
    <mergeCell ref="B5:Z5"/>
    <mergeCell ref="I6:X6"/>
    <mergeCell ref="A7:A12"/>
    <mergeCell ref="B7:B12"/>
    <mergeCell ref="C7:E11"/>
    <mergeCell ref="DG7:DI11"/>
    <mergeCell ref="I9:K11"/>
    <mergeCell ref="L9:N11"/>
    <mergeCell ref="O9:Q11"/>
    <mergeCell ref="R9:T11"/>
    <mergeCell ref="X1:Z1"/>
    <mergeCell ref="AD1:AF1"/>
    <mergeCell ref="AD2:AF2"/>
    <mergeCell ref="X3:Z3"/>
    <mergeCell ref="AD3:AF3"/>
    <mergeCell ref="B4:Z4"/>
  </mergeCells>
  <printOptions/>
  <pageMargins left="0.7086614173228347" right="0.1968503937007874" top="0.7480314960629921" bottom="0.7480314960629921" header="0.5118110236220472" footer="0.5118110236220472"/>
  <pageSetup horizontalDpi="300" verticalDpi="300" orientation="landscape" paperSize="9" scale="40" r:id="rId1"/>
  <colBreaks count="6" manualBreakCount="6">
    <brk id="17" max="65535" man="1"/>
    <brk id="35" max="65535" man="1"/>
    <brk id="59" max="65535" man="1"/>
    <brk id="92" max="65535" man="1"/>
    <brk id="116" max="65535" man="1"/>
    <brk id="13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20"/>
  <sheetViews>
    <sheetView view="pageBreakPreview" zoomScaleSheetLayoutView="100" zoomScalePageLayoutView="0" workbookViewId="0" topLeftCell="A1">
      <selection activeCell="B100" sqref="B100"/>
    </sheetView>
  </sheetViews>
  <sheetFormatPr defaultColWidth="8.7109375" defaultRowHeight="12.75"/>
  <cols>
    <col min="1" max="16384" width="8.7109375" style="355" customWidth="1"/>
  </cols>
  <sheetData>
    <row r="1" spans="36:51" ht="12.75">
      <c r="AJ1" s="355" t="s">
        <v>373</v>
      </c>
      <c r="AO1" s="355" t="s">
        <v>374</v>
      </c>
      <c r="AP1" s="355" t="s">
        <v>375</v>
      </c>
      <c r="AS1" s="355" t="s">
        <v>376</v>
      </c>
      <c r="AW1" s="355">
        <v>187.4</v>
      </c>
      <c r="AX1" s="355" t="s">
        <v>377</v>
      </c>
      <c r="AY1" s="355" t="s">
        <v>378</v>
      </c>
    </row>
    <row r="2" spans="32:36" ht="12.75">
      <c r="AF2" s="355" t="s">
        <v>379</v>
      </c>
      <c r="AJ2" s="355" t="s">
        <v>380</v>
      </c>
    </row>
    <row r="3" spans="32:47" ht="12.75">
      <c r="AF3" s="355" t="s">
        <v>381</v>
      </c>
      <c r="AH3" s="355" t="s">
        <v>382</v>
      </c>
      <c r="AJ3" s="355" t="s">
        <v>381</v>
      </c>
      <c r="AN3" s="355" t="s">
        <v>382</v>
      </c>
      <c r="AO3" s="355" t="s">
        <v>382</v>
      </c>
      <c r="AP3" s="355" t="s">
        <v>382</v>
      </c>
      <c r="AS3" s="355" t="s">
        <v>383</v>
      </c>
      <c r="AT3" s="355" t="s">
        <v>384</v>
      </c>
      <c r="AU3" s="355" t="s">
        <v>385</v>
      </c>
    </row>
    <row r="4" spans="34:48" ht="12.75">
      <c r="AH4" s="355">
        <v>0</v>
      </c>
      <c r="AN4" s="355">
        <v>0</v>
      </c>
      <c r="AO4" s="355">
        <v>1088.66666666667</v>
      </c>
      <c r="AP4" s="355">
        <v>28196.4666666667</v>
      </c>
      <c r="AS4" s="355">
        <v>27107.8</v>
      </c>
      <c r="AT4" s="355" t="s">
        <v>386</v>
      </c>
      <c r="AU4" s="355" t="s">
        <v>387</v>
      </c>
      <c r="AV4" s="355" t="s">
        <v>388</v>
      </c>
    </row>
    <row r="5" spans="34:48" ht="12.75">
      <c r="AH5" s="355">
        <v>0</v>
      </c>
      <c r="AN5" s="355">
        <v>0</v>
      </c>
      <c r="AO5" s="355">
        <v>1088.66666666667</v>
      </c>
      <c r="AP5" s="355">
        <v>23297.4666666667</v>
      </c>
      <c r="AS5" s="355">
        <v>22208.8</v>
      </c>
      <c r="AT5" s="355" t="s">
        <v>389</v>
      </c>
      <c r="AU5" s="355" t="s">
        <v>387</v>
      </c>
      <c r="AV5" s="355" t="s">
        <v>390</v>
      </c>
    </row>
    <row r="6" spans="34:48" ht="12.75">
      <c r="AH6" s="355">
        <v>0</v>
      </c>
      <c r="AN6" s="355">
        <v>0</v>
      </c>
      <c r="AO6" s="355">
        <v>886.833333333333</v>
      </c>
      <c r="AP6" s="355">
        <v>17647.9833333333</v>
      </c>
      <c r="AS6" s="355">
        <v>16761.15</v>
      </c>
      <c r="AT6" s="355" t="s">
        <v>391</v>
      </c>
      <c r="AU6" s="355" t="s">
        <v>387</v>
      </c>
      <c r="AV6" s="355" t="s">
        <v>390</v>
      </c>
    </row>
    <row r="7" spans="34:50" ht="12.75">
      <c r="AH7" s="355">
        <v>0</v>
      </c>
      <c r="AN7" s="355">
        <v>0</v>
      </c>
      <c r="AO7" s="355">
        <v>886.833333333333</v>
      </c>
      <c r="AP7" s="355">
        <v>17115.8833333333</v>
      </c>
      <c r="AS7" s="355">
        <v>16229.05</v>
      </c>
      <c r="AT7" s="355" t="s">
        <v>392</v>
      </c>
      <c r="AU7" s="355" t="s">
        <v>387</v>
      </c>
      <c r="AV7" s="355" t="s">
        <v>393</v>
      </c>
      <c r="AX7" s="355">
        <v>0.5</v>
      </c>
    </row>
    <row r="8" spans="34:48" ht="12.75">
      <c r="AH8" s="355">
        <v>0</v>
      </c>
      <c r="AN8" s="355">
        <v>0</v>
      </c>
      <c r="AO8" s="355">
        <v>886.833333333333</v>
      </c>
      <c r="AP8" s="355">
        <v>17381.9333333333</v>
      </c>
      <c r="AS8" s="355">
        <v>16495.1</v>
      </c>
      <c r="AT8" s="355" t="s">
        <v>394</v>
      </c>
      <c r="AU8" s="355" t="s">
        <v>387</v>
      </c>
      <c r="AV8" s="355" t="s">
        <v>395</v>
      </c>
    </row>
    <row r="9" spans="34:49" ht="12.75">
      <c r="AH9" s="355">
        <v>0</v>
      </c>
      <c r="AN9" s="355">
        <v>0</v>
      </c>
      <c r="AO9" s="355">
        <v>1065.16666666667</v>
      </c>
      <c r="AP9" s="355">
        <v>21835.9166666667</v>
      </c>
      <c r="AS9" s="355">
        <v>20770.75</v>
      </c>
      <c r="AT9" s="355" t="s">
        <v>396</v>
      </c>
      <c r="AU9" s="355" t="s">
        <v>387</v>
      </c>
      <c r="AV9" s="355" t="s">
        <v>397</v>
      </c>
      <c r="AW9" s="355" t="s">
        <v>398</v>
      </c>
    </row>
    <row r="10" spans="34:48" ht="12.75">
      <c r="AH10" s="355">
        <v>0</v>
      </c>
      <c r="AN10" s="355">
        <v>0</v>
      </c>
      <c r="AO10" s="355">
        <v>886.833333333333</v>
      </c>
      <c r="AP10" s="355">
        <v>17914.0333333333</v>
      </c>
      <c r="AS10" s="355">
        <v>17027.2</v>
      </c>
      <c r="AT10" s="355" t="s">
        <v>399</v>
      </c>
      <c r="AU10" s="355" t="s">
        <v>387</v>
      </c>
      <c r="AV10" s="355" t="s">
        <v>400</v>
      </c>
    </row>
    <row r="11" spans="34:49" ht="12.75">
      <c r="AH11" s="355">
        <v>0</v>
      </c>
      <c r="AN11" s="355">
        <v>0</v>
      </c>
      <c r="AO11" s="355">
        <v>1065.16666666667</v>
      </c>
      <c r="AP11" s="355">
        <v>22475.0166666667</v>
      </c>
      <c r="AS11" s="355">
        <v>21409.85</v>
      </c>
      <c r="AT11" s="355" t="s">
        <v>401</v>
      </c>
      <c r="AU11" s="355" t="s">
        <v>387</v>
      </c>
      <c r="AV11" s="355" t="s">
        <v>402</v>
      </c>
      <c r="AW11" s="355" t="s">
        <v>398</v>
      </c>
    </row>
    <row r="12" spans="34:48" ht="12.75">
      <c r="AH12" s="355">
        <v>0</v>
      </c>
      <c r="AN12" s="355">
        <v>0</v>
      </c>
      <c r="AO12" s="355">
        <v>886.833333333333</v>
      </c>
      <c r="AP12" s="355">
        <v>17381.9333333333</v>
      </c>
      <c r="AS12" s="355">
        <v>16495.1</v>
      </c>
      <c r="AT12" s="355" t="s">
        <v>403</v>
      </c>
      <c r="AU12" s="355" t="s">
        <v>387</v>
      </c>
      <c r="AV12" s="355" t="s">
        <v>404</v>
      </c>
    </row>
    <row r="13" spans="34:48" ht="12.75">
      <c r="AH13" s="355">
        <v>0</v>
      </c>
      <c r="AN13" s="355">
        <v>0</v>
      </c>
      <c r="AO13" s="355">
        <v>886.833333333333</v>
      </c>
      <c r="AP13" s="355">
        <v>15785.6333333333</v>
      </c>
      <c r="AS13" s="355">
        <v>14898.8</v>
      </c>
      <c r="AT13" s="355" t="s">
        <v>405</v>
      </c>
      <c r="AU13" s="355" t="s">
        <v>387</v>
      </c>
      <c r="AV13" s="355" t="s">
        <v>406</v>
      </c>
    </row>
    <row r="14" spans="34:50" ht="12.75">
      <c r="AH14" s="355">
        <v>0</v>
      </c>
      <c r="AN14" s="355">
        <v>0</v>
      </c>
      <c r="AO14" s="355">
        <v>886.833333333333</v>
      </c>
      <c r="AP14" s="355">
        <v>16583.7833333333</v>
      </c>
      <c r="AS14" s="355">
        <v>15696.95</v>
      </c>
      <c r="AT14" s="355" t="s">
        <v>407</v>
      </c>
      <c r="AU14" s="355" t="s">
        <v>387</v>
      </c>
      <c r="AV14" s="355" t="s">
        <v>393</v>
      </c>
      <c r="AX14" s="355">
        <v>0.35</v>
      </c>
    </row>
    <row r="15" spans="34:49" ht="12.75">
      <c r="AH15" s="355">
        <v>0</v>
      </c>
      <c r="AN15" s="355">
        <v>0</v>
      </c>
      <c r="AO15" s="355">
        <v>1065.16666666667</v>
      </c>
      <c r="AP15" s="355">
        <v>21835.9166666667</v>
      </c>
      <c r="AS15" s="355">
        <v>20770.75</v>
      </c>
      <c r="AT15" s="355" t="s">
        <v>408</v>
      </c>
      <c r="AU15" s="355" t="s">
        <v>387</v>
      </c>
      <c r="AV15" s="355" t="s">
        <v>409</v>
      </c>
      <c r="AW15" s="355" t="s">
        <v>410</v>
      </c>
    </row>
    <row r="16" spans="32:49" ht="12.75">
      <c r="AF16" s="355">
        <v>40</v>
      </c>
      <c r="AH16" s="355">
        <v>2128.4</v>
      </c>
      <c r="AN16" s="355">
        <v>0</v>
      </c>
      <c r="AO16" s="355">
        <v>886.833333333333</v>
      </c>
      <c r="AP16" s="355">
        <v>20308.4833333333</v>
      </c>
      <c r="AS16" s="355">
        <v>19421.65</v>
      </c>
      <c r="AT16" s="355" t="s">
        <v>411</v>
      </c>
      <c r="AU16" s="355" t="s">
        <v>387</v>
      </c>
      <c r="AV16" s="355" t="s">
        <v>390</v>
      </c>
      <c r="AW16" s="355" t="s">
        <v>412</v>
      </c>
    </row>
    <row r="17" spans="34:50" ht="12.75">
      <c r="AH17" s="355">
        <v>0</v>
      </c>
      <c r="AN17" s="355">
        <v>0</v>
      </c>
      <c r="AO17" s="355">
        <v>886.833333333333</v>
      </c>
      <c r="AP17" s="355">
        <v>16583.7833333333</v>
      </c>
      <c r="AS17" s="355">
        <v>15696.95</v>
      </c>
      <c r="AT17" s="355" t="s">
        <v>413</v>
      </c>
      <c r="AU17" s="355" t="s">
        <v>387</v>
      </c>
      <c r="AV17" s="355" t="s">
        <v>414</v>
      </c>
      <c r="AX17" s="355">
        <v>0.35</v>
      </c>
    </row>
    <row r="18" spans="34:50" ht="12.75">
      <c r="AH18" s="355">
        <v>0</v>
      </c>
      <c r="AN18" s="355">
        <v>0</v>
      </c>
      <c r="AO18" s="355">
        <v>886.833333333333</v>
      </c>
      <c r="AP18" s="355">
        <v>17647.9833333333</v>
      </c>
      <c r="AS18" s="355">
        <v>16761.15</v>
      </c>
      <c r="AT18" s="355" t="s">
        <v>415</v>
      </c>
      <c r="AU18" s="355" t="s">
        <v>387</v>
      </c>
      <c r="AV18" s="355" t="s">
        <v>390</v>
      </c>
      <c r="AX18" s="355">
        <v>0.35</v>
      </c>
    </row>
    <row r="19" spans="34:48" ht="12.75">
      <c r="AH19" s="355">
        <v>0</v>
      </c>
      <c r="AN19" s="355">
        <v>0</v>
      </c>
      <c r="AO19" s="355">
        <v>808.333333333333</v>
      </c>
      <c r="AP19" s="355">
        <v>16570.8333333333</v>
      </c>
      <c r="AS19" s="355">
        <v>15762.5</v>
      </c>
      <c r="AT19" s="355" t="s">
        <v>416</v>
      </c>
      <c r="AU19" s="355" t="s">
        <v>417</v>
      </c>
      <c r="AV19" s="355" t="s">
        <v>400</v>
      </c>
    </row>
    <row r="20" spans="34:51" ht="12.75">
      <c r="AH20" s="355">
        <v>2128.4</v>
      </c>
      <c r="AN20" s="355">
        <v>0</v>
      </c>
      <c r="AO20" s="355">
        <v>15049.5</v>
      </c>
      <c r="AP20" s="355">
        <v>308563.05</v>
      </c>
      <c r="AS20" s="355">
        <v>293513.55</v>
      </c>
      <c r="AT20" s="355">
        <v>218266.05</v>
      </c>
      <c r="AW20" s="355">
        <v>306.8</v>
      </c>
      <c r="AX20" s="355" t="s">
        <v>418</v>
      </c>
      <c r="AY20" s="355" t="s">
        <v>419</v>
      </c>
    </row>
    <row r="82" ht="12.75" hidden="1"/>
    <row r="83" ht="12.75" hidden="1"/>
    <row r="84" ht="12.75" hidden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6">
      <selection activeCell="A16" sqref="A16"/>
    </sheetView>
  </sheetViews>
  <sheetFormatPr defaultColWidth="8.7109375" defaultRowHeight="12.75"/>
  <cols>
    <col min="1" max="16384" width="8.7109375" style="35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8"/>
  <sheetViews>
    <sheetView view="pageBreakPreview" zoomScaleSheetLayoutView="100" zoomScalePageLayoutView="0" workbookViewId="0" topLeftCell="A1">
      <selection activeCell="A1" sqref="A1:B18"/>
    </sheetView>
  </sheetViews>
  <sheetFormatPr defaultColWidth="8.7109375" defaultRowHeight="12.75"/>
  <cols>
    <col min="1" max="16384" width="8.7109375" style="355" customWidth="1"/>
  </cols>
  <sheetData>
    <row r="1" spans="1:2" ht="18">
      <c r="A1" s="80">
        <f aca="true" t="shared" si="0" ref="A1:A16">D1+S1+V1+Y1+AB1+AH1+AN1+AZ1+BL1+BI1+AE1+AT1+G1+M1+J1+P1+AK1</f>
        <v>0</v>
      </c>
      <c r="B1" s="80">
        <f aca="true" t="shared" si="1" ref="B1:B16">E1+T1+W1+Z1+AC1+AI1+AO1+BA1+AF1+BM1+BJ1+AU1+H1+N1+K1+Q1+AL1</f>
        <v>0</v>
      </c>
    </row>
    <row r="2" spans="1:2" ht="18">
      <c r="A2" s="80">
        <f t="shared" si="0"/>
        <v>0</v>
      </c>
      <c r="B2" s="80">
        <f t="shared" si="1"/>
        <v>0</v>
      </c>
    </row>
    <row r="3" spans="1:2" ht="18">
      <c r="A3" s="80">
        <f t="shared" si="0"/>
        <v>0</v>
      </c>
      <c r="B3" s="80">
        <f t="shared" si="1"/>
        <v>0</v>
      </c>
    </row>
    <row r="4" spans="1:2" ht="18">
      <c r="A4" s="80">
        <f t="shared" si="0"/>
        <v>0</v>
      </c>
      <c r="B4" s="80">
        <f t="shared" si="1"/>
        <v>0</v>
      </c>
    </row>
    <row r="5" spans="1:2" ht="18">
      <c r="A5" s="80">
        <f t="shared" si="0"/>
        <v>0</v>
      </c>
      <c r="B5" s="80">
        <f t="shared" si="1"/>
        <v>0</v>
      </c>
    </row>
    <row r="6" spans="1:2" ht="18">
      <c r="A6" s="80">
        <f t="shared" si="0"/>
        <v>0</v>
      </c>
      <c r="B6" s="104">
        <f t="shared" si="1"/>
        <v>0</v>
      </c>
    </row>
    <row r="7" spans="1:2" ht="18">
      <c r="A7" s="80">
        <f t="shared" si="0"/>
        <v>0</v>
      </c>
      <c r="B7" s="80">
        <f t="shared" si="1"/>
        <v>0</v>
      </c>
    </row>
    <row r="8" spans="1:2" ht="18">
      <c r="A8" s="80">
        <f t="shared" si="0"/>
        <v>0</v>
      </c>
      <c r="B8" s="80">
        <f t="shared" si="1"/>
        <v>0</v>
      </c>
    </row>
    <row r="9" spans="1:2" ht="18">
      <c r="A9" s="80">
        <f t="shared" si="0"/>
        <v>0</v>
      </c>
      <c r="B9" s="80">
        <f t="shared" si="1"/>
        <v>0</v>
      </c>
    </row>
    <row r="10" spans="1:2" ht="18">
      <c r="A10" s="80">
        <f t="shared" si="0"/>
        <v>0</v>
      </c>
      <c r="B10" s="80">
        <f t="shared" si="1"/>
        <v>0</v>
      </c>
    </row>
    <row r="11" spans="1:2" ht="18">
      <c r="A11" s="80">
        <f t="shared" si="0"/>
        <v>0</v>
      </c>
      <c r="B11" s="104">
        <f t="shared" si="1"/>
        <v>0</v>
      </c>
    </row>
    <row r="12" spans="1:2" ht="18">
      <c r="A12" s="80">
        <f t="shared" si="0"/>
        <v>0</v>
      </c>
      <c r="B12" s="80">
        <f t="shared" si="1"/>
        <v>0</v>
      </c>
    </row>
    <row r="13" spans="1:2" ht="18">
      <c r="A13" s="80">
        <f t="shared" si="0"/>
        <v>0</v>
      </c>
      <c r="B13" s="104">
        <f t="shared" si="1"/>
        <v>0</v>
      </c>
    </row>
    <row r="14" spans="1:2" ht="18">
      <c r="A14" s="80">
        <f t="shared" si="0"/>
        <v>0</v>
      </c>
      <c r="B14" s="80">
        <f t="shared" si="1"/>
        <v>0</v>
      </c>
    </row>
    <row r="15" spans="1:2" ht="18">
      <c r="A15" s="80">
        <f t="shared" si="0"/>
        <v>0</v>
      </c>
      <c r="B15" s="80">
        <f t="shared" si="1"/>
        <v>0</v>
      </c>
    </row>
    <row r="16" spans="1:2" ht="18">
      <c r="A16" s="80">
        <f t="shared" si="0"/>
        <v>0</v>
      </c>
      <c r="B16" s="80">
        <f t="shared" si="1"/>
        <v>0</v>
      </c>
    </row>
    <row r="17" spans="1:2" ht="18">
      <c r="A17" s="80"/>
      <c r="B17" s="84"/>
    </row>
    <row r="18" spans="1:2" ht="18">
      <c r="A18" s="123">
        <f>SUM(A1:A16)</f>
        <v>0</v>
      </c>
      <c r="B18" s="122">
        <f>SUM(B1:B16)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D1" sqref="D1:D16"/>
    </sheetView>
  </sheetViews>
  <sheetFormatPr defaultColWidth="8.7109375" defaultRowHeight="12.75"/>
  <cols>
    <col min="1" max="2" width="16.57421875" style="355" customWidth="1"/>
    <col min="3" max="3" width="13.140625" style="355" customWidth="1"/>
    <col min="4" max="4" width="11.8515625" style="355" customWidth="1"/>
    <col min="5" max="16384" width="8.7109375" style="355" customWidth="1"/>
  </cols>
  <sheetData>
    <row r="1" spans="1:4" ht="12.75">
      <c r="A1" s="355">
        <v>639.72</v>
      </c>
      <c r="B1" s="355">
        <f>A1*1000</f>
        <v>639720</v>
      </c>
      <c r="C1" s="355">
        <v>537.09006</v>
      </c>
      <c r="D1" s="355">
        <f>C1*1000</f>
        <v>537090.0599999999</v>
      </c>
    </row>
    <row r="2" spans="1:4" ht="12.75">
      <c r="A2" s="355">
        <v>3721.32</v>
      </c>
      <c r="B2" s="355">
        <f aca="true" t="shared" si="0" ref="B2:B16">A2*1000</f>
        <v>3721320</v>
      </c>
      <c r="C2" s="355">
        <v>3329.2156</v>
      </c>
      <c r="D2" s="355">
        <f aca="true" t="shared" si="1" ref="D2:D16">C2*1000</f>
        <v>3329215.6</v>
      </c>
    </row>
    <row r="3" spans="1:4" ht="12.75">
      <c r="A3" s="355">
        <v>2500.44564</v>
      </c>
      <c r="B3" s="355">
        <f t="shared" si="0"/>
        <v>2500445.64</v>
      </c>
      <c r="C3" s="355">
        <v>2740.5030900000006</v>
      </c>
      <c r="D3" s="355">
        <f t="shared" si="1"/>
        <v>2740503.090000001</v>
      </c>
    </row>
    <row r="4" spans="1:4" ht="12.75">
      <c r="A4" s="355">
        <v>4848.53</v>
      </c>
      <c r="B4" s="355">
        <f t="shared" si="0"/>
        <v>4848530</v>
      </c>
      <c r="C4" s="355">
        <v>5018.22027</v>
      </c>
      <c r="D4" s="355">
        <f t="shared" si="1"/>
        <v>5018220.27</v>
      </c>
    </row>
    <row r="5" spans="1:4" ht="12.75">
      <c r="A5" s="355">
        <v>5006.5199999999995</v>
      </c>
      <c r="B5" s="355">
        <f t="shared" si="0"/>
        <v>5006519.999999999</v>
      </c>
      <c r="C5" s="355">
        <v>5229.350420000001</v>
      </c>
      <c r="D5" s="355">
        <f t="shared" si="1"/>
        <v>5229350.420000001</v>
      </c>
    </row>
    <row r="6" spans="1:4" ht="12.75">
      <c r="A6" s="355">
        <v>6409.35</v>
      </c>
      <c r="B6" s="355">
        <f t="shared" si="0"/>
        <v>6409350</v>
      </c>
      <c r="C6" s="355">
        <v>4125.16008</v>
      </c>
      <c r="D6" s="355">
        <f t="shared" si="1"/>
        <v>4125160.0799999996</v>
      </c>
    </row>
    <row r="7" spans="1:4" ht="12.75">
      <c r="A7" s="355">
        <v>2709.1200000000003</v>
      </c>
      <c r="B7" s="355">
        <f t="shared" si="0"/>
        <v>2709120.0000000005</v>
      </c>
      <c r="C7" s="355">
        <v>2321.771309999999</v>
      </c>
      <c r="D7" s="355">
        <f t="shared" si="1"/>
        <v>2321771.309999999</v>
      </c>
    </row>
    <row r="8" spans="1:4" ht="12.75">
      <c r="A8" s="355">
        <v>2203.15</v>
      </c>
      <c r="B8" s="355">
        <f t="shared" si="0"/>
        <v>2203150</v>
      </c>
      <c r="C8" s="355">
        <v>1642.5508700000003</v>
      </c>
      <c r="D8" s="355">
        <f t="shared" si="1"/>
        <v>1642550.8700000003</v>
      </c>
    </row>
    <row r="9" spans="1:4" ht="12.75">
      <c r="A9" s="355">
        <v>2143.44</v>
      </c>
      <c r="B9" s="355">
        <f t="shared" si="0"/>
        <v>2143440</v>
      </c>
      <c r="C9" s="355">
        <v>2252.3262600000003</v>
      </c>
      <c r="D9" s="355">
        <f t="shared" si="1"/>
        <v>2252326.2600000002</v>
      </c>
    </row>
    <row r="10" spans="1:4" ht="12.75">
      <c r="A10" s="355">
        <v>1317.8600000000001</v>
      </c>
      <c r="B10" s="355">
        <f t="shared" si="0"/>
        <v>1317860.0000000002</v>
      </c>
      <c r="C10" s="355">
        <v>1068.89258</v>
      </c>
      <c r="D10" s="355">
        <f t="shared" si="1"/>
        <v>1068892.5799999998</v>
      </c>
    </row>
    <row r="11" spans="1:4" ht="12.75">
      <c r="A11" s="355">
        <v>1244.58</v>
      </c>
      <c r="B11" s="355">
        <f t="shared" si="0"/>
        <v>1244580</v>
      </c>
      <c r="C11" s="355">
        <v>1130.99277</v>
      </c>
      <c r="D11" s="355">
        <f t="shared" si="1"/>
        <v>1130992.77</v>
      </c>
    </row>
    <row r="12" spans="1:4" ht="12.75">
      <c r="A12" s="355">
        <v>1308.0040000000001</v>
      </c>
      <c r="B12" s="355">
        <f t="shared" si="0"/>
        <v>1308004.0000000002</v>
      </c>
      <c r="C12" s="355">
        <v>1114.1205599999998</v>
      </c>
      <c r="D12" s="355">
        <f t="shared" si="1"/>
        <v>1114120.5599999998</v>
      </c>
    </row>
    <row r="13" spans="1:4" ht="12.75">
      <c r="A13" s="355">
        <v>3522.4</v>
      </c>
      <c r="B13" s="355">
        <f t="shared" si="0"/>
        <v>3522400</v>
      </c>
      <c r="C13" s="355">
        <v>2451.96863</v>
      </c>
      <c r="D13" s="355">
        <f t="shared" si="1"/>
        <v>2451968.63</v>
      </c>
    </row>
    <row r="14" spans="1:4" ht="12.75">
      <c r="A14" s="355">
        <v>1546.69</v>
      </c>
      <c r="B14" s="355">
        <f t="shared" si="0"/>
        <v>1546690</v>
      </c>
      <c r="C14" s="355">
        <v>1771.04067</v>
      </c>
      <c r="D14" s="355">
        <f t="shared" si="1"/>
        <v>1771040.6700000002</v>
      </c>
    </row>
    <row r="15" spans="1:4" ht="12.75">
      <c r="A15" s="355">
        <v>2647.75</v>
      </c>
      <c r="B15" s="355">
        <f t="shared" si="0"/>
        <v>2647750</v>
      </c>
      <c r="C15" s="355">
        <v>2264.8732199999995</v>
      </c>
      <c r="D15" s="355">
        <f t="shared" si="1"/>
        <v>2264873.2199999993</v>
      </c>
    </row>
    <row r="16" spans="1:4" ht="12.75">
      <c r="A16" s="355">
        <v>2309.85</v>
      </c>
      <c r="B16" s="355">
        <f t="shared" si="0"/>
        <v>2309850</v>
      </c>
      <c r="C16" s="355">
        <v>1682.1346700000001</v>
      </c>
      <c r="D16" s="355">
        <f t="shared" si="1"/>
        <v>1682134.6700000002</v>
      </c>
    </row>
    <row r="18" spans="1:3" ht="12.75">
      <c r="A18" s="355">
        <v>44078.729640000005</v>
      </c>
      <c r="C18" s="355">
        <v>38680.21106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view="pageBreakPreview" zoomScaleSheetLayoutView="100" zoomScalePageLayoutView="0" workbookViewId="0" topLeftCell="A99">
      <selection activeCell="D111" sqref="D111"/>
    </sheetView>
  </sheetViews>
  <sheetFormatPr defaultColWidth="9.140625" defaultRowHeight="12.75"/>
  <cols>
    <col min="1" max="1" width="16.28125" style="135" customWidth="1"/>
    <col min="2" max="2" width="35.140625" style="136" customWidth="1"/>
    <col min="3" max="3" width="14.00390625" style="137" customWidth="1"/>
    <col min="4" max="4" width="14.140625" style="137" customWidth="1"/>
    <col min="5" max="5" width="9.421875" style="137" customWidth="1"/>
    <col min="6" max="6" width="11.28125" style="137" customWidth="1"/>
    <col min="7" max="7" width="20.7109375" style="138" customWidth="1"/>
    <col min="8" max="8" width="19.140625" style="138" customWidth="1"/>
    <col min="9" max="16384" width="9.140625" style="138" customWidth="1"/>
  </cols>
  <sheetData>
    <row r="1" spans="1:6" s="357" customFormat="1" ht="12.75">
      <c r="A1" s="356" t="s">
        <v>140</v>
      </c>
      <c r="B1" s="356"/>
      <c r="C1" s="356"/>
      <c r="D1" s="356"/>
      <c r="E1" s="356"/>
      <c r="F1" s="356"/>
    </row>
    <row r="2" spans="1:6" s="357" customFormat="1" ht="12.75">
      <c r="A2" s="356" t="s">
        <v>444</v>
      </c>
      <c r="B2" s="356"/>
      <c r="C2" s="356"/>
      <c r="D2" s="356"/>
      <c r="E2" s="356"/>
      <c r="F2" s="356"/>
    </row>
    <row r="3" spans="1:6" s="357" customFormat="1" ht="38.25">
      <c r="A3" s="358" t="s">
        <v>141</v>
      </c>
      <c r="B3" s="358" t="s">
        <v>142</v>
      </c>
      <c r="C3" s="359" t="s">
        <v>143</v>
      </c>
      <c r="D3" s="360" t="s">
        <v>443</v>
      </c>
      <c r="E3" s="359" t="s">
        <v>144</v>
      </c>
      <c r="F3" s="361" t="s">
        <v>145</v>
      </c>
    </row>
    <row r="4" spans="1:6" s="365" customFormat="1" ht="12.75">
      <c r="A4" s="362"/>
      <c r="B4" s="363" t="s">
        <v>7</v>
      </c>
      <c r="C4" s="364">
        <f>C5+C12+C17+C22+C24+C28+C7</f>
        <v>164970.98839</v>
      </c>
      <c r="D4" s="364">
        <f>D5+D12+D17+D22+D24+D28+D7</f>
        <v>171220.06541000004</v>
      </c>
      <c r="E4" s="364">
        <f aca="true" t="shared" si="0" ref="E4:E46">SUM(D4/C4*100)</f>
        <v>103.78798543973495</v>
      </c>
      <c r="F4" s="364">
        <f aca="true" t="shared" si="1" ref="F4:F42">SUM(D4-C4)</f>
        <v>6249.077020000026</v>
      </c>
    </row>
    <row r="5" spans="1:6" s="365" customFormat="1" ht="12.75">
      <c r="A5" s="362">
        <v>1010000</v>
      </c>
      <c r="B5" s="363" t="s">
        <v>146</v>
      </c>
      <c r="C5" s="364">
        <f>C6</f>
        <v>133506</v>
      </c>
      <c r="D5" s="364">
        <f>D6</f>
        <v>138042.84536</v>
      </c>
      <c r="E5" s="364">
        <f t="shared" si="0"/>
        <v>103.39823330786632</v>
      </c>
      <c r="F5" s="364">
        <f t="shared" si="1"/>
        <v>4536.845360000007</v>
      </c>
    </row>
    <row r="6" spans="1:6" s="357" customFormat="1" ht="12.75">
      <c r="A6" s="366">
        <v>1010200001</v>
      </c>
      <c r="B6" s="367" t="s">
        <v>147</v>
      </c>
      <c r="C6" s="368">
        <v>133506</v>
      </c>
      <c r="D6" s="369">
        <v>138042.84536</v>
      </c>
      <c r="E6" s="368">
        <f t="shared" si="0"/>
        <v>103.39823330786632</v>
      </c>
      <c r="F6" s="368">
        <f t="shared" si="1"/>
        <v>4536.845360000007</v>
      </c>
    </row>
    <row r="7" spans="1:6" s="357" customFormat="1" ht="25.5">
      <c r="A7" s="362">
        <v>1030000</v>
      </c>
      <c r="B7" s="370" t="s">
        <v>148</v>
      </c>
      <c r="C7" s="364">
        <f>C8+C10+C9</f>
        <v>5592.95743</v>
      </c>
      <c r="D7" s="364">
        <f>D8+D10+D9+D11</f>
        <v>5805.74645</v>
      </c>
      <c r="E7" s="368">
        <f t="shared" si="0"/>
        <v>103.80458858597103</v>
      </c>
      <c r="F7" s="368">
        <f t="shared" si="1"/>
        <v>212.78901999999925</v>
      </c>
    </row>
    <row r="8" spans="1:6" s="357" customFormat="1" ht="12.75">
      <c r="A8" s="366">
        <v>1030223001</v>
      </c>
      <c r="B8" s="367" t="s">
        <v>149</v>
      </c>
      <c r="C8" s="368">
        <v>2044.05743</v>
      </c>
      <c r="D8" s="369">
        <v>2680.27851</v>
      </c>
      <c r="E8" s="368">
        <f t="shared" si="0"/>
        <v>131.1254014032277</v>
      </c>
      <c r="F8" s="368">
        <f t="shared" si="1"/>
        <v>636.22108</v>
      </c>
    </row>
    <row r="9" spans="1:6" s="357" customFormat="1" ht="12.75">
      <c r="A9" s="366">
        <v>1030224001</v>
      </c>
      <c r="B9" s="367" t="s">
        <v>150</v>
      </c>
      <c r="C9" s="368">
        <v>21.5</v>
      </c>
      <c r="D9" s="369">
        <v>18.84969</v>
      </c>
      <c r="E9" s="368">
        <f t="shared" si="0"/>
        <v>87.67297674418603</v>
      </c>
      <c r="F9" s="368">
        <f t="shared" si="1"/>
        <v>-2.650310000000001</v>
      </c>
    </row>
    <row r="10" spans="1:6" s="357" customFormat="1" ht="12.75">
      <c r="A10" s="366">
        <v>1030225001</v>
      </c>
      <c r="B10" s="367" t="s">
        <v>151</v>
      </c>
      <c r="C10" s="368">
        <v>3527.4</v>
      </c>
      <c r="D10" s="369">
        <v>3563.67455</v>
      </c>
      <c r="E10" s="368">
        <f t="shared" si="0"/>
        <v>101.02836508476499</v>
      </c>
      <c r="F10" s="368">
        <f t="shared" si="1"/>
        <v>36.27455000000009</v>
      </c>
    </row>
    <row r="11" spans="1:6" s="357" customFormat="1" ht="12.75">
      <c r="A11" s="366">
        <v>1030226001</v>
      </c>
      <c r="B11" s="367" t="s">
        <v>152</v>
      </c>
      <c r="C11" s="368">
        <v>0</v>
      </c>
      <c r="D11" s="369">
        <v>-457.0563</v>
      </c>
      <c r="E11" s="368" t="e">
        <f t="shared" si="0"/>
        <v>#DIV/0!</v>
      </c>
      <c r="F11" s="368">
        <f t="shared" si="1"/>
        <v>-457.0563</v>
      </c>
    </row>
    <row r="12" spans="1:6" s="365" customFormat="1" ht="12.75">
      <c r="A12" s="362">
        <v>1050000</v>
      </c>
      <c r="B12" s="363" t="s">
        <v>153</v>
      </c>
      <c r="C12" s="364">
        <f>SUM(C13:C16)</f>
        <v>17627.9</v>
      </c>
      <c r="D12" s="364">
        <f>SUM(D13:D16)</f>
        <v>18785.30941</v>
      </c>
      <c r="E12" s="364">
        <f t="shared" si="0"/>
        <v>106.56578157352831</v>
      </c>
      <c r="F12" s="364">
        <f t="shared" si="1"/>
        <v>1157.4094100000002</v>
      </c>
    </row>
    <row r="13" spans="1:6" s="365" customFormat="1" ht="12.75">
      <c r="A13" s="366">
        <v>1050100000</v>
      </c>
      <c r="B13" s="371" t="s">
        <v>154</v>
      </c>
      <c r="C13" s="368">
        <v>13343.9</v>
      </c>
      <c r="D13" s="368">
        <v>13810.43787</v>
      </c>
      <c r="E13" s="368">
        <f t="shared" si="0"/>
        <v>103.49626323638516</v>
      </c>
      <c r="F13" s="368">
        <f t="shared" si="1"/>
        <v>466.5378700000001</v>
      </c>
    </row>
    <row r="14" spans="1:6" s="357" customFormat="1" ht="12.75">
      <c r="A14" s="366">
        <v>1050200000</v>
      </c>
      <c r="B14" s="371" t="s">
        <v>155</v>
      </c>
      <c r="C14" s="372">
        <v>1250.7</v>
      </c>
      <c r="D14" s="369">
        <v>1272.70871</v>
      </c>
      <c r="E14" s="368">
        <f t="shared" si="0"/>
        <v>101.75971136163749</v>
      </c>
      <c r="F14" s="368">
        <f t="shared" si="1"/>
        <v>22.008710000000065</v>
      </c>
    </row>
    <row r="15" spans="1:6" s="357" customFormat="1" ht="23.25" customHeight="1">
      <c r="A15" s="366">
        <v>1050300000</v>
      </c>
      <c r="B15" s="371" t="s">
        <v>156</v>
      </c>
      <c r="C15" s="372">
        <v>1033.3</v>
      </c>
      <c r="D15" s="369">
        <v>1183.10475</v>
      </c>
      <c r="E15" s="368">
        <f t="shared" si="0"/>
        <v>114.49770153875932</v>
      </c>
      <c r="F15" s="368">
        <f t="shared" si="1"/>
        <v>149.80475</v>
      </c>
    </row>
    <row r="16" spans="1:6" s="357" customFormat="1" ht="38.25">
      <c r="A16" s="366">
        <v>1050400002</v>
      </c>
      <c r="B16" s="367" t="s">
        <v>157</v>
      </c>
      <c r="C16" s="372">
        <v>2000</v>
      </c>
      <c r="D16" s="369">
        <v>2519.05808</v>
      </c>
      <c r="E16" s="368">
        <f t="shared" si="0"/>
        <v>125.95290399999999</v>
      </c>
      <c r="F16" s="368">
        <f t="shared" si="1"/>
        <v>519.0580799999998</v>
      </c>
    </row>
    <row r="17" spans="1:6" s="365" customFormat="1" ht="15.75" customHeight="1">
      <c r="A17" s="362">
        <v>1060000</v>
      </c>
      <c r="B17" s="363" t="s">
        <v>158</v>
      </c>
      <c r="C17" s="364">
        <f>SUM(C18:C21)</f>
        <v>2482.13096</v>
      </c>
      <c r="D17" s="364">
        <f>SUM(D18:D21)</f>
        <v>2875.13111</v>
      </c>
      <c r="E17" s="364">
        <f t="shared" si="0"/>
        <v>115.83317545823608</v>
      </c>
      <c r="F17" s="364">
        <f t="shared" si="1"/>
        <v>393.00014999999985</v>
      </c>
    </row>
    <row r="18" spans="1:6" s="365" customFormat="1" ht="18" customHeight="1" hidden="1">
      <c r="A18" s="366">
        <v>1060100000</v>
      </c>
      <c r="B18" s="371" t="s">
        <v>159</v>
      </c>
      <c r="C18" s="368"/>
      <c r="D18" s="369"/>
      <c r="E18" s="364" t="e">
        <f t="shared" si="0"/>
        <v>#DIV/0!</v>
      </c>
      <c r="F18" s="364">
        <f t="shared" si="1"/>
        <v>0</v>
      </c>
    </row>
    <row r="19" spans="1:6" s="365" customFormat="1" ht="2.25" customHeight="1" hidden="1">
      <c r="A19" s="366">
        <v>1060200000</v>
      </c>
      <c r="B19" s="371" t="s">
        <v>160</v>
      </c>
      <c r="C19" s="368"/>
      <c r="D19" s="369"/>
      <c r="E19" s="364" t="e">
        <f t="shared" si="0"/>
        <v>#DIV/0!</v>
      </c>
      <c r="F19" s="364">
        <f t="shared" si="1"/>
        <v>0</v>
      </c>
    </row>
    <row r="20" spans="1:6" s="365" customFormat="1" ht="12" customHeight="1">
      <c r="A20" s="366">
        <v>1060400000</v>
      </c>
      <c r="B20" s="371" t="s">
        <v>161</v>
      </c>
      <c r="C20" s="368">
        <v>2482.13096</v>
      </c>
      <c r="D20" s="369">
        <v>2875.13111</v>
      </c>
      <c r="E20" s="368">
        <f t="shared" si="0"/>
        <v>115.83317545823608</v>
      </c>
      <c r="F20" s="368">
        <f t="shared" si="1"/>
        <v>393.00014999999985</v>
      </c>
    </row>
    <row r="21" spans="1:6" s="357" customFormat="1" ht="31.5" customHeight="1" hidden="1">
      <c r="A21" s="366">
        <v>1060600000</v>
      </c>
      <c r="B21" s="371" t="s">
        <v>162</v>
      </c>
      <c r="C21" s="368"/>
      <c r="D21" s="369"/>
      <c r="E21" s="368" t="e">
        <f t="shared" si="0"/>
        <v>#DIV/0!</v>
      </c>
      <c r="F21" s="368">
        <f t="shared" si="1"/>
        <v>0</v>
      </c>
    </row>
    <row r="22" spans="1:6" s="365" customFormat="1" ht="42" customHeight="1">
      <c r="A22" s="362">
        <v>1070000</v>
      </c>
      <c r="B22" s="370" t="s">
        <v>163</v>
      </c>
      <c r="C22" s="364">
        <f>SUM(C23)</f>
        <v>3200</v>
      </c>
      <c r="D22" s="364">
        <f>SUM(D23)</f>
        <v>3210.3273</v>
      </c>
      <c r="E22" s="364">
        <f t="shared" si="0"/>
        <v>100.322728125</v>
      </c>
      <c r="F22" s="364">
        <f t="shared" si="1"/>
        <v>10.327299999999923</v>
      </c>
    </row>
    <row r="23" spans="1:6" s="357" customFormat="1" ht="25.5" customHeight="1">
      <c r="A23" s="366">
        <v>1070102001</v>
      </c>
      <c r="B23" s="367" t="s">
        <v>164</v>
      </c>
      <c r="C23" s="368">
        <v>3200</v>
      </c>
      <c r="D23" s="369">
        <v>3210.3273</v>
      </c>
      <c r="E23" s="368">
        <f t="shared" si="0"/>
        <v>100.322728125</v>
      </c>
      <c r="F23" s="368">
        <f t="shared" si="1"/>
        <v>10.327299999999923</v>
      </c>
    </row>
    <row r="24" spans="1:6" s="365" customFormat="1" ht="12.75">
      <c r="A24" s="362">
        <v>1080000</v>
      </c>
      <c r="B24" s="363" t="s">
        <v>165</v>
      </c>
      <c r="C24" s="364">
        <f>C25+C26+C27</f>
        <v>2562</v>
      </c>
      <c r="D24" s="364">
        <f>D25+D26+D27</f>
        <v>2500.6386</v>
      </c>
      <c r="E24" s="364">
        <f t="shared" si="0"/>
        <v>97.60494145199064</v>
      </c>
      <c r="F24" s="364">
        <f t="shared" si="1"/>
        <v>-61.361399999999776</v>
      </c>
    </row>
    <row r="25" spans="1:6" s="357" customFormat="1" ht="21" customHeight="1">
      <c r="A25" s="366">
        <v>1080300001</v>
      </c>
      <c r="B25" s="367" t="s">
        <v>166</v>
      </c>
      <c r="C25" s="368">
        <v>2552</v>
      </c>
      <c r="D25" s="369">
        <v>2495.6386</v>
      </c>
      <c r="E25" s="368">
        <f t="shared" si="0"/>
        <v>97.79148119122259</v>
      </c>
      <c r="F25" s="368">
        <f t="shared" si="1"/>
        <v>-56.361399999999776</v>
      </c>
    </row>
    <row r="26" spans="1:6" s="357" customFormat="1" ht="33.75" customHeight="1" hidden="1">
      <c r="A26" s="366">
        <v>1080600001</v>
      </c>
      <c r="B26" s="367" t="s">
        <v>167</v>
      </c>
      <c r="C26" s="368">
        <v>0</v>
      </c>
      <c r="D26" s="369">
        <v>0</v>
      </c>
      <c r="E26" s="368" t="e">
        <f t="shared" si="0"/>
        <v>#DIV/0!</v>
      </c>
      <c r="F26" s="368">
        <f t="shared" si="1"/>
        <v>0</v>
      </c>
    </row>
    <row r="27" spans="1:6" s="357" customFormat="1" ht="87.75" customHeight="1">
      <c r="A27" s="366">
        <v>1080700001</v>
      </c>
      <c r="B27" s="367" t="s">
        <v>168</v>
      </c>
      <c r="C27" s="368">
        <v>10</v>
      </c>
      <c r="D27" s="369">
        <v>5</v>
      </c>
      <c r="E27" s="368">
        <f t="shared" si="0"/>
        <v>50</v>
      </c>
      <c r="F27" s="368">
        <f t="shared" si="1"/>
        <v>-5</v>
      </c>
    </row>
    <row r="28" spans="1:6" s="373" customFormat="1" ht="25.5" customHeight="1">
      <c r="A28" s="362">
        <v>109000000</v>
      </c>
      <c r="B28" s="370" t="s">
        <v>169</v>
      </c>
      <c r="C28" s="364">
        <f>C29+C30+C31+C32</f>
        <v>0</v>
      </c>
      <c r="D28" s="364">
        <f>D29+D30+D31+D32</f>
        <v>0.06718</v>
      </c>
      <c r="E28" s="368" t="e">
        <f t="shared" si="0"/>
        <v>#DIV/0!</v>
      </c>
      <c r="F28" s="364">
        <f t="shared" si="1"/>
        <v>0.06718</v>
      </c>
    </row>
    <row r="29" spans="1:6" s="373" customFormat="1" ht="24" customHeight="1">
      <c r="A29" s="366">
        <v>1090100000</v>
      </c>
      <c r="B29" s="367" t="s">
        <v>170</v>
      </c>
      <c r="C29" s="368">
        <v>0</v>
      </c>
      <c r="D29" s="369">
        <v>0</v>
      </c>
      <c r="E29" s="368" t="e">
        <f t="shared" si="0"/>
        <v>#DIV/0!</v>
      </c>
      <c r="F29" s="368">
        <f t="shared" si="1"/>
        <v>0</v>
      </c>
    </row>
    <row r="30" spans="1:6" s="373" customFormat="1" ht="23.25" customHeight="1">
      <c r="A30" s="366">
        <v>1090400000</v>
      </c>
      <c r="B30" s="367" t="s">
        <v>171</v>
      </c>
      <c r="C30" s="368">
        <v>0</v>
      </c>
      <c r="D30" s="369">
        <v>0</v>
      </c>
      <c r="E30" s="368" t="e">
        <f t="shared" si="0"/>
        <v>#DIV/0!</v>
      </c>
      <c r="F30" s="368">
        <f t="shared" si="1"/>
        <v>0</v>
      </c>
    </row>
    <row r="31" spans="1:6" s="373" customFormat="1" ht="22.5" customHeight="1">
      <c r="A31" s="366">
        <v>1090600000</v>
      </c>
      <c r="B31" s="367" t="s">
        <v>172</v>
      </c>
      <c r="C31" s="368">
        <v>0</v>
      </c>
      <c r="D31" s="369">
        <v>0</v>
      </c>
      <c r="E31" s="368" t="e">
        <f t="shared" si="0"/>
        <v>#DIV/0!</v>
      </c>
      <c r="F31" s="368">
        <f t="shared" si="1"/>
        <v>0</v>
      </c>
    </row>
    <row r="32" spans="1:6" s="373" customFormat="1" ht="21.75" customHeight="1">
      <c r="A32" s="366">
        <v>1090700000</v>
      </c>
      <c r="B32" s="367" t="s">
        <v>173</v>
      </c>
      <c r="C32" s="368">
        <v>0</v>
      </c>
      <c r="D32" s="369">
        <v>0.06718</v>
      </c>
      <c r="E32" s="368" t="e">
        <f t="shared" si="0"/>
        <v>#DIV/0!</v>
      </c>
      <c r="F32" s="368">
        <f t="shared" si="1"/>
        <v>0.06718</v>
      </c>
    </row>
    <row r="33" spans="1:6" s="365" customFormat="1" ht="21" customHeight="1">
      <c r="A33" s="362"/>
      <c r="B33" s="363" t="s">
        <v>17</v>
      </c>
      <c r="C33" s="364">
        <f>C34+C43+C45+C48+C51+C53+C58</f>
        <v>17976</v>
      </c>
      <c r="D33" s="364">
        <f>D34+D43+D45+D48+D51+D53+D58</f>
        <v>18940.33526</v>
      </c>
      <c r="E33" s="364">
        <f t="shared" si="0"/>
        <v>105.36457087227413</v>
      </c>
      <c r="F33" s="364">
        <f t="shared" si="1"/>
        <v>964.3352599999998</v>
      </c>
    </row>
    <row r="34" spans="1:6" s="365" customFormat="1" ht="37.5" customHeight="1">
      <c r="A34" s="362">
        <v>1110000</v>
      </c>
      <c r="B34" s="370" t="s">
        <v>174</v>
      </c>
      <c r="C34" s="364">
        <f>SUM(C35:C42)</f>
        <v>8143</v>
      </c>
      <c r="D34" s="364">
        <f>SUM(D35+D37+D38+D40+D41+D42)</f>
        <v>8625.488809999999</v>
      </c>
      <c r="E34" s="364">
        <f t="shared" si="0"/>
        <v>105.92519722461009</v>
      </c>
      <c r="F34" s="364">
        <f t="shared" si="1"/>
        <v>482.4888099999989</v>
      </c>
    </row>
    <row r="35" spans="1:6" s="365" customFormat="1" ht="26.25" customHeight="1">
      <c r="A35" s="366">
        <v>1110105005</v>
      </c>
      <c r="B35" s="367" t="s">
        <v>175</v>
      </c>
      <c r="C35" s="368">
        <v>0</v>
      </c>
      <c r="D35" s="368">
        <v>0</v>
      </c>
      <c r="E35" s="368" t="e">
        <f t="shared" si="0"/>
        <v>#DIV/0!</v>
      </c>
      <c r="F35" s="368">
        <f t="shared" si="1"/>
        <v>0</v>
      </c>
    </row>
    <row r="36" spans="1:6" s="357" customFormat="1" ht="27.75" customHeight="1" hidden="1">
      <c r="A36" s="366">
        <v>1110305005</v>
      </c>
      <c r="B36" s="371" t="s">
        <v>176</v>
      </c>
      <c r="C36" s="368">
        <v>0</v>
      </c>
      <c r="D36" s="369">
        <v>0</v>
      </c>
      <c r="E36" s="368" t="e">
        <f t="shared" si="0"/>
        <v>#DIV/0!</v>
      </c>
      <c r="F36" s="368">
        <f t="shared" si="1"/>
        <v>0</v>
      </c>
    </row>
    <row r="37" spans="1:6" s="357" customFormat="1" ht="12.75">
      <c r="A37" s="374">
        <v>1110501101</v>
      </c>
      <c r="B37" s="375" t="s">
        <v>177</v>
      </c>
      <c r="C37" s="372">
        <v>7300</v>
      </c>
      <c r="D37" s="369">
        <v>7784.26258</v>
      </c>
      <c r="E37" s="368">
        <f t="shared" si="0"/>
        <v>106.63373397260274</v>
      </c>
      <c r="F37" s="368">
        <f t="shared" si="1"/>
        <v>484.2625799999996</v>
      </c>
    </row>
    <row r="38" spans="1:6" s="357" customFormat="1" ht="10.5" customHeight="1">
      <c r="A38" s="366">
        <v>1110503505</v>
      </c>
      <c r="B38" s="371" t="s">
        <v>178</v>
      </c>
      <c r="C38" s="372">
        <v>276</v>
      </c>
      <c r="D38" s="369">
        <v>275.34495</v>
      </c>
      <c r="E38" s="368">
        <f t="shared" si="0"/>
        <v>99.76266304347826</v>
      </c>
      <c r="F38" s="368">
        <f t="shared" si="1"/>
        <v>-0.655050000000017</v>
      </c>
    </row>
    <row r="39" spans="1:6" s="357" customFormat="1" ht="131.25" customHeight="1" hidden="1">
      <c r="A39" s="366">
        <v>1110502000</v>
      </c>
      <c r="B39" s="367" t="s">
        <v>179</v>
      </c>
      <c r="C39" s="376">
        <v>0</v>
      </c>
      <c r="D39" s="369">
        <v>0</v>
      </c>
      <c r="E39" s="368" t="e">
        <f t="shared" si="0"/>
        <v>#DIV/0!</v>
      </c>
      <c r="F39" s="368">
        <f t="shared" si="1"/>
        <v>0</v>
      </c>
    </row>
    <row r="40" spans="1:6" s="373" customFormat="1" ht="12.75">
      <c r="A40" s="366">
        <v>1110701505</v>
      </c>
      <c r="B40" s="371" t="s">
        <v>180</v>
      </c>
      <c r="C40" s="372">
        <v>47</v>
      </c>
      <c r="D40" s="369">
        <v>46.986</v>
      </c>
      <c r="E40" s="368">
        <f t="shared" si="0"/>
        <v>99.97021276595744</v>
      </c>
      <c r="F40" s="368">
        <f t="shared" si="1"/>
        <v>-0.014000000000002899</v>
      </c>
    </row>
    <row r="41" spans="1:6" s="373" customFormat="1" ht="12.75">
      <c r="A41" s="366">
        <v>1110903000</v>
      </c>
      <c r="B41" s="371" t="s">
        <v>181</v>
      </c>
      <c r="C41" s="372">
        <v>0</v>
      </c>
      <c r="D41" s="369">
        <v>0</v>
      </c>
      <c r="E41" s="368" t="e">
        <f t="shared" si="0"/>
        <v>#DIV/0!</v>
      </c>
      <c r="F41" s="368">
        <f t="shared" si="1"/>
        <v>0</v>
      </c>
    </row>
    <row r="42" spans="1:6" s="373" customFormat="1" ht="12.75">
      <c r="A42" s="366">
        <v>1110904505</v>
      </c>
      <c r="B42" s="371" t="s">
        <v>182</v>
      </c>
      <c r="C42" s="372">
        <v>520</v>
      </c>
      <c r="D42" s="369">
        <v>518.89528</v>
      </c>
      <c r="E42" s="368">
        <f t="shared" si="0"/>
        <v>99.78755384615384</v>
      </c>
      <c r="F42" s="368">
        <f t="shared" si="1"/>
        <v>-1.104720000000043</v>
      </c>
    </row>
    <row r="43" spans="1:6" s="373" customFormat="1" ht="25.5">
      <c r="A43" s="362">
        <v>1120000</v>
      </c>
      <c r="B43" s="370" t="s">
        <v>183</v>
      </c>
      <c r="C43" s="377">
        <f>C44</f>
        <v>1300</v>
      </c>
      <c r="D43" s="377">
        <f>SUM(D44)</f>
        <v>1234.23926</v>
      </c>
      <c r="E43" s="364">
        <f t="shared" si="0"/>
        <v>94.94148153846155</v>
      </c>
      <c r="F43" s="364" t="e">
        <f>SUM("d43d43"-C43)</f>
        <v>#VALUE!</v>
      </c>
    </row>
    <row r="44" spans="1:6" s="373" customFormat="1" ht="25.5">
      <c r="A44" s="366">
        <v>1120100001</v>
      </c>
      <c r="B44" s="367" t="s">
        <v>184</v>
      </c>
      <c r="C44" s="368">
        <v>1300</v>
      </c>
      <c r="D44" s="369">
        <v>1234.23926</v>
      </c>
      <c r="E44" s="368">
        <f t="shared" si="0"/>
        <v>94.94148153846155</v>
      </c>
      <c r="F44" s="368">
        <f aca="true" t="shared" si="2" ref="F44:F71">SUM(D44-C44)</f>
        <v>-65.76073999999994</v>
      </c>
    </row>
    <row r="45" spans="1:6" s="380" customFormat="1" ht="21.75" customHeight="1">
      <c r="A45" s="378">
        <v>1130000</v>
      </c>
      <c r="B45" s="379" t="s">
        <v>185</v>
      </c>
      <c r="C45" s="364">
        <f>C46+C47</f>
        <v>83</v>
      </c>
      <c r="D45" s="444">
        <f>D46+D47</f>
        <v>82.56103</v>
      </c>
      <c r="E45" s="364">
        <f t="shared" si="0"/>
        <v>99.47112048192771</v>
      </c>
      <c r="F45" s="364">
        <f t="shared" si="2"/>
        <v>-0.43896999999999764</v>
      </c>
    </row>
    <row r="46" spans="1:6" s="373" customFormat="1" ht="36" customHeight="1">
      <c r="A46" s="366">
        <v>1130200000</v>
      </c>
      <c r="B46" s="367" t="s">
        <v>186</v>
      </c>
      <c r="C46" s="368">
        <v>83</v>
      </c>
      <c r="D46" s="368">
        <v>82.56103</v>
      </c>
      <c r="E46" s="368">
        <f t="shared" si="0"/>
        <v>99.47112048192771</v>
      </c>
      <c r="F46" s="368">
        <f t="shared" si="2"/>
        <v>-0.43896999999999764</v>
      </c>
    </row>
    <row r="47" spans="1:6" s="357" customFormat="1" ht="25.5" customHeight="1">
      <c r="A47" s="366">
        <v>1130305005</v>
      </c>
      <c r="B47" s="367" t="s">
        <v>187</v>
      </c>
      <c r="C47" s="368">
        <v>0</v>
      </c>
      <c r="D47" s="369">
        <v>0</v>
      </c>
      <c r="E47" s="368"/>
      <c r="F47" s="368">
        <f t="shared" si="2"/>
        <v>0</v>
      </c>
    </row>
    <row r="48" spans="1:6" s="357" customFormat="1" ht="20.25" customHeight="1">
      <c r="A48" s="381">
        <v>1140000</v>
      </c>
      <c r="B48" s="382" t="s">
        <v>188</v>
      </c>
      <c r="C48" s="364">
        <f>C49+C50</f>
        <v>6650</v>
      </c>
      <c r="D48" s="364">
        <f>D49+D50</f>
        <v>6666.5747</v>
      </c>
      <c r="E48" s="364">
        <f aca="true" t="shared" si="3" ref="E48:E72">SUM(D48/C48*100)</f>
        <v>100.24924360902257</v>
      </c>
      <c r="F48" s="364">
        <f t="shared" si="2"/>
        <v>16.57470000000012</v>
      </c>
    </row>
    <row r="49" spans="1:6" s="357" customFormat="1" ht="12.75">
      <c r="A49" s="383">
        <v>1140200000</v>
      </c>
      <c r="B49" s="384" t="s">
        <v>189</v>
      </c>
      <c r="C49" s="368">
        <v>650</v>
      </c>
      <c r="D49" s="369">
        <v>649.62864</v>
      </c>
      <c r="E49" s="368">
        <f t="shared" si="3"/>
        <v>99.94286769230769</v>
      </c>
      <c r="F49" s="368">
        <f t="shared" si="2"/>
        <v>-0.3713599999999815</v>
      </c>
    </row>
    <row r="50" spans="1:6" s="357" customFormat="1" ht="24" customHeight="1">
      <c r="A50" s="385">
        <v>1140600000</v>
      </c>
      <c r="B50" s="367" t="s">
        <v>190</v>
      </c>
      <c r="C50" s="368">
        <v>6000</v>
      </c>
      <c r="D50" s="369">
        <v>6016.94606</v>
      </c>
      <c r="E50" s="368">
        <f t="shared" si="3"/>
        <v>100.28243433333334</v>
      </c>
      <c r="F50" s="368">
        <f t="shared" si="2"/>
        <v>16.946060000000216</v>
      </c>
    </row>
    <row r="51" spans="1:6" s="357" customFormat="1" ht="24" customHeight="1">
      <c r="A51" s="362">
        <v>1150000000</v>
      </c>
      <c r="B51" s="370" t="s">
        <v>191</v>
      </c>
      <c r="C51" s="364">
        <f>C52</f>
        <v>0</v>
      </c>
      <c r="D51" s="364">
        <f>D52</f>
        <v>0</v>
      </c>
      <c r="E51" s="364" t="e">
        <f t="shared" si="3"/>
        <v>#DIV/0!</v>
      </c>
      <c r="F51" s="364">
        <f t="shared" si="2"/>
        <v>0</v>
      </c>
    </row>
    <row r="52" spans="1:6" s="357" customFormat="1" ht="24" customHeight="1">
      <c r="A52" s="366">
        <v>1150205005</v>
      </c>
      <c r="B52" s="367" t="s">
        <v>192</v>
      </c>
      <c r="C52" s="368">
        <v>0</v>
      </c>
      <c r="D52" s="369">
        <v>0</v>
      </c>
      <c r="E52" s="368" t="e">
        <f t="shared" si="3"/>
        <v>#DIV/0!</v>
      </c>
      <c r="F52" s="368">
        <f t="shared" si="2"/>
        <v>0</v>
      </c>
    </row>
    <row r="53" spans="1:8" s="357" customFormat="1" ht="25.5">
      <c r="A53" s="362">
        <v>1160000</v>
      </c>
      <c r="B53" s="370" t="s">
        <v>193</v>
      </c>
      <c r="C53" s="364">
        <f>SUM(C54:C57)</f>
        <v>1800</v>
      </c>
      <c r="D53" s="364">
        <f>SUM(D54:D57)</f>
        <v>2331.47146</v>
      </c>
      <c r="E53" s="364">
        <f t="shared" si="3"/>
        <v>129.52619222222225</v>
      </c>
      <c r="F53" s="364">
        <f t="shared" si="2"/>
        <v>531.4714600000002</v>
      </c>
      <c r="H53" s="386"/>
    </row>
    <row r="54" spans="1:6" s="357" customFormat="1" ht="36.75" customHeight="1">
      <c r="A54" s="366">
        <v>1160100001</v>
      </c>
      <c r="B54" s="367" t="s">
        <v>194</v>
      </c>
      <c r="C54" s="368">
        <v>1197</v>
      </c>
      <c r="D54" s="387">
        <v>1123.19999</v>
      </c>
      <c r="E54" s="368">
        <f t="shared" si="3"/>
        <v>93.83458563074353</v>
      </c>
      <c r="F54" s="368">
        <f t="shared" si="2"/>
        <v>-73.80000999999993</v>
      </c>
    </row>
    <row r="55" spans="1:6" s="357" customFormat="1" ht="39.75" customHeight="1">
      <c r="A55" s="366">
        <v>1160709000</v>
      </c>
      <c r="B55" s="367" t="s">
        <v>195</v>
      </c>
      <c r="C55" s="368">
        <v>336</v>
      </c>
      <c r="D55" s="388">
        <v>697.54731</v>
      </c>
      <c r="E55" s="368">
        <f t="shared" si="3"/>
        <v>207.60336607142858</v>
      </c>
      <c r="F55" s="368">
        <f t="shared" si="2"/>
        <v>361.54731000000004</v>
      </c>
    </row>
    <row r="56" spans="1:6" s="357" customFormat="1" ht="41.25" customHeight="1">
      <c r="A56" s="366">
        <v>1161012000</v>
      </c>
      <c r="B56" s="367" t="s">
        <v>196</v>
      </c>
      <c r="C56" s="388">
        <v>180</v>
      </c>
      <c r="D56" s="388">
        <v>185.24576</v>
      </c>
      <c r="E56" s="368">
        <f t="shared" si="3"/>
        <v>102.91431111111112</v>
      </c>
      <c r="F56" s="368">
        <f t="shared" si="2"/>
        <v>5.24575999999999</v>
      </c>
    </row>
    <row r="57" spans="1:6" s="357" customFormat="1" ht="41.25" customHeight="1">
      <c r="A57" s="366">
        <v>1161100001</v>
      </c>
      <c r="B57" s="367" t="s">
        <v>197</v>
      </c>
      <c r="C57" s="388">
        <v>87</v>
      </c>
      <c r="D57" s="388">
        <v>325.4784</v>
      </c>
      <c r="E57" s="368">
        <f t="shared" si="3"/>
        <v>374.1131034482759</v>
      </c>
      <c r="F57" s="368">
        <f t="shared" si="2"/>
        <v>238.47840000000002</v>
      </c>
    </row>
    <row r="58" spans="1:6" s="357" customFormat="1" ht="25.5" customHeight="1">
      <c r="A58" s="362">
        <v>1170000</v>
      </c>
      <c r="B58" s="370" t="s">
        <v>198</v>
      </c>
      <c r="C58" s="364">
        <f>C59+C60</f>
        <v>0</v>
      </c>
      <c r="D58" s="364">
        <f>D59+D60</f>
        <v>0</v>
      </c>
      <c r="E58" s="368" t="e">
        <f t="shared" si="3"/>
        <v>#DIV/0!</v>
      </c>
      <c r="F58" s="364">
        <f t="shared" si="2"/>
        <v>0</v>
      </c>
    </row>
    <row r="59" spans="1:6" s="357" customFormat="1" ht="12.75">
      <c r="A59" s="366">
        <v>1170105005</v>
      </c>
      <c r="B59" s="367" t="s">
        <v>199</v>
      </c>
      <c r="C59" s="368">
        <v>0</v>
      </c>
      <c r="D59" s="368">
        <v>0</v>
      </c>
      <c r="E59" s="368" t="e">
        <f t="shared" si="3"/>
        <v>#DIV/0!</v>
      </c>
      <c r="F59" s="368">
        <f t="shared" si="2"/>
        <v>0</v>
      </c>
    </row>
    <row r="60" spans="1:6" s="357" customFormat="1" ht="12.75">
      <c r="A60" s="366">
        <v>1170505005</v>
      </c>
      <c r="B60" s="371" t="s">
        <v>200</v>
      </c>
      <c r="C60" s="368">
        <v>0</v>
      </c>
      <c r="D60" s="369">
        <v>0</v>
      </c>
      <c r="E60" s="368" t="e">
        <f t="shared" si="3"/>
        <v>#DIV/0!</v>
      </c>
      <c r="F60" s="368">
        <f t="shared" si="2"/>
        <v>0</v>
      </c>
    </row>
    <row r="61" spans="1:8" s="365" customFormat="1" ht="12.75">
      <c r="A61" s="362">
        <v>100000</v>
      </c>
      <c r="B61" s="363" t="s">
        <v>26</v>
      </c>
      <c r="C61" s="389">
        <f>SUM(C4,C33)</f>
        <v>182946.98839</v>
      </c>
      <c r="D61" s="389">
        <f>SUM(D4,D33)</f>
        <v>190160.40067000003</v>
      </c>
      <c r="E61" s="364">
        <f t="shared" si="3"/>
        <v>103.94289752648058</v>
      </c>
      <c r="F61" s="364">
        <f t="shared" si="2"/>
        <v>7213.412280000019</v>
      </c>
      <c r="G61" s="390"/>
      <c r="H61" s="390"/>
    </row>
    <row r="62" spans="1:8" s="365" customFormat="1" ht="30" customHeight="1">
      <c r="A62" s="362">
        <v>200000</v>
      </c>
      <c r="B62" s="363" t="s">
        <v>201</v>
      </c>
      <c r="C62" s="364">
        <f>C63+C66+C67+C68+C70+C65+C69</f>
        <v>905531.85662</v>
      </c>
      <c r="D62" s="364">
        <f>D63+D66+D67+D68+D70+D65+D69</f>
        <v>899875.7719</v>
      </c>
      <c r="E62" s="364">
        <f t="shared" si="3"/>
        <v>99.37538534081928</v>
      </c>
      <c r="F62" s="364">
        <f t="shared" si="2"/>
        <v>-5656.084719999926</v>
      </c>
      <c r="G62" s="390"/>
      <c r="H62" s="390"/>
    </row>
    <row r="63" spans="1:6" s="357" customFormat="1" ht="21.75" customHeight="1">
      <c r="A63" s="374">
        <v>2021000000</v>
      </c>
      <c r="B63" s="375" t="s">
        <v>202</v>
      </c>
      <c r="C63" s="372">
        <v>10026.8</v>
      </c>
      <c r="D63" s="391">
        <v>10026.8</v>
      </c>
      <c r="E63" s="368">
        <f t="shared" si="3"/>
        <v>100</v>
      </c>
      <c r="F63" s="368">
        <f t="shared" si="2"/>
        <v>0</v>
      </c>
    </row>
    <row r="64" spans="1:6" s="357" customFormat="1" ht="21.75" customHeight="1">
      <c r="A64" s="374">
        <v>2020100905</v>
      </c>
      <c r="B64" s="384" t="s">
        <v>203</v>
      </c>
      <c r="C64" s="372">
        <v>0</v>
      </c>
      <c r="D64" s="391" t="s">
        <v>204</v>
      </c>
      <c r="E64" s="368" t="e">
        <f t="shared" si="3"/>
        <v>#VALUE!</v>
      </c>
      <c r="F64" s="368" t="e">
        <f t="shared" si="2"/>
        <v>#VALUE!</v>
      </c>
    </row>
    <row r="65" spans="1:6" s="357" customFormat="1" ht="18" customHeight="1">
      <c r="A65" s="374">
        <v>2021500200</v>
      </c>
      <c r="B65" s="375" t="s">
        <v>205</v>
      </c>
      <c r="C65" s="372"/>
      <c r="D65" s="391"/>
      <c r="E65" s="368" t="e">
        <f t="shared" si="3"/>
        <v>#DIV/0!</v>
      </c>
      <c r="F65" s="368">
        <f t="shared" si="2"/>
        <v>0</v>
      </c>
    </row>
    <row r="66" spans="1:6" s="357" customFormat="1" ht="12.75">
      <c r="A66" s="374">
        <v>2022000000</v>
      </c>
      <c r="B66" s="375" t="s">
        <v>206</v>
      </c>
      <c r="C66" s="372">
        <v>409049.40326</v>
      </c>
      <c r="D66" s="369">
        <v>404873.09605</v>
      </c>
      <c r="E66" s="368">
        <f t="shared" si="3"/>
        <v>98.97902131705459</v>
      </c>
      <c r="F66" s="368">
        <f t="shared" si="2"/>
        <v>-4176.307209999999</v>
      </c>
    </row>
    <row r="67" spans="1:6" s="357" customFormat="1" ht="12.75">
      <c r="A67" s="374">
        <v>2023000000</v>
      </c>
      <c r="B67" s="375" t="s">
        <v>207</v>
      </c>
      <c r="C67" s="372">
        <v>440587.86045</v>
      </c>
      <c r="D67" s="392">
        <v>439592.3994</v>
      </c>
      <c r="E67" s="368">
        <f t="shared" si="3"/>
        <v>99.77406071765499</v>
      </c>
      <c r="F67" s="368">
        <f t="shared" si="2"/>
        <v>-995.4610499999835</v>
      </c>
    </row>
    <row r="68" spans="1:6" s="357" customFormat="1" ht="19.5" customHeight="1">
      <c r="A68" s="374">
        <v>2024000000</v>
      </c>
      <c r="B68" s="384" t="s">
        <v>102</v>
      </c>
      <c r="C68" s="372">
        <v>65606.766</v>
      </c>
      <c r="D68" s="393">
        <v>64662.86091</v>
      </c>
      <c r="E68" s="368">
        <f t="shared" si="3"/>
        <v>98.56126868073332</v>
      </c>
      <c r="F68" s="368">
        <f t="shared" si="2"/>
        <v>-943.9050900000002</v>
      </c>
    </row>
    <row r="69" spans="1:6" s="357" customFormat="1" ht="12.75">
      <c r="A69" s="374">
        <v>2180500005</v>
      </c>
      <c r="B69" s="384" t="s">
        <v>208</v>
      </c>
      <c r="C69" s="372">
        <v>0</v>
      </c>
      <c r="D69" s="393">
        <v>470.61147</v>
      </c>
      <c r="E69" s="368" t="e">
        <f t="shared" si="3"/>
        <v>#DIV/0!</v>
      </c>
      <c r="F69" s="368">
        <f t="shared" si="2"/>
        <v>470.61147</v>
      </c>
    </row>
    <row r="70" spans="1:6" s="357" customFormat="1" ht="18" customHeight="1">
      <c r="A70" s="366">
        <v>2196001005</v>
      </c>
      <c r="B70" s="371" t="s">
        <v>209</v>
      </c>
      <c r="C70" s="369">
        <v>-19738.97309</v>
      </c>
      <c r="D70" s="369">
        <v>-19749.99593</v>
      </c>
      <c r="E70" s="368">
        <f t="shared" si="3"/>
        <v>100.05584302663438</v>
      </c>
      <c r="F70" s="368">
        <f t="shared" si="2"/>
        <v>-11.022840000001452</v>
      </c>
    </row>
    <row r="71" spans="1:6" s="365" customFormat="1" ht="24" customHeight="1" hidden="1">
      <c r="A71" s="362">
        <v>3000000000</v>
      </c>
      <c r="B71" s="370" t="s">
        <v>210</v>
      </c>
      <c r="C71" s="377">
        <v>0</v>
      </c>
      <c r="D71" s="394">
        <v>0</v>
      </c>
      <c r="E71" s="368" t="e">
        <f t="shared" si="3"/>
        <v>#DIV/0!</v>
      </c>
      <c r="F71" s="364">
        <f t="shared" si="2"/>
        <v>0</v>
      </c>
    </row>
    <row r="72" spans="1:8" s="365" customFormat="1" ht="22.5" customHeight="1">
      <c r="A72" s="362"/>
      <c r="B72" s="363" t="s">
        <v>211</v>
      </c>
      <c r="C72" s="395">
        <f>C61+C62</f>
        <v>1088478.84501</v>
      </c>
      <c r="D72" s="395">
        <f>D61+D62</f>
        <v>1090036.1725700002</v>
      </c>
      <c r="E72" s="368">
        <f t="shared" si="3"/>
        <v>100.14307375537335</v>
      </c>
      <c r="F72" s="364">
        <f>SUM(D73-C72)</f>
        <v>-1090210.3247099998</v>
      </c>
      <c r="G72" s="396">
        <f>C72-798026.07441</f>
        <v>290452.77060000005</v>
      </c>
      <c r="H72" s="390">
        <f>D72-379713.41199</f>
        <v>710322.7605800002</v>
      </c>
    </row>
    <row r="73" spans="1:8" s="365" customFormat="1" ht="12.75">
      <c r="A73" s="362"/>
      <c r="B73" s="397" t="s">
        <v>212</v>
      </c>
      <c r="C73" s="398">
        <f>C72-C134</f>
        <v>-38638.63086999999</v>
      </c>
      <c r="D73" s="364">
        <f>D72-D134</f>
        <v>-1731.4796999997925</v>
      </c>
      <c r="E73" s="399"/>
      <c r="F73" s="399"/>
      <c r="G73" s="390"/>
      <c r="H73" s="390"/>
    </row>
    <row r="74" spans="1:6" s="357" customFormat="1" ht="12.75">
      <c r="A74" s="400"/>
      <c r="B74" s="401"/>
      <c r="C74" s="402"/>
      <c r="D74" s="402"/>
      <c r="E74" s="403"/>
      <c r="F74" s="403"/>
    </row>
    <row r="75" spans="1:6" s="357" customFormat="1" ht="38.25">
      <c r="A75" s="404" t="s">
        <v>141</v>
      </c>
      <c r="B75" s="404" t="s">
        <v>213</v>
      </c>
      <c r="C75" s="359" t="s">
        <v>143</v>
      </c>
      <c r="D75" s="360" t="s">
        <v>442</v>
      </c>
      <c r="E75" s="359" t="s">
        <v>144</v>
      </c>
      <c r="F75" s="361" t="s">
        <v>145</v>
      </c>
    </row>
    <row r="76" spans="1:6" s="357" customFormat="1" ht="12.75">
      <c r="A76" s="405">
        <v>1</v>
      </c>
      <c r="B76" s="404">
        <v>2</v>
      </c>
      <c r="C76" s="406">
        <v>3</v>
      </c>
      <c r="D76" s="407">
        <v>4</v>
      </c>
      <c r="E76" s="406">
        <v>5</v>
      </c>
      <c r="F76" s="406">
        <v>6</v>
      </c>
    </row>
    <row r="77" spans="1:6" s="365" customFormat="1" ht="22.5" customHeight="1">
      <c r="A77" s="408" t="s">
        <v>33</v>
      </c>
      <c r="B77" s="409" t="s">
        <v>214</v>
      </c>
      <c r="C77" s="399">
        <f>SUM(C78+C79+C80+C81+C82+C83+C84)</f>
        <v>54196.1029</v>
      </c>
      <c r="D77" s="399">
        <f>SUM(D78:D84)</f>
        <v>44832.67133</v>
      </c>
      <c r="E77" s="410">
        <f aca="true" t="shared" si="4" ref="E77:E94">SUM(D77/C77*100)</f>
        <v>82.72305374562274</v>
      </c>
      <c r="F77" s="410">
        <f aca="true" t="shared" si="5" ref="F77:F94">SUM(D77-C77)</f>
        <v>-9363.43157</v>
      </c>
    </row>
    <row r="78" spans="1:6" s="365" customFormat="1" ht="25.5">
      <c r="A78" s="411" t="s">
        <v>215</v>
      </c>
      <c r="B78" s="412" t="s">
        <v>216</v>
      </c>
      <c r="C78" s="413">
        <v>50</v>
      </c>
      <c r="D78" s="413">
        <v>50</v>
      </c>
      <c r="E78" s="410">
        <f t="shared" si="4"/>
        <v>100</v>
      </c>
      <c r="F78" s="410">
        <f t="shared" si="5"/>
        <v>0</v>
      </c>
    </row>
    <row r="79" spans="1:6" s="357" customFormat="1" ht="21.75" customHeight="1">
      <c r="A79" s="411" t="s">
        <v>217</v>
      </c>
      <c r="B79" s="414" t="s">
        <v>218</v>
      </c>
      <c r="C79" s="413">
        <v>27419.5736</v>
      </c>
      <c r="D79" s="413">
        <v>27152.32877</v>
      </c>
      <c r="E79" s="415">
        <f t="shared" si="4"/>
        <v>99.0253501608063</v>
      </c>
      <c r="F79" s="415">
        <f t="shared" si="5"/>
        <v>-267.24482999999964</v>
      </c>
    </row>
    <row r="80" spans="1:6" s="357" customFormat="1" ht="13.5" customHeight="1">
      <c r="A80" s="411" t="s">
        <v>219</v>
      </c>
      <c r="B80" s="414" t="s">
        <v>220</v>
      </c>
      <c r="C80" s="413">
        <v>10</v>
      </c>
      <c r="D80" s="413">
        <v>10</v>
      </c>
      <c r="E80" s="415">
        <f t="shared" si="4"/>
        <v>100</v>
      </c>
      <c r="F80" s="415">
        <f t="shared" si="5"/>
        <v>0</v>
      </c>
    </row>
    <row r="81" spans="1:6" s="357" customFormat="1" ht="36.75" customHeight="1">
      <c r="A81" s="411" t="s">
        <v>221</v>
      </c>
      <c r="B81" s="414" t="s">
        <v>222</v>
      </c>
      <c r="C81" s="416">
        <v>5656.40053</v>
      </c>
      <c r="D81" s="416">
        <v>5576.51332</v>
      </c>
      <c r="E81" s="415">
        <f t="shared" si="4"/>
        <v>98.58766702293623</v>
      </c>
      <c r="F81" s="415">
        <f t="shared" si="5"/>
        <v>-79.88720999999987</v>
      </c>
    </row>
    <row r="82" spans="1:6" s="357" customFormat="1" ht="14.25" customHeight="1">
      <c r="A82" s="411" t="s">
        <v>223</v>
      </c>
      <c r="B82" s="414" t="s">
        <v>224</v>
      </c>
      <c r="C82" s="413">
        <v>61.5</v>
      </c>
      <c r="D82" s="413">
        <v>61.5</v>
      </c>
      <c r="E82" s="415">
        <f t="shared" si="4"/>
        <v>100</v>
      </c>
      <c r="F82" s="415">
        <f t="shared" si="5"/>
        <v>0</v>
      </c>
    </row>
    <row r="83" spans="1:6" s="357" customFormat="1" ht="18" customHeight="1">
      <c r="A83" s="411" t="s">
        <v>225</v>
      </c>
      <c r="B83" s="414" t="s">
        <v>226</v>
      </c>
      <c r="C83" s="416">
        <v>8881.6826</v>
      </c>
      <c r="D83" s="416">
        <v>0</v>
      </c>
      <c r="E83" s="415">
        <f t="shared" si="4"/>
        <v>0</v>
      </c>
      <c r="F83" s="415">
        <f t="shared" si="5"/>
        <v>-8881.6826</v>
      </c>
    </row>
    <row r="84" spans="1:6" s="357" customFormat="1" ht="18" customHeight="1">
      <c r="A84" s="411" t="s">
        <v>227</v>
      </c>
      <c r="B84" s="414" t="s">
        <v>228</v>
      </c>
      <c r="C84" s="413">
        <v>12116.94617</v>
      </c>
      <c r="D84" s="413">
        <v>11982.32924</v>
      </c>
      <c r="E84" s="415">
        <f t="shared" si="4"/>
        <v>98.88901932787904</v>
      </c>
      <c r="F84" s="415">
        <f t="shared" si="5"/>
        <v>-134.61693000000014</v>
      </c>
    </row>
    <row r="85" spans="1:6" s="365" customFormat="1" ht="12.75">
      <c r="A85" s="417" t="s">
        <v>35</v>
      </c>
      <c r="B85" s="418" t="s">
        <v>229</v>
      </c>
      <c r="C85" s="399">
        <f>C86</f>
        <v>2384.6</v>
      </c>
      <c r="D85" s="399">
        <f>D86</f>
        <v>2384.6</v>
      </c>
      <c r="E85" s="410">
        <f t="shared" si="4"/>
        <v>100</v>
      </c>
      <c r="F85" s="410">
        <f t="shared" si="5"/>
        <v>0</v>
      </c>
    </row>
    <row r="86" spans="1:6" s="357" customFormat="1" ht="25.5">
      <c r="A86" s="419" t="s">
        <v>230</v>
      </c>
      <c r="B86" s="420" t="s">
        <v>231</v>
      </c>
      <c r="C86" s="413">
        <v>2384.6</v>
      </c>
      <c r="D86" s="413">
        <v>2384.6</v>
      </c>
      <c r="E86" s="415">
        <f t="shared" si="4"/>
        <v>100</v>
      </c>
      <c r="F86" s="415">
        <f t="shared" si="5"/>
        <v>0</v>
      </c>
    </row>
    <row r="87" spans="1:6" s="365" customFormat="1" ht="21" customHeight="1">
      <c r="A87" s="408" t="s">
        <v>37</v>
      </c>
      <c r="B87" s="409" t="s">
        <v>232</v>
      </c>
      <c r="C87" s="399">
        <f>SUM(C89:C92)</f>
        <v>6246.4464</v>
      </c>
      <c r="D87" s="399">
        <f>SUM(D89:D92)</f>
        <v>6246.4425599999995</v>
      </c>
      <c r="E87" s="410">
        <f t="shared" si="4"/>
        <v>99.99993852504682</v>
      </c>
      <c r="F87" s="410">
        <f t="shared" si="5"/>
        <v>-0.0038400000003093737</v>
      </c>
    </row>
    <row r="88" spans="1:6" s="357" customFormat="1" ht="23.25" customHeight="1" hidden="1">
      <c r="A88" s="411" t="s">
        <v>233</v>
      </c>
      <c r="B88" s="414" t="s">
        <v>234</v>
      </c>
      <c r="C88" s="413"/>
      <c r="D88" s="413"/>
      <c r="E88" s="415" t="e">
        <f t="shared" si="4"/>
        <v>#DIV/0!</v>
      </c>
      <c r="F88" s="415">
        <f t="shared" si="5"/>
        <v>0</v>
      </c>
    </row>
    <row r="89" spans="1:6" s="357" customFormat="1" ht="12.75">
      <c r="A89" s="421" t="s">
        <v>235</v>
      </c>
      <c r="B89" s="414" t="s">
        <v>236</v>
      </c>
      <c r="C89" s="413">
        <v>3261.8</v>
      </c>
      <c r="D89" s="413">
        <v>3261.8</v>
      </c>
      <c r="E89" s="415">
        <f t="shared" si="4"/>
        <v>100</v>
      </c>
      <c r="F89" s="415">
        <f t="shared" si="5"/>
        <v>0</v>
      </c>
    </row>
    <row r="90" spans="1:6" s="357" customFormat="1" ht="24.75" customHeight="1">
      <c r="A90" s="422" t="s">
        <v>237</v>
      </c>
      <c r="B90" s="423" t="s">
        <v>238</v>
      </c>
      <c r="C90" s="413">
        <v>2785</v>
      </c>
      <c r="D90" s="413">
        <v>2784.99616</v>
      </c>
      <c r="E90" s="415">
        <f t="shared" si="4"/>
        <v>99.99986211849192</v>
      </c>
      <c r="F90" s="415">
        <f t="shared" si="5"/>
        <v>-0.0038399999998546264</v>
      </c>
    </row>
    <row r="91" spans="1:6" s="357" customFormat="1" ht="14.25" customHeight="1">
      <c r="A91" s="422" t="s">
        <v>239</v>
      </c>
      <c r="B91" s="423" t="s">
        <v>240</v>
      </c>
      <c r="C91" s="413">
        <v>0</v>
      </c>
      <c r="D91" s="413">
        <v>0</v>
      </c>
      <c r="E91" s="415" t="e">
        <f t="shared" si="4"/>
        <v>#DIV/0!</v>
      </c>
      <c r="F91" s="415">
        <f t="shared" si="5"/>
        <v>0</v>
      </c>
    </row>
    <row r="92" spans="1:6" s="357" customFormat="1" ht="26.25" customHeight="1">
      <c r="A92" s="422" t="s">
        <v>241</v>
      </c>
      <c r="B92" s="423" t="s">
        <v>242</v>
      </c>
      <c r="C92" s="424">
        <v>199.6464</v>
      </c>
      <c r="D92" s="413">
        <v>199.6464</v>
      </c>
      <c r="E92" s="415">
        <f t="shared" si="4"/>
        <v>100</v>
      </c>
      <c r="F92" s="415">
        <f t="shared" si="5"/>
        <v>0</v>
      </c>
    </row>
    <row r="93" spans="1:6" s="365" customFormat="1" ht="18" customHeight="1">
      <c r="A93" s="408" t="s">
        <v>39</v>
      </c>
      <c r="B93" s="409" t="s">
        <v>243</v>
      </c>
      <c r="C93" s="425">
        <f>SUM(C94:C99)</f>
        <v>80328.51499999998</v>
      </c>
      <c r="D93" s="425">
        <f>SUM(D94:D99)</f>
        <v>77875.66146</v>
      </c>
      <c r="E93" s="410">
        <f t="shared" si="4"/>
        <v>96.94647219608132</v>
      </c>
      <c r="F93" s="410">
        <f t="shared" si="5"/>
        <v>-2452.853539999982</v>
      </c>
    </row>
    <row r="94" spans="1:6" s="357" customFormat="1" ht="15.75" customHeight="1">
      <c r="A94" s="411" t="s">
        <v>244</v>
      </c>
      <c r="B94" s="412" t="s">
        <v>245</v>
      </c>
      <c r="C94" s="426">
        <v>200</v>
      </c>
      <c r="D94" s="426">
        <v>200</v>
      </c>
      <c r="E94" s="415">
        <f t="shared" si="4"/>
        <v>100</v>
      </c>
      <c r="F94" s="415">
        <f t="shared" si="5"/>
        <v>0</v>
      </c>
    </row>
    <row r="95" spans="1:6" s="357" customFormat="1" ht="21" customHeight="1" hidden="1">
      <c r="A95" s="411"/>
      <c r="B95" s="414"/>
      <c r="C95" s="426"/>
      <c r="D95" s="413"/>
      <c r="E95" s="415"/>
      <c r="F95" s="415"/>
    </row>
    <row r="96" spans="1:7" s="365" customFormat="1" ht="10.5" customHeight="1">
      <c r="A96" s="411" t="s">
        <v>246</v>
      </c>
      <c r="B96" s="414" t="s">
        <v>247</v>
      </c>
      <c r="C96" s="426">
        <v>751.965</v>
      </c>
      <c r="D96" s="413">
        <v>745.6516</v>
      </c>
      <c r="E96" s="415">
        <f>SUM(D96/C96*100)</f>
        <v>99.16041305113936</v>
      </c>
      <c r="F96" s="415">
        <f>SUM(D96-C96)</f>
        <v>-6.3134000000000015</v>
      </c>
      <c r="G96" s="427"/>
    </row>
    <row r="97" spans="1:7" s="365" customFormat="1" ht="10.5" customHeight="1">
      <c r="A97" s="411" t="s">
        <v>248</v>
      </c>
      <c r="B97" s="414" t="s">
        <v>249</v>
      </c>
      <c r="C97" s="426">
        <v>500</v>
      </c>
      <c r="D97" s="413"/>
      <c r="E97" s="415"/>
      <c r="F97" s="415"/>
      <c r="G97" s="427"/>
    </row>
    <row r="98" spans="1:6" s="357" customFormat="1" ht="14.25" customHeight="1">
      <c r="A98" s="411" t="s">
        <v>250</v>
      </c>
      <c r="B98" s="414" t="s">
        <v>251</v>
      </c>
      <c r="C98" s="426">
        <v>74302.40142</v>
      </c>
      <c r="D98" s="413">
        <v>73559.15201</v>
      </c>
      <c r="E98" s="415">
        <f aca="true" t="shared" si="6" ref="E98:E127">SUM(D98/C98*100)</f>
        <v>98.99969665071964</v>
      </c>
      <c r="F98" s="415">
        <f aca="true" t="shared" si="7" ref="F98:F119">SUM(D98-C98)</f>
        <v>-743.2494099999894</v>
      </c>
    </row>
    <row r="99" spans="1:6" s="357" customFormat="1" ht="25.5">
      <c r="A99" s="411" t="s">
        <v>252</v>
      </c>
      <c r="B99" s="414" t="s">
        <v>253</v>
      </c>
      <c r="C99" s="426">
        <v>4574.14858</v>
      </c>
      <c r="D99" s="413">
        <v>3370.85785</v>
      </c>
      <c r="E99" s="415">
        <f t="shared" si="6"/>
        <v>73.69366759835336</v>
      </c>
      <c r="F99" s="415">
        <f t="shared" si="7"/>
        <v>-1203.2907300000002</v>
      </c>
    </row>
    <row r="100" spans="1:6" s="365" customFormat="1" ht="25.5">
      <c r="A100" s="408" t="s">
        <v>41</v>
      </c>
      <c r="B100" s="409" t="s">
        <v>254</v>
      </c>
      <c r="C100" s="399">
        <f>SUM(C101:C103)</f>
        <v>86250.79034</v>
      </c>
      <c r="D100" s="399">
        <f>SUM(D101:D103)</f>
        <v>73085.06206</v>
      </c>
      <c r="E100" s="410">
        <f t="shared" si="6"/>
        <v>84.73552737534253</v>
      </c>
      <c r="F100" s="410">
        <f t="shared" si="7"/>
        <v>-13165.72828000001</v>
      </c>
    </row>
    <row r="101" spans="1:6" s="357" customFormat="1" ht="12.75">
      <c r="A101" s="411" t="s">
        <v>255</v>
      </c>
      <c r="B101" s="428" t="s">
        <v>256</v>
      </c>
      <c r="C101" s="413">
        <v>7737.82205</v>
      </c>
      <c r="D101" s="413">
        <v>7660.72096</v>
      </c>
      <c r="E101" s="415">
        <f t="shared" si="6"/>
        <v>99.00358150521178</v>
      </c>
      <c r="F101" s="415">
        <f t="shared" si="7"/>
        <v>-77.10109000000011</v>
      </c>
    </row>
    <row r="102" spans="1:6" s="357" customFormat="1" ht="10.5" customHeight="1">
      <c r="A102" s="411" t="s">
        <v>257</v>
      </c>
      <c r="B102" s="428" t="s">
        <v>258</v>
      </c>
      <c r="C102" s="413">
        <v>42693.54337</v>
      </c>
      <c r="D102" s="413">
        <v>41005.82524</v>
      </c>
      <c r="E102" s="415">
        <f t="shared" si="6"/>
        <v>96.04690077988249</v>
      </c>
      <c r="F102" s="415">
        <f t="shared" si="7"/>
        <v>-1687.718130000001</v>
      </c>
    </row>
    <row r="103" spans="1:6" s="357" customFormat="1" ht="11.25" customHeight="1">
      <c r="A103" s="411" t="s">
        <v>259</v>
      </c>
      <c r="B103" s="414" t="s">
        <v>260</v>
      </c>
      <c r="C103" s="413">
        <v>35819.42492</v>
      </c>
      <c r="D103" s="413">
        <v>24418.51586</v>
      </c>
      <c r="E103" s="415">
        <f t="shared" si="6"/>
        <v>68.17115549603861</v>
      </c>
      <c r="F103" s="415">
        <f t="shared" si="7"/>
        <v>-11400.909059999998</v>
      </c>
    </row>
    <row r="104" spans="1:6" s="365" customFormat="1" ht="12.75">
      <c r="A104" s="408" t="s">
        <v>43</v>
      </c>
      <c r="B104" s="429" t="s">
        <v>261</v>
      </c>
      <c r="C104" s="425">
        <f>SUM(C105)</f>
        <v>50</v>
      </c>
      <c r="D104" s="425">
        <f>SUM(D105)</f>
        <v>50</v>
      </c>
      <c r="E104" s="410">
        <f t="shared" si="6"/>
        <v>100</v>
      </c>
      <c r="F104" s="410">
        <f t="shared" si="7"/>
        <v>0</v>
      </c>
    </row>
    <row r="105" spans="1:6" s="357" customFormat="1" ht="25.5">
      <c r="A105" s="411" t="s">
        <v>262</v>
      </c>
      <c r="B105" s="428" t="s">
        <v>263</v>
      </c>
      <c r="C105" s="415">
        <v>50</v>
      </c>
      <c r="D105" s="416">
        <v>50</v>
      </c>
      <c r="E105" s="415">
        <f t="shared" si="6"/>
        <v>100</v>
      </c>
      <c r="F105" s="415">
        <f t="shared" si="7"/>
        <v>0</v>
      </c>
    </row>
    <row r="106" spans="1:6" s="365" customFormat="1" ht="12.75">
      <c r="A106" s="408" t="s">
        <v>45</v>
      </c>
      <c r="B106" s="429" t="s">
        <v>264</v>
      </c>
      <c r="C106" s="425">
        <f>SUM(C107:C111)</f>
        <v>711371.44951</v>
      </c>
      <c r="D106" s="447">
        <f>SUM(D108+D109+D110+D111+D107)</f>
        <v>704486.9755899999</v>
      </c>
      <c r="E106" s="410">
        <f t="shared" si="6"/>
        <v>99.03222515821487</v>
      </c>
      <c r="F106" s="410">
        <f t="shared" si="7"/>
        <v>-6884.473920000019</v>
      </c>
    </row>
    <row r="107" spans="1:6" s="357" customFormat="1" ht="12.75">
      <c r="A107" s="411" t="s">
        <v>265</v>
      </c>
      <c r="B107" s="428" t="s">
        <v>266</v>
      </c>
      <c r="C107" s="426">
        <v>124128.45893</v>
      </c>
      <c r="D107" s="413">
        <v>122967.16118</v>
      </c>
      <c r="E107" s="415">
        <f t="shared" si="6"/>
        <v>99.06443875964423</v>
      </c>
      <c r="F107" s="415">
        <f t="shared" si="7"/>
        <v>-1161.297749999998</v>
      </c>
    </row>
    <row r="108" spans="1:6" s="357" customFormat="1" ht="12.75">
      <c r="A108" s="411" t="s">
        <v>267</v>
      </c>
      <c r="B108" s="428" t="s">
        <v>268</v>
      </c>
      <c r="C108" s="426">
        <v>558926.72318</v>
      </c>
      <c r="D108" s="413">
        <v>553208.72401</v>
      </c>
      <c r="E108" s="415">
        <f t="shared" si="6"/>
        <v>98.97696801157268</v>
      </c>
      <c r="F108" s="415">
        <f t="shared" si="7"/>
        <v>-5717.999169999966</v>
      </c>
    </row>
    <row r="109" spans="1:6" s="357" customFormat="1" ht="12.75">
      <c r="A109" s="411" t="s">
        <v>269</v>
      </c>
      <c r="B109" s="428" t="s">
        <v>270</v>
      </c>
      <c r="C109" s="426">
        <v>22325.377</v>
      </c>
      <c r="D109" s="413">
        <v>22325.377</v>
      </c>
      <c r="E109" s="415">
        <f t="shared" si="6"/>
        <v>100</v>
      </c>
      <c r="F109" s="415">
        <f t="shared" si="7"/>
        <v>0</v>
      </c>
    </row>
    <row r="110" spans="1:6" s="357" customFormat="1" ht="25.5">
      <c r="A110" s="411" t="s">
        <v>271</v>
      </c>
      <c r="B110" s="428" t="s">
        <v>272</v>
      </c>
      <c r="C110" s="426">
        <v>3189.5904</v>
      </c>
      <c r="D110" s="413">
        <v>3184.4304</v>
      </c>
      <c r="E110" s="415">
        <f t="shared" si="6"/>
        <v>99.8382237418322</v>
      </c>
      <c r="F110" s="415">
        <f t="shared" si="7"/>
        <v>-5.1599999999998545</v>
      </c>
    </row>
    <row r="111" spans="1:6" s="357" customFormat="1" ht="12.75">
      <c r="A111" s="411" t="s">
        <v>273</v>
      </c>
      <c r="B111" s="428" t="s">
        <v>274</v>
      </c>
      <c r="C111" s="426">
        <v>2801.3</v>
      </c>
      <c r="D111" s="413">
        <v>2801.283</v>
      </c>
      <c r="E111" s="415">
        <f t="shared" si="6"/>
        <v>99.99939313889979</v>
      </c>
      <c r="F111" s="415">
        <f t="shared" si="7"/>
        <v>-0.017000000000280124</v>
      </c>
    </row>
    <row r="112" spans="1:6" s="365" customFormat="1" ht="12.75">
      <c r="A112" s="408" t="s">
        <v>47</v>
      </c>
      <c r="B112" s="409" t="s">
        <v>275</v>
      </c>
      <c r="C112" s="399">
        <f>SUM(C113:C114)</f>
        <v>53560.858</v>
      </c>
      <c r="D112" s="399">
        <f>SUM(D113:D114)</f>
        <v>52370.74562</v>
      </c>
      <c r="E112" s="410">
        <f t="shared" si="6"/>
        <v>97.77801845519353</v>
      </c>
      <c r="F112" s="410">
        <f t="shared" si="7"/>
        <v>-1190.1123799999987</v>
      </c>
    </row>
    <row r="113" spans="1:6" s="357" customFormat="1" ht="12.75">
      <c r="A113" s="411" t="s">
        <v>276</v>
      </c>
      <c r="B113" s="414" t="s">
        <v>277</v>
      </c>
      <c r="C113" s="413">
        <v>52700.858</v>
      </c>
      <c r="D113" s="413">
        <v>51812.99614</v>
      </c>
      <c r="E113" s="415">
        <f t="shared" si="6"/>
        <v>98.31528006621828</v>
      </c>
      <c r="F113" s="415">
        <f t="shared" si="7"/>
        <v>-887.8618599999973</v>
      </c>
    </row>
    <row r="114" spans="1:6" s="357" customFormat="1" ht="25.5">
      <c r="A114" s="411" t="s">
        <v>278</v>
      </c>
      <c r="B114" s="414" t="s">
        <v>279</v>
      </c>
      <c r="C114" s="413">
        <v>860</v>
      </c>
      <c r="D114" s="413">
        <v>557.74948</v>
      </c>
      <c r="E114" s="415">
        <f t="shared" si="6"/>
        <v>64.85459069767441</v>
      </c>
      <c r="F114" s="415">
        <f t="shared" si="7"/>
        <v>-302.25052000000005</v>
      </c>
    </row>
    <row r="115" spans="1:7" s="365" customFormat="1" ht="12.75">
      <c r="A115" s="430">
        <v>1000</v>
      </c>
      <c r="B115" s="409" t="s">
        <v>280</v>
      </c>
      <c r="C115" s="399">
        <f>SUM(C116:C119)</f>
        <v>41886.62178</v>
      </c>
      <c r="D115" s="431">
        <f>D116+D117+D118+D119</f>
        <v>40495.71577</v>
      </c>
      <c r="E115" s="410">
        <f t="shared" si="6"/>
        <v>96.6793550043128</v>
      </c>
      <c r="F115" s="410">
        <f t="shared" si="7"/>
        <v>-1390.9060099999988</v>
      </c>
      <c r="G115" s="390"/>
    </row>
    <row r="116" spans="1:6" s="357" customFormat="1" ht="12.75">
      <c r="A116" s="432">
        <v>1001</v>
      </c>
      <c r="B116" s="433" t="s">
        <v>281</v>
      </c>
      <c r="C116" s="413">
        <v>60</v>
      </c>
      <c r="D116" s="413">
        <v>24.73313</v>
      </c>
      <c r="E116" s="415">
        <f t="shared" si="6"/>
        <v>41.22188333333333</v>
      </c>
      <c r="F116" s="415">
        <f t="shared" si="7"/>
        <v>-35.26687</v>
      </c>
    </row>
    <row r="117" spans="1:6" s="357" customFormat="1" ht="12.75">
      <c r="A117" s="432">
        <v>1003</v>
      </c>
      <c r="B117" s="433" t="s">
        <v>282</v>
      </c>
      <c r="C117" s="413">
        <v>10113.80101</v>
      </c>
      <c r="D117" s="413">
        <v>9249.59546</v>
      </c>
      <c r="E117" s="415">
        <f t="shared" si="6"/>
        <v>91.45518535370117</v>
      </c>
      <c r="F117" s="415">
        <f t="shared" si="7"/>
        <v>-864.2055499999988</v>
      </c>
    </row>
    <row r="118" spans="1:6" s="357" customFormat="1" ht="12.75">
      <c r="A118" s="432">
        <v>1004</v>
      </c>
      <c r="B118" s="433" t="s">
        <v>283</v>
      </c>
      <c r="C118" s="413">
        <v>31610.42077</v>
      </c>
      <c r="D118" s="434">
        <v>31145.7061</v>
      </c>
      <c r="E118" s="415">
        <f t="shared" si="6"/>
        <v>98.52986876264222</v>
      </c>
      <c r="F118" s="415">
        <f t="shared" si="7"/>
        <v>-464.7146700000012</v>
      </c>
    </row>
    <row r="119" spans="1:6" s="357" customFormat="1" ht="21.75" customHeight="1">
      <c r="A119" s="411" t="s">
        <v>284</v>
      </c>
      <c r="B119" s="414" t="s">
        <v>285</v>
      </c>
      <c r="C119" s="413">
        <v>102.4</v>
      </c>
      <c r="D119" s="413">
        <v>75.68108</v>
      </c>
      <c r="E119" s="415">
        <f t="shared" si="6"/>
        <v>73.90730468749999</v>
      </c>
      <c r="F119" s="415">
        <f t="shared" si="7"/>
        <v>-26.71892000000001</v>
      </c>
    </row>
    <row r="120" spans="1:6" s="357" customFormat="1" ht="12.75">
      <c r="A120" s="408" t="s">
        <v>51</v>
      </c>
      <c r="B120" s="409" t="s">
        <v>286</v>
      </c>
      <c r="C120" s="399">
        <f>C121+C122</f>
        <v>8283.328000000001</v>
      </c>
      <c r="D120" s="399">
        <f>D121+D122</f>
        <v>8283.328000000001</v>
      </c>
      <c r="E120" s="415">
        <f t="shared" si="6"/>
        <v>100</v>
      </c>
      <c r="F120" s="399">
        <f>F121+F122+F123+F124+F125</f>
        <v>0</v>
      </c>
    </row>
    <row r="121" spans="1:6" s="357" customFormat="1" ht="12.75">
      <c r="A121" s="411" t="s">
        <v>287</v>
      </c>
      <c r="B121" s="414" t="s">
        <v>288</v>
      </c>
      <c r="C121" s="413">
        <v>450</v>
      </c>
      <c r="D121" s="413">
        <v>450</v>
      </c>
      <c r="E121" s="415">
        <f t="shared" si="6"/>
        <v>100</v>
      </c>
      <c r="F121" s="415">
        <f>SUM(D121-C121)</f>
        <v>0</v>
      </c>
    </row>
    <row r="122" spans="1:6" s="357" customFormat="1" ht="14.25" customHeight="1">
      <c r="A122" s="411" t="s">
        <v>289</v>
      </c>
      <c r="B122" s="414" t="s">
        <v>290</v>
      </c>
      <c r="C122" s="413">
        <v>7833.328</v>
      </c>
      <c r="D122" s="413">
        <v>7833.328</v>
      </c>
      <c r="E122" s="415">
        <f t="shared" si="6"/>
        <v>100</v>
      </c>
      <c r="F122" s="415">
        <f>SUM(D122-C122)</f>
        <v>0</v>
      </c>
    </row>
    <row r="123" spans="1:6" s="357" customFormat="1" ht="15.75" customHeight="1" hidden="1">
      <c r="A123" s="411" t="s">
        <v>291</v>
      </c>
      <c r="B123" s="414" t="s">
        <v>292</v>
      </c>
      <c r="C123" s="413"/>
      <c r="D123" s="413"/>
      <c r="E123" s="415" t="e">
        <f t="shared" si="6"/>
        <v>#DIV/0!</v>
      </c>
      <c r="F123" s="415"/>
    </row>
    <row r="124" spans="1:6" s="357" customFormat="1" ht="15.75" customHeight="1" hidden="1">
      <c r="A124" s="411" t="s">
        <v>293</v>
      </c>
      <c r="B124" s="414" t="s">
        <v>294</v>
      </c>
      <c r="C124" s="413"/>
      <c r="D124" s="413"/>
      <c r="E124" s="415" t="e">
        <f t="shared" si="6"/>
        <v>#DIV/0!</v>
      </c>
      <c r="F124" s="415"/>
    </row>
    <row r="125" spans="1:6" s="357" customFormat="1" ht="15.75" customHeight="1" hidden="1">
      <c r="A125" s="411" t="s">
        <v>295</v>
      </c>
      <c r="B125" s="414" t="s">
        <v>296</v>
      </c>
      <c r="C125" s="413"/>
      <c r="D125" s="413"/>
      <c r="E125" s="415" t="e">
        <f t="shared" si="6"/>
        <v>#DIV/0!</v>
      </c>
      <c r="F125" s="415"/>
    </row>
    <row r="126" spans="1:6" s="357" customFormat="1" ht="20.25" customHeight="1">
      <c r="A126" s="408" t="s">
        <v>53</v>
      </c>
      <c r="B126" s="409" t="s">
        <v>297</v>
      </c>
      <c r="C126" s="399">
        <f>C127</f>
        <v>45</v>
      </c>
      <c r="D126" s="435">
        <f>D127</f>
        <v>42.03</v>
      </c>
      <c r="E126" s="415">
        <f t="shared" si="6"/>
        <v>93.4</v>
      </c>
      <c r="F126" s="415">
        <f aca="true" t="shared" si="8" ref="F126:F134">SUM(D126-C126)</f>
        <v>-2.969999999999999</v>
      </c>
    </row>
    <row r="127" spans="1:6" s="357" customFormat="1" ht="13.5" customHeight="1">
      <c r="A127" s="411" t="s">
        <v>298</v>
      </c>
      <c r="B127" s="414" t="s">
        <v>299</v>
      </c>
      <c r="C127" s="413">
        <v>45</v>
      </c>
      <c r="D127" s="413">
        <v>42.03</v>
      </c>
      <c r="E127" s="415">
        <f t="shared" si="6"/>
        <v>93.4</v>
      </c>
      <c r="F127" s="415">
        <f t="shared" si="8"/>
        <v>-2.969999999999999</v>
      </c>
    </row>
    <row r="128" spans="1:6" s="357" customFormat="1" ht="19.5" customHeight="1" hidden="1">
      <c r="A128" s="408" t="s">
        <v>55</v>
      </c>
      <c r="B128" s="418" t="s">
        <v>300</v>
      </c>
      <c r="C128" s="436">
        <f>C129</f>
        <v>0</v>
      </c>
      <c r="D128" s="436">
        <v>0</v>
      </c>
      <c r="E128" s="415"/>
      <c r="F128" s="410">
        <f t="shared" si="8"/>
        <v>0</v>
      </c>
    </row>
    <row r="129" spans="1:6" s="357" customFormat="1" ht="37.5" customHeight="1" hidden="1">
      <c r="A129" s="411" t="s">
        <v>301</v>
      </c>
      <c r="B129" s="420" t="s">
        <v>302</v>
      </c>
      <c r="C129" s="416">
        <v>0</v>
      </c>
      <c r="D129" s="416">
        <v>0</v>
      </c>
      <c r="E129" s="410"/>
      <c r="F129" s="415">
        <f t="shared" si="8"/>
        <v>0</v>
      </c>
    </row>
    <row r="130" spans="1:6" s="365" customFormat="1" ht="15" customHeight="1">
      <c r="A130" s="430">
        <v>1400</v>
      </c>
      <c r="B130" s="437" t="s">
        <v>303</v>
      </c>
      <c r="C130" s="425">
        <f>C131+C132+C133</f>
        <v>82513.76395</v>
      </c>
      <c r="D130" s="425">
        <f>D131+D132+D133</f>
        <v>81614.41988</v>
      </c>
      <c r="E130" s="410">
        <f>SUM(D130/C130*100)</f>
        <v>98.91006781541931</v>
      </c>
      <c r="F130" s="410">
        <f t="shared" si="8"/>
        <v>-899.3440699999919</v>
      </c>
    </row>
    <row r="131" spans="1:6" s="357" customFormat="1" ht="30" customHeight="1">
      <c r="A131" s="432">
        <v>1401</v>
      </c>
      <c r="B131" s="433" t="s">
        <v>304</v>
      </c>
      <c r="C131" s="426">
        <v>53535.4</v>
      </c>
      <c r="D131" s="413">
        <v>53535.4</v>
      </c>
      <c r="E131" s="415">
        <f>SUM(D131/C131*100)</f>
        <v>100</v>
      </c>
      <c r="F131" s="415">
        <f t="shared" si="8"/>
        <v>0</v>
      </c>
    </row>
    <row r="132" spans="1:6" s="357" customFormat="1" ht="13.5" customHeight="1">
      <c r="A132" s="432">
        <v>1402</v>
      </c>
      <c r="B132" s="433" t="s">
        <v>305</v>
      </c>
      <c r="C132" s="426"/>
      <c r="D132" s="413">
        <v>0</v>
      </c>
      <c r="E132" s="415" t="e">
        <f>SUM(D132/C132*100)</f>
        <v>#DIV/0!</v>
      </c>
      <c r="F132" s="415">
        <f t="shared" si="8"/>
        <v>0</v>
      </c>
    </row>
    <row r="133" spans="1:6" s="357" customFormat="1" ht="17.25" customHeight="1">
      <c r="A133" s="432">
        <v>1403</v>
      </c>
      <c r="B133" s="433" t="s">
        <v>306</v>
      </c>
      <c r="C133" s="426">
        <v>28978.36395</v>
      </c>
      <c r="D133" s="413">
        <v>28079.01988</v>
      </c>
      <c r="E133" s="415">
        <f>SUM(D133/C133*100)</f>
        <v>96.89649811993614</v>
      </c>
      <c r="F133" s="415">
        <f t="shared" si="8"/>
        <v>-899.3440699999992</v>
      </c>
    </row>
    <row r="134" spans="1:8" s="365" customFormat="1" ht="12.75">
      <c r="A134" s="430"/>
      <c r="B134" s="438" t="s">
        <v>307</v>
      </c>
      <c r="C134" s="395">
        <f>C77+C85+C87+C93+C100+C104+C106+C112+C115+C120+C126+C128+C130</f>
        <v>1127117.47588</v>
      </c>
      <c r="D134" s="395">
        <f>D77+D85+D87+D93+D100+D104+D106+D112+D115+D120+D126+D128+D130</f>
        <v>1091767.65227</v>
      </c>
      <c r="E134" s="410">
        <f>SUM(D134/C134*100)</f>
        <v>96.8636966095836</v>
      </c>
      <c r="F134" s="410">
        <f t="shared" si="8"/>
        <v>-35349.82361000008</v>
      </c>
      <c r="G134" s="390"/>
      <c r="H134" s="390"/>
    </row>
    <row r="135" spans="1:6" s="357" customFormat="1" ht="12.75">
      <c r="A135" s="439"/>
      <c r="B135" s="440"/>
      <c r="C135" s="441"/>
      <c r="D135" s="442"/>
      <c r="E135" s="443"/>
      <c r="F135" s="443"/>
    </row>
    <row r="136" spans="1:4" s="143" customFormat="1" ht="12.75">
      <c r="A136" s="228" t="s">
        <v>308</v>
      </c>
      <c r="B136" s="228"/>
      <c r="C136" s="298"/>
      <c r="D136" s="298"/>
    </row>
    <row r="137" spans="1:4" s="143" customFormat="1" ht="12.75">
      <c r="A137" s="230" t="s">
        <v>309</v>
      </c>
      <c r="B137" s="230"/>
      <c r="C137" s="298" t="s">
        <v>310</v>
      </c>
      <c r="D137" s="298"/>
    </row>
  </sheetData>
  <sheetProtection selectLockedCells="1" selectUnlockedCells="1"/>
  <printOptions/>
  <pageMargins left="0.5905511811023623" right="0.5511811023622047" top="0.15748031496062992" bottom="0.15748031496062992" header="0.5118110236220472" footer="0.5118110236220472"/>
  <pageSetup horizontalDpi="300" verticalDpi="300" orientation="portrait" paperSize="9" scale="57" r:id="rId1"/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0" zoomScaleSheetLayoutView="70" zoomScalePageLayoutView="0" workbookViewId="0" topLeftCell="A1">
      <selection activeCell="D75" sqref="D75"/>
    </sheetView>
  </sheetViews>
  <sheetFormatPr defaultColWidth="9.140625" defaultRowHeight="12.75"/>
  <cols>
    <col min="1" max="1" width="14.7109375" style="135" customWidth="1"/>
    <col min="2" max="2" width="57.57421875" style="136" customWidth="1"/>
    <col min="3" max="3" width="18.00390625" style="137" customWidth="1"/>
    <col min="4" max="4" width="17.8515625" style="137" customWidth="1"/>
    <col min="5" max="5" width="12.00390625" style="137" customWidth="1"/>
    <col min="6" max="6" width="10.57421875" style="137" customWidth="1"/>
    <col min="7" max="7" width="15.421875" style="138" customWidth="1"/>
    <col min="8" max="8" width="14.8515625" style="138" customWidth="1"/>
    <col min="9" max="10" width="9.140625" style="138" customWidth="1"/>
    <col min="11" max="11" width="11.7109375" style="138" customWidth="1"/>
    <col min="12" max="16384" width="9.140625" style="138" customWidth="1"/>
  </cols>
  <sheetData>
    <row r="1" spans="1:6" ht="12.75" customHeight="1">
      <c r="A1" s="469" t="s">
        <v>427</v>
      </c>
      <c r="B1" s="469"/>
      <c r="C1" s="469"/>
      <c r="D1" s="469"/>
      <c r="E1" s="469"/>
      <c r="F1" s="469"/>
    </row>
    <row r="2" spans="1:6" ht="12.75" customHeight="1">
      <c r="A2" s="469" t="s">
        <v>311</v>
      </c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C5+C7+C12+C14+C17+C20</f>
        <v>585.4200000000001</v>
      </c>
      <c r="D4" s="150">
        <f>D5+D12+D14+D17+D20+D7</f>
        <v>588.68297</v>
      </c>
      <c r="E4" s="150">
        <f aca="true" t="shared" si="0" ref="E4:E47">SUM(D4/C4*100)</f>
        <v>100.55737248471182</v>
      </c>
      <c r="F4" s="150">
        <f aca="true" t="shared" si="1" ref="F4:F47">SUM(D4-C4)</f>
        <v>3.262969999999882</v>
      </c>
    </row>
    <row r="5" spans="1:6" s="139" customFormat="1" ht="15.75">
      <c r="A5" s="151">
        <v>1010000000</v>
      </c>
      <c r="B5" s="152" t="s">
        <v>146</v>
      </c>
      <c r="C5" s="150">
        <f>C6</f>
        <v>62.67</v>
      </c>
      <c r="D5" s="150">
        <f>D6</f>
        <v>66.41363</v>
      </c>
      <c r="E5" s="150">
        <f t="shared" si="0"/>
        <v>105.97355991702568</v>
      </c>
      <c r="F5" s="150">
        <f t="shared" si="1"/>
        <v>3.743629999999996</v>
      </c>
    </row>
    <row r="6" spans="1:6" ht="15.75">
      <c r="A6" s="153">
        <v>1010200001</v>
      </c>
      <c r="B6" s="154" t="s">
        <v>147</v>
      </c>
      <c r="C6" s="155">
        <v>62.67</v>
      </c>
      <c r="D6" s="156">
        <v>66.41363</v>
      </c>
      <c r="E6" s="155">
        <f t="shared" si="0"/>
        <v>105.97355991702568</v>
      </c>
      <c r="F6" s="155">
        <f t="shared" si="1"/>
        <v>3.743629999999996</v>
      </c>
    </row>
    <row r="7" spans="1:6" ht="31.5">
      <c r="A7" s="148">
        <v>1030000000</v>
      </c>
      <c r="B7" s="157" t="s">
        <v>148</v>
      </c>
      <c r="C7" s="150">
        <f>C8+C10+C9</f>
        <v>249.75</v>
      </c>
      <c r="D7" s="150">
        <f>D8+D10+D9+D11</f>
        <v>280.56478999999996</v>
      </c>
      <c r="E7" s="155">
        <f t="shared" si="0"/>
        <v>112.33825425425424</v>
      </c>
      <c r="F7" s="155">
        <f t="shared" si="1"/>
        <v>30.81478999999996</v>
      </c>
    </row>
    <row r="8" spans="1:6" ht="15.75">
      <c r="A8" s="153">
        <v>1030223001</v>
      </c>
      <c r="B8" s="154" t="s">
        <v>149</v>
      </c>
      <c r="C8" s="155">
        <v>93.16</v>
      </c>
      <c r="D8" s="156">
        <v>129.52542</v>
      </c>
      <c r="E8" s="155">
        <f t="shared" si="0"/>
        <v>139.0354443967368</v>
      </c>
      <c r="F8" s="155">
        <f t="shared" si="1"/>
        <v>36.36542</v>
      </c>
    </row>
    <row r="9" spans="1:6" ht="15.75">
      <c r="A9" s="153">
        <v>1030224001</v>
      </c>
      <c r="B9" s="154" t="s">
        <v>312</v>
      </c>
      <c r="C9" s="155">
        <v>1</v>
      </c>
      <c r="D9" s="156">
        <v>0.91092</v>
      </c>
      <c r="E9" s="155">
        <f t="shared" si="0"/>
        <v>91.092</v>
      </c>
      <c r="F9" s="155">
        <f t="shared" si="1"/>
        <v>-0.08908000000000005</v>
      </c>
    </row>
    <row r="10" spans="1:6" ht="15.75">
      <c r="A10" s="153">
        <v>1030225001</v>
      </c>
      <c r="B10" s="154" t="s">
        <v>151</v>
      </c>
      <c r="C10" s="155">
        <v>155.59</v>
      </c>
      <c r="D10" s="156">
        <v>172.21585</v>
      </c>
      <c r="E10" s="155">
        <f t="shared" si="0"/>
        <v>110.68568031364482</v>
      </c>
      <c r="F10" s="155">
        <f t="shared" si="1"/>
        <v>16.625849999999986</v>
      </c>
    </row>
    <row r="11" spans="1:6" ht="15.75">
      <c r="A11" s="153">
        <v>1030226001</v>
      </c>
      <c r="B11" s="154" t="s">
        <v>313</v>
      </c>
      <c r="C11" s="155">
        <v>0</v>
      </c>
      <c r="D11" s="156">
        <v>-22.0874</v>
      </c>
      <c r="E11" s="155" t="e">
        <f t="shared" si="0"/>
        <v>#DIV/0!</v>
      </c>
      <c r="F11" s="155">
        <f t="shared" si="1"/>
        <v>-22.0874</v>
      </c>
    </row>
    <row r="12" spans="1:6" s="139" customFormat="1" ht="15.75">
      <c r="A12" s="151">
        <v>1050000000</v>
      </c>
      <c r="B12" s="152" t="s">
        <v>153</v>
      </c>
      <c r="C12" s="150">
        <f>C13</f>
        <v>25</v>
      </c>
      <c r="D12" s="150">
        <f>D13</f>
        <v>0</v>
      </c>
      <c r="E12" s="150">
        <f t="shared" si="0"/>
        <v>0</v>
      </c>
      <c r="F12" s="150">
        <f t="shared" si="1"/>
        <v>-25</v>
      </c>
    </row>
    <row r="13" spans="1:6" ht="15.75" customHeight="1">
      <c r="A13" s="153">
        <v>1050300000</v>
      </c>
      <c r="B13" s="158" t="s">
        <v>156</v>
      </c>
      <c r="C13" s="159">
        <v>25</v>
      </c>
      <c r="D13" s="156">
        <v>0</v>
      </c>
      <c r="E13" s="155">
        <f t="shared" si="0"/>
        <v>0</v>
      </c>
      <c r="F13" s="155">
        <f t="shared" si="1"/>
        <v>-25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245</v>
      </c>
      <c r="D14" s="150">
        <f>D15+D16</f>
        <v>240.30455</v>
      </c>
      <c r="E14" s="150">
        <f t="shared" si="0"/>
        <v>98.08348979591837</v>
      </c>
      <c r="F14" s="150">
        <f t="shared" si="1"/>
        <v>-4.695449999999994</v>
      </c>
    </row>
    <row r="15" spans="1:6" s="139" customFormat="1" ht="15.75" customHeight="1">
      <c r="A15" s="153">
        <v>1060100000</v>
      </c>
      <c r="B15" s="158" t="s">
        <v>159</v>
      </c>
      <c r="C15" s="155">
        <v>50</v>
      </c>
      <c r="D15" s="156">
        <v>95.48567</v>
      </c>
      <c r="E15" s="155">
        <f t="shared" si="0"/>
        <v>190.97134</v>
      </c>
      <c r="F15" s="155">
        <f t="shared" si="1"/>
        <v>45.48567</v>
      </c>
    </row>
    <row r="16" spans="1:6" ht="15" customHeight="1">
      <c r="A16" s="153">
        <v>1060600000</v>
      </c>
      <c r="B16" s="158" t="s">
        <v>162</v>
      </c>
      <c r="C16" s="155">
        <v>195</v>
      </c>
      <c r="D16" s="156">
        <v>144.81888</v>
      </c>
      <c r="E16" s="155">
        <f t="shared" si="0"/>
        <v>74.2660923076923</v>
      </c>
      <c r="F16" s="155">
        <f t="shared" si="1"/>
        <v>-50.18111999999999</v>
      </c>
    </row>
    <row r="17" spans="1:6" s="139" customFormat="1" ht="15" customHeight="1">
      <c r="A17" s="148">
        <v>1080000000</v>
      </c>
      <c r="B17" s="149" t="s">
        <v>165</v>
      </c>
      <c r="C17" s="150">
        <f>C18</f>
        <v>3</v>
      </c>
      <c r="D17" s="150">
        <f>D18</f>
        <v>1.4</v>
      </c>
      <c r="E17" s="155">
        <f t="shared" si="0"/>
        <v>46.666666666666664</v>
      </c>
      <c r="F17" s="150">
        <f t="shared" si="1"/>
        <v>-1.6</v>
      </c>
    </row>
    <row r="18" spans="1:6" ht="18.75" customHeight="1">
      <c r="A18" s="153">
        <v>1080402001</v>
      </c>
      <c r="B18" s="154" t="s">
        <v>167</v>
      </c>
      <c r="C18" s="155">
        <v>3</v>
      </c>
      <c r="D18" s="156">
        <v>1.4</v>
      </c>
      <c r="E18" s="155">
        <f t="shared" si="0"/>
        <v>46.666666666666664</v>
      </c>
      <c r="F18" s="155">
        <f t="shared" si="1"/>
        <v>-1.6</v>
      </c>
    </row>
    <row r="19" spans="1:6" ht="15" customHeight="1" hidden="1">
      <c r="A19" s="153">
        <v>1080714001</v>
      </c>
      <c r="B19" s="154" t="s">
        <v>314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17.25" customHeight="1" hidden="1">
      <c r="A20" s="151">
        <v>1090000000</v>
      </c>
      <c r="B20" s="160" t="s">
        <v>169</v>
      </c>
      <c r="C20" s="150"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15.75" customHeight="1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17.25" customHeight="1" hidden="1">
      <c r="A22" s="153">
        <v>1090400000</v>
      </c>
      <c r="B22" s="154" t="s">
        <v>171</v>
      </c>
      <c r="C22" s="155">
        <v>0</v>
      </c>
      <c r="D22" s="156">
        <v>0</v>
      </c>
      <c r="E22" s="155" t="e">
        <f t="shared" si="0"/>
        <v>#DIV/0!</v>
      </c>
      <c r="F22" s="155">
        <f t="shared" si="1"/>
        <v>0</v>
      </c>
    </row>
    <row r="23" spans="1:6" s="140" customFormat="1" ht="2.25" customHeight="1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18" customHeight="1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5" customHeight="1">
      <c r="A25" s="148"/>
      <c r="B25" s="149" t="s">
        <v>17</v>
      </c>
      <c r="C25" s="150">
        <f>C26+C31+C34+C29</f>
        <v>54.3</v>
      </c>
      <c r="D25" s="150">
        <f>D26+D31+D34+D29</f>
        <v>54.28468</v>
      </c>
      <c r="E25" s="150">
        <f t="shared" si="0"/>
        <v>99.97178637200737</v>
      </c>
      <c r="F25" s="150">
        <f t="shared" si="1"/>
        <v>-0.01531999999999556</v>
      </c>
    </row>
    <row r="26" spans="1:6" s="139" customFormat="1" ht="30" customHeight="1">
      <c r="A26" s="151">
        <v>1110000000</v>
      </c>
      <c r="B26" s="160" t="s">
        <v>174</v>
      </c>
      <c r="C26" s="150">
        <f>C27+C28</f>
        <v>54.3</v>
      </c>
      <c r="D26" s="150">
        <f>D27+D28</f>
        <v>54.28468</v>
      </c>
      <c r="E26" s="150">
        <f t="shared" si="0"/>
        <v>99.97178637200737</v>
      </c>
      <c r="F26" s="150">
        <f t="shared" si="1"/>
        <v>-0.01531999999999556</v>
      </c>
    </row>
    <row r="27" spans="1:6" ht="22.5" customHeight="1">
      <c r="A27" s="162">
        <v>1110502000</v>
      </c>
      <c r="B27" s="163" t="s">
        <v>177</v>
      </c>
      <c r="C27" s="159">
        <v>54.3</v>
      </c>
      <c r="D27" s="156">
        <v>54.28468</v>
      </c>
      <c r="E27" s="155">
        <f t="shared" si="0"/>
        <v>99.97178637200737</v>
      </c>
      <c r="F27" s="155">
        <f t="shared" si="1"/>
        <v>-0.01531999999999556</v>
      </c>
    </row>
    <row r="28" spans="1:6" ht="15.75" hidden="1">
      <c r="A28" s="153">
        <v>1110503505</v>
      </c>
      <c r="B28" s="158" t="s">
        <v>178</v>
      </c>
      <c r="C28" s="159">
        <v>0</v>
      </c>
      <c r="D28" s="156">
        <v>0</v>
      </c>
      <c r="E28" s="155" t="e">
        <f t="shared" si="0"/>
        <v>#DIV/0!</v>
      </c>
      <c r="F28" s="155">
        <f t="shared" si="1"/>
        <v>0</v>
      </c>
    </row>
    <row r="29" spans="1:6" s="140" customFormat="1" ht="25.5" customHeight="1" hidden="1">
      <c r="A29" s="151">
        <v>1130000000</v>
      </c>
      <c r="B29" s="160" t="s">
        <v>185</v>
      </c>
      <c r="C29" s="150">
        <f>C30</f>
        <v>0</v>
      </c>
      <c r="D29" s="150">
        <f>D30</f>
        <v>0</v>
      </c>
      <c r="E29" s="155" t="e">
        <f t="shared" si="0"/>
        <v>#DIV/0!</v>
      </c>
      <c r="F29" s="150">
        <f t="shared" si="1"/>
        <v>0</v>
      </c>
    </row>
    <row r="30" spans="1:6" ht="30.75" customHeight="1" hidden="1">
      <c r="A30" s="153">
        <v>1130200000</v>
      </c>
      <c r="B30" s="154" t="s">
        <v>187</v>
      </c>
      <c r="C30" s="155">
        <v>0</v>
      </c>
      <c r="D30" s="156">
        <v>0</v>
      </c>
      <c r="E30" s="155" t="e">
        <f t="shared" si="0"/>
        <v>#DIV/0!</v>
      </c>
      <c r="F30" s="155">
        <f t="shared" si="1"/>
        <v>0</v>
      </c>
    </row>
    <row r="31" spans="1:6" ht="25.5" customHeight="1" hidden="1">
      <c r="A31" s="164">
        <v>1140000000</v>
      </c>
      <c r="B31" s="165" t="s">
        <v>188</v>
      </c>
      <c r="C31" s="150">
        <f>C33+C32</f>
        <v>0</v>
      </c>
      <c r="D31" s="150">
        <f>D32+D33</f>
        <v>0</v>
      </c>
      <c r="E31" s="150" t="e">
        <f t="shared" si="0"/>
        <v>#DIV/0!</v>
      </c>
      <c r="F31" s="150">
        <f t="shared" si="1"/>
        <v>0</v>
      </c>
    </row>
    <row r="32" spans="1:6" ht="24.75" customHeight="1" hidden="1">
      <c r="A32" s="162">
        <v>1140200000</v>
      </c>
      <c r="B32" s="166" t="s">
        <v>189</v>
      </c>
      <c r="C32" s="155">
        <v>0</v>
      </c>
      <c r="D32" s="156">
        <v>0</v>
      </c>
      <c r="E32" s="155" t="e">
        <f t="shared" si="0"/>
        <v>#DIV/0!</v>
      </c>
      <c r="F32" s="155">
        <f t="shared" si="1"/>
        <v>0</v>
      </c>
    </row>
    <row r="33" spans="1:6" ht="27.75" customHeight="1" hidden="1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15.75" hidden="1">
      <c r="A34" s="148">
        <v>1170000000</v>
      </c>
      <c r="B34" s="157" t="s">
        <v>198</v>
      </c>
      <c r="C34" s="150">
        <v>0</v>
      </c>
      <c r="D34" s="167">
        <f>D35+D36</f>
        <v>0</v>
      </c>
      <c r="E34" s="155" t="e">
        <f t="shared" si="0"/>
        <v>#DIV/0!</v>
      </c>
      <c r="F34" s="150">
        <f t="shared" si="1"/>
        <v>0</v>
      </c>
    </row>
    <row r="35" spans="1:6" ht="18.75" customHeight="1" hidden="1">
      <c r="A35" s="153">
        <v>1170105005</v>
      </c>
      <c r="B35" s="154" t="s">
        <v>199</v>
      </c>
      <c r="C35" s="155">
        <v>0</v>
      </c>
      <c r="D35" s="155">
        <v>0</v>
      </c>
      <c r="E35" s="155" t="e">
        <f t="shared" si="0"/>
        <v>#DIV/0!</v>
      </c>
      <c r="F35" s="155">
        <f t="shared" si="1"/>
        <v>0</v>
      </c>
    </row>
    <row r="36" spans="1:6" ht="0.75" customHeight="1" hidden="1">
      <c r="A36" s="153">
        <v>1170505005</v>
      </c>
      <c r="B36" s="158" t="s">
        <v>200</v>
      </c>
      <c r="C36" s="155">
        <v>0</v>
      </c>
      <c r="D36" s="156">
        <v>0</v>
      </c>
      <c r="E36" s="155" t="e">
        <f t="shared" si="0"/>
        <v>#DIV/0!</v>
      </c>
      <c r="F36" s="155">
        <f t="shared" si="1"/>
        <v>0</v>
      </c>
    </row>
    <row r="37" spans="1:6" s="139" customFormat="1" ht="15.75">
      <c r="A37" s="148">
        <v>1000000000</v>
      </c>
      <c r="B37" s="149" t="s">
        <v>26</v>
      </c>
      <c r="C37" s="168">
        <f>C25+C4</f>
        <v>639.72</v>
      </c>
      <c r="D37" s="168">
        <f>SUM(D4,D25)</f>
        <v>642.9676499999999</v>
      </c>
      <c r="E37" s="150">
        <f t="shared" si="0"/>
        <v>100.50766741699493</v>
      </c>
      <c r="F37" s="150">
        <f t="shared" si="1"/>
        <v>3.2476499999999078</v>
      </c>
    </row>
    <row r="38" spans="1:7" s="139" customFormat="1" ht="15.75">
      <c r="A38" s="148">
        <v>2000000000</v>
      </c>
      <c r="B38" s="149" t="s">
        <v>201</v>
      </c>
      <c r="C38" s="169">
        <f>C39+C40+C41+C42+C43+C44</f>
        <v>3674.968</v>
      </c>
      <c r="D38" s="169">
        <f>D39+D40+D41+D42+D43+D45+D44</f>
        <v>3674.968</v>
      </c>
      <c r="E38" s="150">
        <f t="shared" si="0"/>
        <v>100</v>
      </c>
      <c r="F38" s="150">
        <f t="shared" si="1"/>
        <v>0</v>
      </c>
      <c r="G38" s="170"/>
    </row>
    <row r="39" spans="1:6" ht="15.75">
      <c r="A39" s="162">
        <v>2021000000</v>
      </c>
      <c r="B39" s="163" t="s">
        <v>202</v>
      </c>
      <c r="C39" s="171">
        <v>1901.5</v>
      </c>
      <c r="D39" s="172">
        <v>1901.5</v>
      </c>
      <c r="E39" s="155">
        <f t="shared" si="0"/>
        <v>100</v>
      </c>
      <c r="F39" s="155">
        <f t="shared" si="1"/>
        <v>0</v>
      </c>
    </row>
    <row r="40" spans="1:6" ht="15.75">
      <c r="A40" s="162">
        <v>2021500200</v>
      </c>
      <c r="B40" s="163" t="s">
        <v>205</v>
      </c>
      <c r="C40" s="173">
        <v>0</v>
      </c>
      <c r="D40" s="172">
        <v>0</v>
      </c>
      <c r="E40" s="155" t="e">
        <f t="shared" si="0"/>
        <v>#DIV/0!</v>
      </c>
      <c r="F40" s="155">
        <f t="shared" si="1"/>
        <v>0</v>
      </c>
    </row>
    <row r="41" spans="1:6" ht="15.75">
      <c r="A41" s="162">
        <v>2022000000</v>
      </c>
      <c r="B41" s="163" t="s">
        <v>206</v>
      </c>
      <c r="C41" s="173">
        <v>366.14</v>
      </c>
      <c r="D41" s="156">
        <v>366.14</v>
      </c>
      <c r="E41" s="155">
        <f t="shared" si="0"/>
        <v>100</v>
      </c>
      <c r="F41" s="155">
        <f t="shared" si="1"/>
        <v>0</v>
      </c>
    </row>
    <row r="42" spans="1:6" ht="19.5" customHeight="1">
      <c r="A42" s="162">
        <v>2023000000</v>
      </c>
      <c r="B42" s="163" t="s">
        <v>207</v>
      </c>
      <c r="C42" s="173">
        <v>103.383</v>
      </c>
      <c r="D42" s="174">
        <v>103.383</v>
      </c>
      <c r="E42" s="155">
        <f t="shared" si="0"/>
        <v>100</v>
      </c>
      <c r="F42" s="155">
        <f t="shared" si="1"/>
        <v>0</v>
      </c>
    </row>
    <row r="43" spans="1:6" ht="15.75">
      <c r="A43" s="153">
        <v>2070500010</v>
      </c>
      <c r="B43" s="163" t="s">
        <v>315</v>
      </c>
      <c r="C43" s="173">
        <v>0</v>
      </c>
      <c r="D43" s="175">
        <v>0</v>
      </c>
      <c r="E43" s="155" t="e">
        <f t="shared" si="0"/>
        <v>#DIV/0!</v>
      </c>
      <c r="F43" s="155">
        <f t="shared" si="1"/>
        <v>0</v>
      </c>
    </row>
    <row r="44" spans="1:6" ht="15.75" customHeight="1">
      <c r="A44" s="162">
        <v>2024000000</v>
      </c>
      <c r="B44" s="166" t="s">
        <v>102</v>
      </c>
      <c r="C44" s="173">
        <v>1303.945</v>
      </c>
      <c r="D44" s="175">
        <v>1303.945</v>
      </c>
      <c r="E44" s="155">
        <f t="shared" si="0"/>
        <v>100</v>
      </c>
      <c r="F44" s="155">
        <f t="shared" si="1"/>
        <v>0</v>
      </c>
    </row>
    <row r="45" spans="1:6" ht="17.25" customHeight="1">
      <c r="A45" s="153">
        <v>2190000010</v>
      </c>
      <c r="B45" s="158" t="s">
        <v>209</v>
      </c>
      <c r="C45" s="176">
        <v>0</v>
      </c>
      <c r="D45" s="177">
        <v>0</v>
      </c>
      <c r="E45" s="150" t="e">
        <f t="shared" si="0"/>
        <v>#DIV/0!</v>
      </c>
      <c r="F45" s="150">
        <f t="shared" si="1"/>
        <v>0</v>
      </c>
    </row>
    <row r="46" spans="1:6" s="180" customFormat="1" ht="19.5" customHeight="1" hidden="1">
      <c r="A46" s="148">
        <v>3000000000</v>
      </c>
      <c r="B46" s="157" t="s">
        <v>210</v>
      </c>
      <c r="C46" s="178">
        <v>0</v>
      </c>
      <c r="D46" s="179">
        <v>0</v>
      </c>
      <c r="E46" s="150" t="e">
        <f t="shared" si="0"/>
        <v>#DIV/0!</v>
      </c>
      <c r="F46" s="150">
        <f t="shared" si="1"/>
        <v>0</v>
      </c>
    </row>
    <row r="47" spans="1:11" s="139" customFormat="1" ht="15.75" customHeight="1">
      <c r="A47" s="181"/>
      <c r="B47" s="182" t="s">
        <v>211</v>
      </c>
      <c r="C47" s="183">
        <f>C37+C38</f>
        <v>4314.688</v>
      </c>
      <c r="D47" s="184">
        <f>D37+D38</f>
        <v>4317.935649999999</v>
      </c>
      <c r="E47" s="185">
        <f t="shared" si="0"/>
        <v>100.07526963710932</v>
      </c>
      <c r="F47" s="185">
        <f t="shared" si="1"/>
        <v>3.2476499999993393</v>
      </c>
      <c r="G47" s="186"/>
      <c r="H47" s="186"/>
      <c r="K47" s="187"/>
    </row>
    <row r="48" spans="1:6" s="139" customFormat="1" ht="15.75">
      <c r="A48" s="148"/>
      <c r="B48" s="188" t="s">
        <v>316</v>
      </c>
      <c r="C48" s="189">
        <f>C47-C94</f>
        <v>-165.27319999999963</v>
      </c>
      <c r="D48" s="150">
        <f>D47-D94</f>
        <v>18.18869999999879</v>
      </c>
      <c r="E48" s="190"/>
      <c r="F48" s="190"/>
    </row>
    <row r="49" spans="1:6" ht="15.75">
      <c r="A49" s="191"/>
      <c r="B49" s="192"/>
      <c r="C49" s="193"/>
      <c r="D49" s="193"/>
      <c r="E49" s="194"/>
      <c r="F49" s="195"/>
    </row>
    <row r="50" spans="1:6" ht="50.25" customHeight="1">
      <c r="A50" s="196" t="s">
        <v>141</v>
      </c>
      <c r="B50" s="196" t="s">
        <v>213</v>
      </c>
      <c r="C50" s="197" t="s">
        <v>143</v>
      </c>
      <c r="D50" s="146" t="s">
        <v>426</v>
      </c>
      <c r="E50" s="145" t="s">
        <v>144</v>
      </c>
      <c r="F50" s="147" t="s">
        <v>145</v>
      </c>
    </row>
    <row r="51" spans="1:6" ht="15.75">
      <c r="A51" s="198">
        <v>1</v>
      </c>
      <c r="B51" s="199">
        <v>2</v>
      </c>
      <c r="C51" s="199">
        <v>3</v>
      </c>
      <c r="D51" s="199">
        <v>4</v>
      </c>
      <c r="E51" s="199">
        <v>5</v>
      </c>
      <c r="F51" s="199">
        <v>6</v>
      </c>
    </row>
    <row r="52" spans="1:6" s="139" customFormat="1" ht="30.75" customHeight="1">
      <c r="A52" s="200" t="s">
        <v>33</v>
      </c>
      <c r="B52" s="201" t="s">
        <v>214</v>
      </c>
      <c r="C52" s="190">
        <f>C54+C57+C58+C59</f>
        <v>1411.4370000000001</v>
      </c>
      <c r="D52" s="190">
        <f>D54+D57+D58+D59</f>
        <v>1337.83782</v>
      </c>
      <c r="E52" s="202">
        <f>SUM(D52/C52*100)</f>
        <v>94.7855143375156</v>
      </c>
      <c r="F52" s="202">
        <f>SUM(D52-C52)</f>
        <v>-73.59918000000016</v>
      </c>
    </row>
    <row r="53" spans="1:6" s="139" customFormat="1" ht="31.5" hidden="1">
      <c r="A53" s="203" t="s">
        <v>215</v>
      </c>
      <c r="B53" s="204" t="s">
        <v>216</v>
      </c>
      <c r="C53" s="195"/>
      <c r="D53" s="195"/>
      <c r="E53" s="205"/>
      <c r="F53" s="205"/>
    </row>
    <row r="54" spans="1:6" ht="16.5" customHeight="1">
      <c r="A54" s="203" t="s">
        <v>217</v>
      </c>
      <c r="B54" s="206" t="s">
        <v>218</v>
      </c>
      <c r="C54" s="195">
        <v>1341.429</v>
      </c>
      <c r="D54" s="195">
        <v>1317.82982</v>
      </c>
      <c r="E54" s="205">
        <f>SUM(D54/C54*100)</f>
        <v>98.24074326706817</v>
      </c>
      <c r="F54" s="205">
        <f aca="true" t="shared" si="2" ref="F54:F66">SUM(D54-C54)</f>
        <v>-23.59918000000016</v>
      </c>
    </row>
    <row r="55" spans="1:6" ht="0.75" customHeight="1" hidden="1">
      <c r="A55" s="203" t="s">
        <v>219</v>
      </c>
      <c r="B55" s="206" t="s">
        <v>220</v>
      </c>
      <c r="C55" s="195"/>
      <c r="D55" s="195"/>
      <c r="E55" s="205"/>
      <c r="F55" s="205">
        <f t="shared" si="2"/>
        <v>0</v>
      </c>
    </row>
    <row r="56" spans="1:6" ht="15.75" customHeight="1" hidden="1">
      <c r="A56" s="203" t="s">
        <v>221</v>
      </c>
      <c r="B56" s="206" t="s">
        <v>222</v>
      </c>
      <c r="C56" s="195"/>
      <c r="D56" s="195"/>
      <c r="E56" s="205" t="e">
        <f aca="true" t="shared" si="3" ref="E56:E66">SUM(D56/C56*100)</f>
        <v>#DIV/0!</v>
      </c>
      <c r="F56" s="205">
        <f t="shared" si="2"/>
        <v>0</v>
      </c>
    </row>
    <row r="57" spans="1:6" ht="17.25" customHeight="1" hidden="1">
      <c r="A57" s="203" t="s">
        <v>223</v>
      </c>
      <c r="B57" s="206" t="s">
        <v>224</v>
      </c>
      <c r="C57" s="195">
        <v>0</v>
      </c>
      <c r="D57" s="195">
        <v>0</v>
      </c>
      <c r="E57" s="205" t="e">
        <f t="shared" si="3"/>
        <v>#DIV/0!</v>
      </c>
      <c r="F57" s="205">
        <f t="shared" si="2"/>
        <v>0</v>
      </c>
    </row>
    <row r="58" spans="1:6" ht="17.25" customHeight="1">
      <c r="A58" s="203" t="s">
        <v>225</v>
      </c>
      <c r="B58" s="206" t="s">
        <v>226</v>
      </c>
      <c r="C58" s="207">
        <v>50</v>
      </c>
      <c r="D58" s="207">
        <v>0</v>
      </c>
      <c r="E58" s="205">
        <f t="shared" si="3"/>
        <v>0</v>
      </c>
      <c r="F58" s="205">
        <f t="shared" si="2"/>
        <v>-50</v>
      </c>
    </row>
    <row r="59" spans="1:6" ht="17.25" customHeight="1">
      <c r="A59" s="203" t="s">
        <v>227</v>
      </c>
      <c r="B59" s="206" t="s">
        <v>228</v>
      </c>
      <c r="C59" s="195">
        <v>20.008</v>
      </c>
      <c r="D59" s="195">
        <v>20.008</v>
      </c>
      <c r="E59" s="205">
        <f t="shared" si="3"/>
        <v>100</v>
      </c>
      <c r="F59" s="205">
        <f t="shared" si="2"/>
        <v>0</v>
      </c>
    </row>
    <row r="60" spans="1:6" s="139" customFormat="1" ht="15.75">
      <c r="A60" s="208" t="s">
        <v>35</v>
      </c>
      <c r="B60" s="209" t="s">
        <v>229</v>
      </c>
      <c r="C60" s="190">
        <f>C61</f>
        <v>103.383</v>
      </c>
      <c r="D60" s="190">
        <f>D61</f>
        <v>103.383</v>
      </c>
      <c r="E60" s="202">
        <f t="shared" si="3"/>
        <v>100</v>
      </c>
      <c r="F60" s="202">
        <f t="shared" si="2"/>
        <v>0</v>
      </c>
    </row>
    <row r="61" spans="1:6" ht="15.75">
      <c r="A61" s="210" t="s">
        <v>230</v>
      </c>
      <c r="B61" s="211" t="s">
        <v>231</v>
      </c>
      <c r="C61" s="195">
        <v>103.383</v>
      </c>
      <c r="D61" s="195">
        <v>103.383</v>
      </c>
      <c r="E61" s="205">
        <f t="shared" si="3"/>
        <v>100</v>
      </c>
      <c r="F61" s="205">
        <f t="shared" si="2"/>
        <v>0</v>
      </c>
    </row>
    <row r="62" spans="1:6" s="139" customFormat="1" ht="17.25" customHeight="1">
      <c r="A62" s="200" t="s">
        <v>37</v>
      </c>
      <c r="B62" s="201" t="s">
        <v>232</v>
      </c>
      <c r="C62" s="190">
        <f>C65+C66+C67</f>
        <v>18.5</v>
      </c>
      <c r="D62" s="190">
        <f>D65+D66+D67</f>
        <v>15.135539999999999</v>
      </c>
      <c r="E62" s="202">
        <f t="shared" si="3"/>
        <v>81.81372972972973</v>
      </c>
      <c r="F62" s="202">
        <f t="shared" si="2"/>
        <v>-3.364460000000001</v>
      </c>
    </row>
    <row r="63" spans="1:6" ht="13.5" customHeight="1" hidden="1">
      <c r="A63" s="203" t="s">
        <v>233</v>
      </c>
      <c r="B63" s="206" t="s">
        <v>234</v>
      </c>
      <c r="C63" s="195"/>
      <c r="D63" s="195"/>
      <c r="E63" s="202" t="e">
        <f t="shared" si="3"/>
        <v>#DIV/0!</v>
      </c>
      <c r="F63" s="202">
        <f t="shared" si="2"/>
        <v>0</v>
      </c>
    </row>
    <row r="64" spans="1:6" ht="15.75" hidden="1">
      <c r="A64" s="212" t="s">
        <v>235</v>
      </c>
      <c r="B64" s="206" t="s">
        <v>317</v>
      </c>
      <c r="C64" s="195"/>
      <c r="D64" s="195"/>
      <c r="E64" s="202" t="e">
        <f t="shared" si="3"/>
        <v>#DIV/0!</v>
      </c>
      <c r="F64" s="202">
        <f t="shared" si="2"/>
        <v>0</v>
      </c>
    </row>
    <row r="65" spans="1:6" ht="15.75" customHeight="1">
      <c r="A65" s="213" t="s">
        <v>237</v>
      </c>
      <c r="B65" s="214" t="s">
        <v>238</v>
      </c>
      <c r="C65" s="195">
        <v>3</v>
      </c>
      <c r="D65" s="195">
        <v>2.81148</v>
      </c>
      <c r="E65" s="202">
        <f t="shared" si="3"/>
        <v>93.716</v>
      </c>
      <c r="F65" s="202">
        <f t="shared" si="2"/>
        <v>-0.18852000000000002</v>
      </c>
    </row>
    <row r="66" spans="1:6" ht="15.75" customHeight="1">
      <c r="A66" s="213" t="s">
        <v>239</v>
      </c>
      <c r="B66" s="214" t="s">
        <v>240</v>
      </c>
      <c r="C66" s="195">
        <v>13.5</v>
      </c>
      <c r="D66" s="195">
        <v>10.32406</v>
      </c>
      <c r="E66" s="205">
        <f t="shared" si="3"/>
        <v>76.47451851851851</v>
      </c>
      <c r="F66" s="205">
        <f t="shared" si="2"/>
        <v>-3.1759400000000007</v>
      </c>
    </row>
    <row r="67" spans="1:6" ht="15.75" customHeight="1">
      <c r="A67" s="213" t="s">
        <v>241</v>
      </c>
      <c r="B67" s="214" t="s">
        <v>318</v>
      </c>
      <c r="C67" s="195">
        <v>2</v>
      </c>
      <c r="D67" s="195">
        <v>2</v>
      </c>
      <c r="E67" s="205"/>
      <c r="F67" s="205"/>
    </row>
    <row r="68" spans="1:6" s="139" customFormat="1" ht="15.75">
      <c r="A68" s="200" t="s">
        <v>39</v>
      </c>
      <c r="B68" s="201" t="s">
        <v>243</v>
      </c>
      <c r="C68" s="215">
        <f>C71+C72+C69+C70</f>
        <v>901.9442</v>
      </c>
      <c r="D68" s="215">
        <f>D71+D72+D69+D70</f>
        <v>869.59903</v>
      </c>
      <c r="E68" s="202">
        <f aca="true" t="shared" si="4" ref="E68:E82">SUM(D68/C68*100)</f>
        <v>96.41383912663332</v>
      </c>
      <c r="F68" s="202">
        <f aca="true" t="shared" si="5" ref="F68:F83">SUM(D68-C68)</f>
        <v>-32.34517000000005</v>
      </c>
    </row>
    <row r="69" spans="1:6" ht="16.5" customHeight="1">
      <c r="A69" s="203" t="s">
        <v>246</v>
      </c>
      <c r="B69" s="206" t="s">
        <v>319</v>
      </c>
      <c r="C69" s="216">
        <v>0</v>
      </c>
      <c r="D69" s="195">
        <v>0</v>
      </c>
      <c r="E69" s="205" t="e">
        <f t="shared" si="4"/>
        <v>#DIV/0!</v>
      </c>
      <c r="F69" s="205">
        <f t="shared" si="5"/>
        <v>0</v>
      </c>
    </row>
    <row r="70" spans="1:7" s="139" customFormat="1" ht="15.75" customHeight="1">
      <c r="A70" s="203" t="s">
        <v>248</v>
      </c>
      <c r="B70" s="206" t="s">
        <v>320</v>
      </c>
      <c r="C70" s="216">
        <v>22</v>
      </c>
      <c r="D70" s="195">
        <v>19.72</v>
      </c>
      <c r="E70" s="205">
        <f t="shared" si="4"/>
        <v>89.63636363636364</v>
      </c>
      <c r="F70" s="205">
        <f t="shared" si="5"/>
        <v>-2.280000000000001</v>
      </c>
      <c r="G70" s="142"/>
    </row>
    <row r="71" spans="1:6" ht="15.75" customHeight="1">
      <c r="A71" s="203" t="s">
        <v>250</v>
      </c>
      <c r="B71" s="206" t="s">
        <v>251</v>
      </c>
      <c r="C71" s="216">
        <v>829.9442</v>
      </c>
      <c r="D71" s="195">
        <v>829.87903</v>
      </c>
      <c r="E71" s="205">
        <f t="shared" si="4"/>
        <v>99.9921476648671</v>
      </c>
      <c r="F71" s="205">
        <f t="shared" si="5"/>
        <v>-0.06517000000008011</v>
      </c>
    </row>
    <row r="72" spans="1:6" ht="19.5" customHeight="1">
      <c r="A72" s="203" t="s">
        <v>252</v>
      </c>
      <c r="B72" s="206" t="s">
        <v>253</v>
      </c>
      <c r="C72" s="216">
        <v>50</v>
      </c>
      <c r="D72" s="195">
        <v>20</v>
      </c>
      <c r="E72" s="205">
        <f t="shared" si="4"/>
        <v>40</v>
      </c>
      <c r="F72" s="205">
        <f t="shared" si="5"/>
        <v>-30</v>
      </c>
    </row>
    <row r="73" spans="1:6" s="139" customFormat="1" ht="18" customHeight="1">
      <c r="A73" s="200" t="s">
        <v>41</v>
      </c>
      <c r="B73" s="201" t="s">
        <v>254</v>
      </c>
      <c r="C73" s="190">
        <f>C76+C75</f>
        <v>704.076</v>
      </c>
      <c r="D73" s="190">
        <f>D76+D75</f>
        <v>663.17056</v>
      </c>
      <c r="E73" s="202">
        <f t="shared" si="4"/>
        <v>94.19019537663547</v>
      </c>
      <c r="F73" s="202">
        <f t="shared" si="5"/>
        <v>-40.90544</v>
      </c>
    </row>
    <row r="74" spans="1:6" ht="0.75" customHeight="1" hidden="1">
      <c r="A74" s="203" t="s">
        <v>255</v>
      </c>
      <c r="B74" s="217" t="s">
        <v>256</v>
      </c>
      <c r="C74" s="195"/>
      <c r="D74" s="195"/>
      <c r="E74" s="205" t="e">
        <f t="shared" si="4"/>
        <v>#DIV/0!</v>
      </c>
      <c r="F74" s="205">
        <f t="shared" si="5"/>
        <v>0</v>
      </c>
    </row>
    <row r="75" spans="1:6" ht="15" customHeight="1">
      <c r="A75" s="203" t="s">
        <v>257</v>
      </c>
      <c r="B75" s="217" t="s">
        <v>258</v>
      </c>
      <c r="C75" s="195">
        <v>32.58</v>
      </c>
      <c r="D75" s="195">
        <v>32.57964</v>
      </c>
      <c r="E75" s="205">
        <f t="shared" si="4"/>
        <v>99.99889502762431</v>
      </c>
      <c r="F75" s="205">
        <f t="shared" si="5"/>
        <v>-0.0003600000000005821</v>
      </c>
    </row>
    <row r="76" spans="1:6" ht="16.5" customHeight="1">
      <c r="A76" s="203" t="s">
        <v>259</v>
      </c>
      <c r="B76" s="206" t="s">
        <v>260</v>
      </c>
      <c r="C76" s="195">
        <v>671.496</v>
      </c>
      <c r="D76" s="195">
        <v>630.59092</v>
      </c>
      <c r="E76" s="205">
        <f t="shared" si="4"/>
        <v>93.90836579815814</v>
      </c>
      <c r="F76" s="205">
        <f t="shared" si="5"/>
        <v>-40.90508</v>
      </c>
    </row>
    <row r="77" spans="1:6" s="139" customFormat="1" ht="15.75">
      <c r="A77" s="200" t="s">
        <v>47</v>
      </c>
      <c r="B77" s="201" t="s">
        <v>275</v>
      </c>
      <c r="C77" s="190">
        <f>C78</f>
        <v>1310.621</v>
      </c>
      <c r="D77" s="190">
        <f>D78</f>
        <v>1310.621</v>
      </c>
      <c r="E77" s="202">
        <f t="shared" si="4"/>
        <v>100</v>
      </c>
      <c r="F77" s="202">
        <f t="shared" si="5"/>
        <v>0</v>
      </c>
    </row>
    <row r="78" spans="1:6" ht="16.5" customHeight="1">
      <c r="A78" s="203" t="s">
        <v>276</v>
      </c>
      <c r="B78" s="206" t="s">
        <v>277</v>
      </c>
      <c r="C78" s="195">
        <v>1310.621</v>
      </c>
      <c r="D78" s="195">
        <v>1310.621</v>
      </c>
      <c r="E78" s="205">
        <f t="shared" si="4"/>
        <v>100</v>
      </c>
      <c r="F78" s="205">
        <f t="shared" si="5"/>
        <v>0</v>
      </c>
    </row>
    <row r="79" spans="1:6" s="139" customFormat="1" ht="0.75" customHeight="1" hidden="1">
      <c r="A79" s="218">
        <v>1000</v>
      </c>
      <c r="B79" s="201" t="s">
        <v>280</v>
      </c>
      <c r="C79" s="190"/>
      <c r="D79" s="190"/>
      <c r="E79" s="202" t="e">
        <f t="shared" si="4"/>
        <v>#DIV/0!</v>
      </c>
      <c r="F79" s="202">
        <f t="shared" si="5"/>
        <v>0</v>
      </c>
    </row>
    <row r="80" spans="1:6" ht="16.5" customHeight="1" hidden="1">
      <c r="A80" s="219">
        <v>1001</v>
      </c>
      <c r="B80" s="220" t="s">
        <v>281</v>
      </c>
      <c r="C80" s="195"/>
      <c r="D80" s="195"/>
      <c r="E80" s="205" t="e">
        <f t="shared" si="4"/>
        <v>#DIV/0!</v>
      </c>
      <c r="F80" s="205">
        <f t="shared" si="5"/>
        <v>0</v>
      </c>
    </row>
    <row r="81" spans="1:6" ht="15.75" customHeight="1" hidden="1">
      <c r="A81" s="219">
        <v>1003</v>
      </c>
      <c r="B81" s="220" t="s">
        <v>282</v>
      </c>
      <c r="C81" s="195"/>
      <c r="D81" s="195"/>
      <c r="E81" s="205" t="e">
        <f t="shared" si="4"/>
        <v>#DIV/0!</v>
      </c>
      <c r="F81" s="205">
        <f t="shared" si="5"/>
        <v>0</v>
      </c>
    </row>
    <row r="82" spans="1:6" ht="16.5" customHeight="1" hidden="1">
      <c r="A82" s="219">
        <v>1004</v>
      </c>
      <c r="B82" s="220" t="s">
        <v>283</v>
      </c>
      <c r="C82" s="195"/>
      <c r="D82" s="221"/>
      <c r="E82" s="205" t="e">
        <f t="shared" si="4"/>
        <v>#DIV/0!</v>
      </c>
      <c r="F82" s="205">
        <f t="shared" si="5"/>
        <v>0</v>
      </c>
    </row>
    <row r="83" spans="1:6" ht="0.75" customHeight="1" hidden="1">
      <c r="A83" s="203" t="s">
        <v>284</v>
      </c>
      <c r="B83" s="206" t="s">
        <v>285</v>
      </c>
      <c r="C83" s="195"/>
      <c r="D83" s="195"/>
      <c r="E83" s="205"/>
      <c r="F83" s="205">
        <f t="shared" si="5"/>
        <v>0</v>
      </c>
    </row>
    <row r="84" spans="1:6" ht="17.25" customHeight="1">
      <c r="A84" s="200" t="s">
        <v>51</v>
      </c>
      <c r="B84" s="201" t="s">
        <v>286</v>
      </c>
      <c r="C84" s="190">
        <f>C85</f>
        <v>30</v>
      </c>
      <c r="D84" s="190">
        <f>D85</f>
        <v>0</v>
      </c>
      <c r="E84" s="205">
        <f>SUM(D84/C84*100)</f>
        <v>0</v>
      </c>
      <c r="F84" s="190">
        <f>F85+F86+F87+F88+F89</f>
        <v>-30</v>
      </c>
    </row>
    <row r="85" spans="1:6" ht="18" customHeight="1">
      <c r="A85" s="203" t="s">
        <v>287</v>
      </c>
      <c r="B85" s="206" t="s">
        <v>288</v>
      </c>
      <c r="C85" s="195">
        <v>30</v>
      </c>
      <c r="D85" s="195">
        <v>0</v>
      </c>
      <c r="E85" s="205">
        <v>0</v>
      </c>
      <c r="F85" s="205">
        <f>SUM(D85-C85)</f>
        <v>-30</v>
      </c>
    </row>
    <row r="86" spans="1:6" ht="14.25" customHeight="1" hidden="1">
      <c r="A86" s="203" t="s">
        <v>289</v>
      </c>
      <c r="B86" s="206" t="s">
        <v>290</v>
      </c>
      <c r="C86" s="195"/>
      <c r="D86" s="195"/>
      <c r="E86" s="205" t="e">
        <f aca="true" t="shared" si="6" ref="E86:E94">SUM(D86/C86*100)</f>
        <v>#DIV/0!</v>
      </c>
      <c r="F86" s="205">
        <f>SUM(D86-C86)</f>
        <v>0</v>
      </c>
    </row>
    <row r="87" spans="1:6" ht="15.75" customHeight="1" hidden="1">
      <c r="A87" s="203" t="s">
        <v>291</v>
      </c>
      <c r="B87" s="206" t="s">
        <v>292</v>
      </c>
      <c r="C87" s="195"/>
      <c r="D87" s="195"/>
      <c r="E87" s="205" t="e">
        <f t="shared" si="6"/>
        <v>#DIV/0!</v>
      </c>
      <c r="F87" s="205"/>
    </row>
    <row r="88" spans="1:6" ht="9.75" customHeight="1" hidden="1">
      <c r="A88" s="203" t="s">
        <v>293</v>
      </c>
      <c r="B88" s="206" t="s">
        <v>294</v>
      </c>
      <c r="C88" s="195"/>
      <c r="D88" s="195"/>
      <c r="E88" s="205" t="e">
        <f t="shared" si="6"/>
        <v>#DIV/0!</v>
      </c>
      <c r="F88" s="205"/>
    </row>
    <row r="89" spans="1:6" ht="11.25" customHeight="1" hidden="1">
      <c r="A89" s="203" t="s">
        <v>295</v>
      </c>
      <c r="B89" s="206" t="s">
        <v>296</v>
      </c>
      <c r="C89" s="195"/>
      <c r="D89" s="195"/>
      <c r="E89" s="205" t="e">
        <f t="shared" si="6"/>
        <v>#DIV/0!</v>
      </c>
      <c r="F89" s="205"/>
    </row>
    <row r="90" spans="1:6" s="139" customFormat="1" ht="17.25" customHeight="1" hidden="1">
      <c r="A90" s="218">
        <v>1400</v>
      </c>
      <c r="B90" s="222" t="s">
        <v>303</v>
      </c>
      <c r="C90" s="215">
        <v>0</v>
      </c>
      <c r="D90" s="215">
        <f>SUM(D91:D93)</f>
        <v>0</v>
      </c>
      <c r="E90" s="202" t="e">
        <f t="shared" si="6"/>
        <v>#DIV/0!</v>
      </c>
      <c r="F90" s="202">
        <f>SUM(D90-C90)</f>
        <v>0</v>
      </c>
    </row>
    <row r="91" spans="1:6" ht="18.75" customHeight="1" hidden="1">
      <c r="A91" s="219">
        <v>1401</v>
      </c>
      <c r="B91" s="220" t="s">
        <v>304</v>
      </c>
      <c r="C91" s="216"/>
      <c r="D91" s="195"/>
      <c r="E91" s="205" t="e">
        <f t="shared" si="6"/>
        <v>#DIV/0!</v>
      </c>
      <c r="F91" s="205">
        <f>SUM(D91-C91)</f>
        <v>0</v>
      </c>
    </row>
    <row r="92" spans="1:6" ht="15.75" customHeight="1" hidden="1">
      <c r="A92" s="219">
        <v>1402</v>
      </c>
      <c r="B92" s="220" t="s">
        <v>305</v>
      </c>
      <c r="C92" s="216"/>
      <c r="D92" s="195"/>
      <c r="E92" s="205" t="e">
        <f t="shared" si="6"/>
        <v>#DIV/0!</v>
      </c>
      <c r="F92" s="205">
        <f>SUM(D92-C92)</f>
        <v>0</v>
      </c>
    </row>
    <row r="93" spans="1:6" ht="12.75" customHeight="1" hidden="1">
      <c r="A93" s="219">
        <v>1403</v>
      </c>
      <c r="B93" s="220" t="s">
        <v>306</v>
      </c>
      <c r="C93" s="216"/>
      <c r="D93" s="195"/>
      <c r="E93" s="205" t="e">
        <f t="shared" si="6"/>
        <v>#DIV/0!</v>
      </c>
      <c r="F93" s="205">
        <f>SUM(D93-C93)</f>
        <v>0</v>
      </c>
    </row>
    <row r="94" spans="1:7" s="139" customFormat="1" ht="15.75">
      <c r="A94" s="218"/>
      <c r="B94" s="223" t="s">
        <v>307</v>
      </c>
      <c r="C94" s="224">
        <f>C52+C60+C62+C68+C73+C77+C84</f>
        <v>4479.9612</v>
      </c>
      <c r="D94" s="224">
        <f>D52+D60+D62+D68+D73+D77+D79+D84+D90</f>
        <v>4299.746950000001</v>
      </c>
      <c r="E94" s="225">
        <f t="shared" si="6"/>
        <v>95.97732565183826</v>
      </c>
      <c r="F94" s="202">
        <f>SUM(D94-C94)</f>
        <v>-180.21424999999908</v>
      </c>
      <c r="G94" s="186"/>
    </row>
    <row r="95" spans="3:4" ht="15.75">
      <c r="C95" s="226"/>
      <c r="D95" s="227"/>
    </row>
    <row r="96" spans="1:4" s="143" customFormat="1" ht="16.5" customHeight="1">
      <c r="A96" s="228" t="s">
        <v>308</v>
      </c>
      <c r="B96" s="228"/>
      <c r="C96" s="229"/>
      <c r="D96" s="229"/>
    </row>
    <row r="97" spans="1:3" s="143" customFormat="1" ht="20.25" customHeight="1">
      <c r="A97" s="230" t="s">
        <v>309</v>
      </c>
      <c r="B97" s="230"/>
      <c r="C97" s="143" t="s">
        <v>310</v>
      </c>
    </row>
    <row r="98" ht="13.5" customHeight="1"/>
    <row r="100" ht="5.25" customHeight="1"/>
    <row r="142" ht="15.75" hidden="1"/>
  </sheetData>
  <sheetProtection selectLockedCells="1" selectUnlockedCells="1"/>
  <mergeCells count="2">
    <mergeCell ref="A1:F1"/>
    <mergeCell ref="A2:F2"/>
  </mergeCells>
  <printOptions/>
  <pageMargins left="0.7480314960629921" right="0.7480314960629921" top="0.1968503937007874" bottom="0.15748031496062992" header="0.5118110236220472" footer="0.5118110236220472"/>
  <pageSetup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view="pageBreakPreview" zoomScale="70" zoomScaleSheetLayoutView="70" zoomScalePageLayoutView="0" workbookViewId="0" topLeftCell="A29">
      <selection activeCell="D92" sqref="D92"/>
    </sheetView>
  </sheetViews>
  <sheetFormatPr defaultColWidth="9.140625" defaultRowHeight="12.75"/>
  <cols>
    <col min="1" max="1" width="14.7109375" style="135" customWidth="1"/>
    <col min="2" max="2" width="56.421875" style="136" customWidth="1"/>
    <col min="3" max="3" width="16.7109375" style="231" customWidth="1"/>
    <col min="4" max="4" width="16.8515625" style="137" customWidth="1"/>
    <col min="5" max="5" width="15.28125" style="137" customWidth="1"/>
    <col min="6" max="6" width="13.421875" style="137" customWidth="1"/>
    <col min="7" max="7" width="15.421875" style="138" customWidth="1"/>
    <col min="8" max="8" width="17.7109375" style="138" customWidth="1"/>
    <col min="9" max="16384" width="9.140625" style="138" customWidth="1"/>
  </cols>
  <sheetData>
    <row r="1" spans="1:6" ht="12.75" customHeight="1">
      <c r="A1" s="469" t="s">
        <v>428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232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C5+C12+C14+C17+C7</f>
        <v>3306.32</v>
      </c>
      <c r="D4" s="150">
        <f>D5+D12+D14+D17+D7</f>
        <v>3812.0073799999996</v>
      </c>
      <c r="E4" s="150">
        <f aca="true" t="shared" si="0" ref="E4:E49">SUM(D4/C4*100)</f>
        <v>115.29456858380311</v>
      </c>
      <c r="F4" s="150">
        <f aca="true" t="shared" si="1" ref="F4:F35">SUM(D4-C4)</f>
        <v>505.6873799999994</v>
      </c>
    </row>
    <row r="5" spans="1:6" s="139" customFormat="1" ht="15.75">
      <c r="A5" s="151">
        <v>1010000000</v>
      </c>
      <c r="B5" s="152" t="s">
        <v>146</v>
      </c>
      <c r="C5" s="150">
        <f>C6</f>
        <v>350.22</v>
      </c>
      <c r="D5" s="150">
        <f>D6</f>
        <v>509.88576</v>
      </c>
      <c r="E5" s="150">
        <f t="shared" si="0"/>
        <v>145.59013191708067</v>
      </c>
      <c r="F5" s="150">
        <f t="shared" si="1"/>
        <v>159.66575999999998</v>
      </c>
    </row>
    <row r="6" spans="1:6" ht="15.75">
      <c r="A6" s="153">
        <v>1010200001</v>
      </c>
      <c r="B6" s="154" t="s">
        <v>147</v>
      </c>
      <c r="C6" s="155">
        <v>350.22</v>
      </c>
      <c r="D6" s="156">
        <v>509.88576</v>
      </c>
      <c r="E6" s="155">
        <f t="shared" si="0"/>
        <v>145.59013191708067</v>
      </c>
      <c r="F6" s="155">
        <f t="shared" si="1"/>
        <v>159.66575999999998</v>
      </c>
    </row>
    <row r="7" spans="1:6" ht="31.5">
      <c r="A7" s="148">
        <v>1030000000</v>
      </c>
      <c r="B7" s="157" t="s">
        <v>148</v>
      </c>
      <c r="C7" s="150">
        <f>C8+C10+C9</f>
        <v>763.1</v>
      </c>
      <c r="D7" s="150">
        <f>D8+D10+D9+D11</f>
        <v>805.5820199999999</v>
      </c>
      <c r="E7" s="150">
        <f t="shared" si="0"/>
        <v>105.56703184379504</v>
      </c>
      <c r="F7" s="150">
        <f t="shared" si="1"/>
        <v>42.48201999999992</v>
      </c>
    </row>
    <row r="8" spans="1:6" ht="15.75">
      <c r="A8" s="153">
        <v>1030223001</v>
      </c>
      <c r="B8" s="154" t="s">
        <v>149</v>
      </c>
      <c r="C8" s="155">
        <v>267.48</v>
      </c>
      <c r="D8" s="156">
        <v>371.90467</v>
      </c>
      <c r="E8" s="155">
        <f t="shared" si="0"/>
        <v>139.04017870494988</v>
      </c>
      <c r="F8" s="155">
        <f t="shared" si="1"/>
        <v>104.42466999999999</v>
      </c>
    </row>
    <row r="9" spans="1:6" ht="15.75">
      <c r="A9" s="153">
        <v>1030224001</v>
      </c>
      <c r="B9" s="154" t="s">
        <v>150</v>
      </c>
      <c r="C9" s="155">
        <v>2.87</v>
      </c>
      <c r="D9" s="156">
        <v>2.61551</v>
      </c>
      <c r="E9" s="155">
        <f t="shared" si="0"/>
        <v>91.13275261324041</v>
      </c>
      <c r="F9" s="155">
        <f t="shared" si="1"/>
        <v>-0.2544900000000001</v>
      </c>
    </row>
    <row r="10" spans="1:6" ht="15.75">
      <c r="A10" s="153">
        <v>1030225001</v>
      </c>
      <c r="B10" s="154" t="s">
        <v>151</v>
      </c>
      <c r="C10" s="155">
        <v>492.75</v>
      </c>
      <c r="D10" s="156">
        <v>494.48115</v>
      </c>
      <c r="E10" s="155">
        <f t="shared" si="0"/>
        <v>100.35132420091324</v>
      </c>
      <c r="F10" s="155">
        <f t="shared" si="1"/>
        <v>1.7311500000000137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-63.41931</v>
      </c>
      <c r="E11" s="155" t="e">
        <f t="shared" si="0"/>
        <v>#DIV/0!</v>
      </c>
      <c r="F11" s="155">
        <f t="shared" si="1"/>
        <v>-63.41931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40</v>
      </c>
      <c r="D12" s="150">
        <f>SUM(D13:D13)</f>
        <v>43.1714</v>
      </c>
      <c r="E12" s="150">
        <f t="shared" si="0"/>
        <v>107.9285</v>
      </c>
      <c r="F12" s="150">
        <f t="shared" si="1"/>
        <v>3.1713999999999984</v>
      </c>
    </row>
    <row r="13" spans="1:6" ht="15.75" customHeight="1">
      <c r="A13" s="153">
        <v>1050300000</v>
      </c>
      <c r="B13" s="158" t="s">
        <v>156</v>
      </c>
      <c r="C13" s="159">
        <v>40</v>
      </c>
      <c r="D13" s="156">
        <v>43.1714</v>
      </c>
      <c r="E13" s="155">
        <f t="shared" si="0"/>
        <v>107.9285</v>
      </c>
      <c r="F13" s="155">
        <f t="shared" si="1"/>
        <v>3.1713999999999984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2143</v>
      </c>
      <c r="D14" s="150">
        <f>D15+D16</f>
        <v>2449.1582</v>
      </c>
      <c r="E14" s="150">
        <f t="shared" si="0"/>
        <v>114.28643023798412</v>
      </c>
      <c r="F14" s="150">
        <f t="shared" si="1"/>
        <v>306.15819999999985</v>
      </c>
    </row>
    <row r="15" spans="1:6" s="139" customFormat="1" ht="15.75" customHeight="1">
      <c r="A15" s="153">
        <v>1060100000</v>
      </c>
      <c r="B15" s="158" t="s">
        <v>159</v>
      </c>
      <c r="C15" s="155">
        <v>943</v>
      </c>
      <c r="D15" s="156">
        <v>972.62579</v>
      </c>
      <c r="E15" s="150">
        <f t="shared" si="0"/>
        <v>103.14165323435844</v>
      </c>
      <c r="F15" s="155">
        <f t="shared" si="1"/>
        <v>29.625790000000052</v>
      </c>
    </row>
    <row r="16" spans="1:6" ht="15" customHeight="1">
      <c r="A16" s="153">
        <v>1060600000</v>
      </c>
      <c r="B16" s="158" t="s">
        <v>162</v>
      </c>
      <c r="C16" s="155">
        <v>1200</v>
      </c>
      <c r="D16" s="156">
        <v>1476.53241</v>
      </c>
      <c r="E16" s="150">
        <f t="shared" si="0"/>
        <v>123.0443675</v>
      </c>
      <c r="F16" s="155">
        <f t="shared" si="1"/>
        <v>276.53241</v>
      </c>
    </row>
    <row r="17" spans="1:6" s="139" customFormat="1" ht="18" customHeight="1">
      <c r="A17" s="148">
        <v>1080000000</v>
      </c>
      <c r="B17" s="149" t="s">
        <v>165</v>
      </c>
      <c r="C17" s="150">
        <f>C18</f>
        <v>10</v>
      </c>
      <c r="D17" s="150">
        <f>D18</f>
        <v>4.21</v>
      </c>
      <c r="E17" s="150">
        <f t="shared" si="0"/>
        <v>42.1</v>
      </c>
      <c r="F17" s="150">
        <f t="shared" si="1"/>
        <v>-5.79</v>
      </c>
    </row>
    <row r="18" spans="1:6" ht="18" customHeight="1">
      <c r="A18" s="153">
        <v>1080400001</v>
      </c>
      <c r="B18" s="154" t="s">
        <v>167</v>
      </c>
      <c r="C18" s="155">
        <v>10</v>
      </c>
      <c r="D18" s="156">
        <v>4.21</v>
      </c>
      <c r="E18" s="155">
        <f t="shared" si="0"/>
        <v>42.1</v>
      </c>
      <c r="F18" s="155">
        <f t="shared" si="1"/>
        <v>-5.79</v>
      </c>
    </row>
    <row r="19" spans="1:6" ht="0.7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29.25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31.5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15.75" hidden="1">
      <c r="A22" s="153">
        <v>1090400000</v>
      </c>
      <c r="B22" s="154" t="s">
        <v>171</v>
      </c>
      <c r="C22" s="150"/>
      <c r="D22" s="161"/>
      <c r="E22" s="155" t="e">
        <f t="shared" si="0"/>
        <v>#DIV/0!</v>
      </c>
      <c r="F22" s="155">
        <f t="shared" si="1"/>
        <v>0</v>
      </c>
    </row>
    <row r="23" spans="1:6" s="140" customFormat="1" ht="15.75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31.5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7.25" customHeight="1">
      <c r="A25" s="148"/>
      <c r="B25" s="149" t="s">
        <v>17</v>
      </c>
      <c r="C25" s="150">
        <f>C26+C30+C32+C37+C35</f>
        <v>415</v>
      </c>
      <c r="D25" s="150">
        <f>D26+D30+D32+D35+D37</f>
        <v>576.2034099999998</v>
      </c>
      <c r="E25" s="150">
        <f t="shared" si="0"/>
        <v>138.84419518072286</v>
      </c>
      <c r="F25" s="150">
        <f t="shared" si="1"/>
        <v>161.20340999999985</v>
      </c>
    </row>
    <row r="26" spans="1:6" s="139" customFormat="1" ht="30.75" customHeight="1">
      <c r="A26" s="151">
        <v>1110000000</v>
      </c>
      <c r="B26" s="160" t="s">
        <v>174</v>
      </c>
      <c r="C26" s="150">
        <f>C28+C29</f>
        <v>215</v>
      </c>
      <c r="D26" s="150">
        <f>D28+D29</f>
        <v>386.64</v>
      </c>
      <c r="E26" s="150">
        <f t="shared" si="0"/>
        <v>179.83255813953488</v>
      </c>
      <c r="F26" s="150">
        <f t="shared" si="1"/>
        <v>171.64</v>
      </c>
    </row>
    <row r="27" spans="1:6" ht="15.75">
      <c r="A27" s="162">
        <v>1110502501</v>
      </c>
      <c r="B27" s="163" t="s">
        <v>177</v>
      </c>
      <c r="C27" s="159">
        <v>0</v>
      </c>
      <c r="D27" s="156">
        <v>0</v>
      </c>
      <c r="E27" s="155" t="e">
        <f t="shared" si="0"/>
        <v>#DIV/0!</v>
      </c>
      <c r="F27" s="155">
        <f t="shared" si="1"/>
        <v>0</v>
      </c>
    </row>
    <row r="28" spans="1:6" ht="15.75" customHeight="1">
      <c r="A28" s="162">
        <v>1110502510</v>
      </c>
      <c r="B28" s="163" t="s">
        <v>323</v>
      </c>
      <c r="C28" s="159">
        <v>165</v>
      </c>
      <c r="D28" s="156">
        <v>321.556</v>
      </c>
      <c r="E28" s="155">
        <f t="shared" si="0"/>
        <v>194.88242424242424</v>
      </c>
      <c r="F28" s="155">
        <f t="shared" si="1"/>
        <v>156.55599999999998</v>
      </c>
    </row>
    <row r="29" spans="1:6" ht="15.75">
      <c r="A29" s="153">
        <v>1110503000</v>
      </c>
      <c r="B29" s="158" t="s">
        <v>178</v>
      </c>
      <c r="C29" s="159">
        <v>50</v>
      </c>
      <c r="D29" s="156">
        <v>65.084</v>
      </c>
      <c r="E29" s="155">
        <f t="shared" si="0"/>
        <v>130.168</v>
      </c>
      <c r="F29" s="155">
        <f t="shared" si="1"/>
        <v>15.084000000000003</v>
      </c>
    </row>
    <row r="30" spans="1:6" s="140" customFormat="1" ht="35.25" customHeight="1">
      <c r="A30" s="151">
        <v>1130000000</v>
      </c>
      <c r="B30" s="160" t="s">
        <v>185</v>
      </c>
      <c r="C30" s="150">
        <f>C31</f>
        <v>200</v>
      </c>
      <c r="D30" s="150">
        <f>D31</f>
        <v>180.13416</v>
      </c>
      <c r="E30" s="150">
        <f t="shared" si="0"/>
        <v>90.06708</v>
      </c>
      <c r="F30" s="150">
        <f t="shared" si="1"/>
        <v>-19.86583999999999</v>
      </c>
    </row>
    <row r="31" spans="1:6" ht="18" customHeight="1">
      <c r="A31" s="153">
        <v>1130206005</v>
      </c>
      <c r="B31" s="154" t="s">
        <v>187</v>
      </c>
      <c r="C31" s="155">
        <v>200</v>
      </c>
      <c r="D31" s="156">
        <v>180.13416</v>
      </c>
      <c r="E31" s="155">
        <f t="shared" si="0"/>
        <v>90.06708</v>
      </c>
      <c r="F31" s="155">
        <f t="shared" si="1"/>
        <v>-19.86583999999999</v>
      </c>
    </row>
    <row r="32" spans="1:6" ht="18.75" customHeight="1">
      <c r="A32" s="164">
        <v>1140000000</v>
      </c>
      <c r="B32" s="165" t="s">
        <v>188</v>
      </c>
      <c r="C32" s="150">
        <f>C33+C34</f>
        <v>0</v>
      </c>
      <c r="D32" s="150">
        <f>D33+D34</f>
        <v>0</v>
      </c>
      <c r="E32" s="150" t="e">
        <f t="shared" si="0"/>
        <v>#DIV/0!</v>
      </c>
      <c r="F32" s="150">
        <f t="shared" si="1"/>
        <v>0</v>
      </c>
    </row>
    <row r="33" spans="1:6" ht="18.75" customHeight="1">
      <c r="A33" s="162">
        <v>1140200000</v>
      </c>
      <c r="B33" s="166" t="s">
        <v>324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15.75" hidden="1">
      <c r="A34" s="153">
        <v>1140600000</v>
      </c>
      <c r="B34" s="154" t="s">
        <v>190</v>
      </c>
      <c r="C34" s="155">
        <v>0</v>
      </c>
      <c r="D34" s="156">
        <v>0</v>
      </c>
      <c r="E34" s="155" t="e">
        <f t="shared" si="0"/>
        <v>#DIV/0!</v>
      </c>
      <c r="F34" s="155">
        <f t="shared" si="1"/>
        <v>0</v>
      </c>
    </row>
    <row r="35" spans="1:6" ht="32.25" customHeight="1">
      <c r="A35" s="233">
        <v>1160000000</v>
      </c>
      <c r="B35" s="157" t="s">
        <v>325</v>
      </c>
      <c r="C35" s="150">
        <f>C36</f>
        <v>0</v>
      </c>
      <c r="D35" s="161">
        <f>D36</f>
        <v>12.0024</v>
      </c>
      <c r="E35" s="155" t="e">
        <f t="shared" si="0"/>
        <v>#DIV/0!</v>
      </c>
      <c r="F35" s="155">
        <f t="shared" si="1"/>
        <v>12.0024</v>
      </c>
    </row>
    <row r="36" spans="1:6" ht="30.75" customHeight="1">
      <c r="A36" s="153">
        <v>1160701010</v>
      </c>
      <c r="B36" s="154" t="s">
        <v>326</v>
      </c>
      <c r="C36" s="155">
        <v>0</v>
      </c>
      <c r="D36" s="156">
        <v>12.0024</v>
      </c>
      <c r="E36" s="155" t="e">
        <f t="shared" si="0"/>
        <v>#DIV/0!</v>
      </c>
      <c r="F36" s="155">
        <f aca="true" t="shared" si="2" ref="F36:F52">SUM(D36-C36)</f>
        <v>12.0024</v>
      </c>
    </row>
    <row r="37" spans="1:6" ht="29.25" customHeight="1">
      <c r="A37" s="148">
        <v>1170000000</v>
      </c>
      <c r="B37" s="157" t="s">
        <v>198</v>
      </c>
      <c r="C37" s="150">
        <f>C38+C39</f>
        <v>0</v>
      </c>
      <c r="D37" s="150">
        <f>D38+D39</f>
        <v>-2.57315</v>
      </c>
      <c r="E37" s="150" t="e">
        <f t="shared" si="0"/>
        <v>#DIV/0!</v>
      </c>
      <c r="F37" s="150">
        <f t="shared" si="2"/>
        <v>-2.57315</v>
      </c>
    </row>
    <row r="38" spans="1:6" ht="13.5" customHeight="1">
      <c r="A38" s="153">
        <v>1170105005</v>
      </c>
      <c r="B38" s="154" t="s">
        <v>199</v>
      </c>
      <c r="C38" s="155">
        <v>0</v>
      </c>
      <c r="D38" s="155">
        <v>-2.57315</v>
      </c>
      <c r="E38" s="155" t="e">
        <f t="shared" si="0"/>
        <v>#DIV/0!</v>
      </c>
      <c r="F38" s="155">
        <f t="shared" si="2"/>
        <v>-2.57315</v>
      </c>
    </row>
    <row r="39" spans="1:6" ht="24" customHeight="1">
      <c r="A39" s="153">
        <v>1170505005</v>
      </c>
      <c r="B39" s="158" t="s">
        <v>200</v>
      </c>
      <c r="C39" s="155">
        <v>0</v>
      </c>
      <c r="D39" s="156">
        <v>0</v>
      </c>
      <c r="E39" s="155" t="e">
        <f t="shared" si="0"/>
        <v>#DIV/0!</v>
      </c>
      <c r="F39" s="155">
        <f t="shared" si="2"/>
        <v>0</v>
      </c>
    </row>
    <row r="40" spans="1:6" s="139" customFormat="1" ht="29.25" customHeight="1">
      <c r="A40" s="148">
        <v>1000000000</v>
      </c>
      <c r="B40" s="149" t="s">
        <v>26</v>
      </c>
      <c r="C40" s="168">
        <f>SUM(C4,C25)</f>
        <v>3721.32</v>
      </c>
      <c r="D40" s="168">
        <f>D4+D25</f>
        <v>4388.210789999999</v>
      </c>
      <c r="E40" s="150">
        <f t="shared" si="0"/>
        <v>117.92081277611169</v>
      </c>
      <c r="F40" s="150">
        <f t="shared" si="2"/>
        <v>666.890789999999</v>
      </c>
    </row>
    <row r="41" spans="1:7" s="139" customFormat="1" ht="20.25" customHeight="1">
      <c r="A41" s="148">
        <v>2000000000</v>
      </c>
      <c r="B41" s="149" t="s">
        <v>201</v>
      </c>
      <c r="C41" s="234">
        <f>C42+C43+C44+C46+C47+C45+C48</f>
        <v>16362.992809999998</v>
      </c>
      <c r="D41" s="234">
        <f>D42+D43+D44+D46+D47+D45+D48</f>
        <v>16310.192009999999</v>
      </c>
      <c r="E41" s="150">
        <f t="shared" si="0"/>
        <v>99.67731575382878</v>
      </c>
      <c r="F41" s="150">
        <f t="shared" si="2"/>
        <v>-52.80079999999907</v>
      </c>
      <c r="G41" s="170"/>
    </row>
    <row r="42" spans="1:6" ht="19.5" customHeight="1">
      <c r="A42" s="162">
        <v>2021000000</v>
      </c>
      <c r="B42" s="163" t="s">
        <v>202</v>
      </c>
      <c r="C42" s="235">
        <v>6036.4</v>
      </c>
      <c r="D42" s="172">
        <v>6036.4</v>
      </c>
      <c r="E42" s="155">
        <f t="shared" si="0"/>
        <v>100</v>
      </c>
      <c r="F42" s="155">
        <f t="shared" si="2"/>
        <v>0</v>
      </c>
    </row>
    <row r="43" spans="1:6" ht="27.75" customHeight="1" hidden="1">
      <c r="A43" s="162">
        <v>2021500200</v>
      </c>
      <c r="B43" s="163" t="s">
        <v>205</v>
      </c>
      <c r="C43" s="159">
        <v>0</v>
      </c>
      <c r="D43" s="172">
        <v>0</v>
      </c>
      <c r="E43" s="155" t="e">
        <f t="shared" si="0"/>
        <v>#DIV/0!</v>
      </c>
      <c r="F43" s="155">
        <f t="shared" si="2"/>
        <v>0</v>
      </c>
    </row>
    <row r="44" spans="1:6" ht="21" customHeight="1">
      <c r="A44" s="162">
        <v>2022000000</v>
      </c>
      <c r="B44" s="163" t="s">
        <v>206</v>
      </c>
      <c r="C44" s="159">
        <v>8509.34377</v>
      </c>
      <c r="D44" s="156">
        <v>8509.32397</v>
      </c>
      <c r="E44" s="155">
        <f t="shared" si="0"/>
        <v>99.99976731460691</v>
      </c>
      <c r="F44" s="155">
        <f t="shared" si="2"/>
        <v>-0.019800000000032014</v>
      </c>
    </row>
    <row r="45" spans="1:6" ht="23.25" customHeight="1" hidden="1">
      <c r="A45" s="162">
        <v>2022999910</v>
      </c>
      <c r="B45" s="166" t="s">
        <v>327</v>
      </c>
      <c r="C45" s="159">
        <v>0</v>
      </c>
      <c r="D45" s="156">
        <v>0</v>
      </c>
      <c r="E45" s="155" t="e">
        <f t="shared" si="0"/>
        <v>#DIV/0!</v>
      </c>
      <c r="F45" s="155">
        <f t="shared" si="2"/>
        <v>0</v>
      </c>
    </row>
    <row r="46" spans="1:6" ht="21" customHeight="1">
      <c r="A46" s="162">
        <v>2023000000</v>
      </c>
      <c r="B46" s="163" t="s">
        <v>207</v>
      </c>
      <c r="C46" s="159">
        <v>249.4229</v>
      </c>
      <c r="D46" s="174">
        <v>249.4229</v>
      </c>
      <c r="E46" s="155">
        <f t="shared" si="0"/>
        <v>100</v>
      </c>
      <c r="F46" s="155">
        <f t="shared" si="2"/>
        <v>0</v>
      </c>
    </row>
    <row r="47" spans="1:6" ht="15.75" customHeight="1">
      <c r="A47" s="162">
        <v>2020400000</v>
      </c>
      <c r="B47" s="163" t="s">
        <v>102</v>
      </c>
      <c r="C47" s="159">
        <v>1359.407</v>
      </c>
      <c r="D47" s="175">
        <v>1306.626</v>
      </c>
      <c r="E47" s="155">
        <f t="shared" si="0"/>
        <v>96.117351168561</v>
      </c>
      <c r="F47" s="155">
        <f t="shared" si="2"/>
        <v>-52.78099999999995</v>
      </c>
    </row>
    <row r="48" spans="1:6" ht="16.5" customHeight="1">
      <c r="A48" s="153">
        <v>2070500010</v>
      </c>
      <c r="B48" s="163" t="s">
        <v>328</v>
      </c>
      <c r="C48" s="159">
        <v>208.41914</v>
      </c>
      <c r="D48" s="175">
        <v>208.41914</v>
      </c>
      <c r="E48" s="155">
        <f t="shared" si="0"/>
        <v>100</v>
      </c>
      <c r="F48" s="155">
        <f t="shared" si="2"/>
        <v>0</v>
      </c>
    </row>
    <row r="49" spans="1:6" ht="47.25" hidden="1">
      <c r="A49" s="162">
        <v>2020900000</v>
      </c>
      <c r="B49" s="166" t="s">
        <v>329</v>
      </c>
      <c r="C49" s="236"/>
      <c r="D49" s="237"/>
      <c r="E49" s="155" t="e">
        <f t="shared" si="0"/>
        <v>#DIV/0!</v>
      </c>
      <c r="F49" s="155">
        <f t="shared" si="2"/>
        <v>0</v>
      </c>
    </row>
    <row r="50" spans="1:6" ht="15.75" hidden="1">
      <c r="A50" s="153">
        <v>2190500005</v>
      </c>
      <c r="B50" s="158" t="s">
        <v>209</v>
      </c>
      <c r="C50" s="238">
        <v>0</v>
      </c>
      <c r="D50" s="238"/>
      <c r="E50" s="150"/>
      <c r="F50" s="150">
        <f t="shared" si="2"/>
        <v>0</v>
      </c>
    </row>
    <row r="51" spans="1:6" s="139" customFormat="1" ht="31.5" hidden="1">
      <c r="A51" s="148">
        <v>3000000000</v>
      </c>
      <c r="B51" s="157" t="s">
        <v>210</v>
      </c>
      <c r="C51" s="239">
        <v>0</v>
      </c>
      <c r="D51" s="238">
        <v>0</v>
      </c>
      <c r="E51" s="150" t="e">
        <f>SUM(D51/C51*100)</f>
        <v>#DIV/0!</v>
      </c>
      <c r="F51" s="150">
        <f t="shared" si="2"/>
        <v>0</v>
      </c>
    </row>
    <row r="52" spans="1:8" s="139" customFormat="1" ht="23.25" customHeight="1">
      <c r="A52" s="148"/>
      <c r="B52" s="149" t="s">
        <v>211</v>
      </c>
      <c r="C52" s="240">
        <f>SUM(C40,C41,C51)</f>
        <v>20084.31281</v>
      </c>
      <c r="D52" s="241">
        <f>D40+D41</f>
        <v>20698.402799999996</v>
      </c>
      <c r="E52" s="150">
        <f>SUM(D52/C52*100)</f>
        <v>103.05756037465339</v>
      </c>
      <c r="F52" s="150">
        <f t="shared" si="2"/>
        <v>614.0899899999968</v>
      </c>
      <c r="G52" s="141"/>
      <c r="H52" s="141"/>
    </row>
    <row r="53" spans="1:6" s="139" customFormat="1" ht="15.75">
      <c r="A53" s="148"/>
      <c r="B53" s="188" t="s">
        <v>212</v>
      </c>
      <c r="C53" s="150">
        <f>C52-C101</f>
        <v>-883.3964300000007</v>
      </c>
      <c r="D53" s="150">
        <f>D52-D101</f>
        <v>970.5012599999973</v>
      </c>
      <c r="E53" s="190"/>
      <c r="F53" s="190"/>
    </row>
    <row r="54" spans="1:6" ht="15.75" customHeight="1">
      <c r="A54" s="191"/>
      <c r="B54" s="192"/>
      <c r="C54" s="242"/>
      <c r="D54" s="242"/>
      <c r="E54" s="194"/>
      <c r="F54" s="243"/>
    </row>
    <row r="55" spans="1:6" ht="63">
      <c r="A55" s="196" t="s">
        <v>141</v>
      </c>
      <c r="B55" s="196" t="s">
        <v>213</v>
      </c>
      <c r="C55" s="244" t="s">
        <v>143</v>
      </c>
      <c r="D55" s="146" t="s">
        <v>426</v>
      </c>
      <c r="E55" s="145" t="s">
        <v>144</v>
      </c>
      <c r="F55" s="147" t="s">
        <v>145</v>
      </c>
    </row>
    <row r="56" spans="1:6" ht="15.75">
      <c r="A56" s="245">
        <v>1</v>
      </c>
      <c r="B56" s="196">
        <v>2</v>
      </c>
      <c r="C56" s="199">
        <v>3</v>
      </c>
      <c r="D56" s="199">
        <v>4</v>
      </c>
      <c r="E56" s="199">
        <v>5</v>
      </c>
      <c r="F56" s="199">
        <v>6</v>
      </c>
    </row>
    <row r="57" spans="1:6" s="139" customFormat="1" ht="17.25" customHeight="1">
      <c r="A57" s="200" t="s">
        <v>33</v>
      </c>
      <c r="B57" s="201" t="s">
        <v>214</v>
      </c>
      <c r="C57" s="246">
        <f>C58+C59+C60+C61+C62+C64+C63</f>
        <v>2176.898</v>
      </c>
      <c r="D57" s="246">
        <f>D58+D59+D60+D61+D62+D64+D63</f>
        <v>1965.1993999999997</v>
      </c>
      <c r="E57" s="202">
        <f>SUM(D57/C57*100)</f>
        <v>90.27521730462334</v>
      </c>
      <c r="F57" s="202">
        <f>SUM(D57-C57)</f>
        <v>-211.6986000000004</v>
      </c>
    </row>
    <row r="58" spans="1:6" s="139" customFormat="1" ht="0.75" customHeight="1">
      <c r="A58" s="203" t="s">
        <v>215</v>
      </c>
      <c r="B58" s="204" t="s">
        <v>216</v>
      </c>
      <c r="C58" s="195"/>
      <c r="D58" s="195"/>
      <c r="E58" s="205"/>
      <c r="F58" s="205"/>
    </row>
    <row r="59" spans="1:6" ht="16.5" customHeight="1">
      <c r="A59" s="203" t="s">
        <v>217</v>
      </c>
      <c r="B59" s="206" t="s">
        <v>218</v>
      </c>
      <c r="C59" s="247">
        <v>2050.9</v>
      </c>
      <c r="D59" s="195">
        <v>1934.2014</v>
      </c>
      <c r="E59" s="205">
        <f aca="true" t="shared" si="3" ref="E59:E71">SUM(D59/C59*100)</f>
        <v>94.3098834657955</v>
      </c>
      <c r="F59" s="205">
        <f aca="true" t="shared" si="4" ref="F59:F71">SUM(D59-C59)</f>
        <v>-116.69860000000017</v>
      </c>
    </row>
    <row r="60" spans="1:6" ht="12.75" customHeight="1" hidden="1">
      <c r="A60" s="203" t="s">
        <v>219</v>
      </c>
      <c r="B60" s="206" t="s">
        <v>220</v>
      </c>
      <c r="C60" s="195"/>
      <c r="D60" s="195"/>
      <c r="E60" s="205" t="e">
        <f t="shared" si="3"/>
        <v>#DIV/0!</v>
      </c>
      <c r="F60" s="205">
        <f t="shared" si="4"/>
        <v>0</v>
      </c>
    </row>
    <row r="61" spans="1:6" ht="12.75" customHeight="1" hidden="1">
      <c r="A61" s="203" t="s">
        <v>221</v>
      </c>
      <c r="B61" s="206" t="s">
        <v>222</v>
      </c>
      <c r="C61" s="195"/>
      <c r="D61" s="195"/>
      <c r="E61" s="205" t="e">
        <f t="shared" si="3"/>
        <v>#DIV/0!</v>
      </c>
      <c r="F61" s="205">
        <f t="shared" si="4"/>
        <v>0</v>
      </c>
    </row>
    <row r="62" spans="1:6" ht="18" customHeight="1">
      <c r="A62" s="203" t="s">
        <v>223</v>
      </c>
      <c r="B62" s="206" t="s">
        <v>224</v>
      </c>
      <c r="C62" s="195">
        <v>10.86</v>
      </c>
      <c r="D62" s="195">
        <v>10.86</v>
      </c>
      <c r="E62" s="205">
        <f t="shared" si="3"/>
        <v>100</v>
      </c>
      <c r="F62" s="205">
        <f t="shared" si="4"/>
        <v>0</v>
      </c>
    </row>
    <row r="63" spans="1:6" ht="18" customHeight="1">
      <c r="A63" s="203" t="s">
        <v>225</v>
      </c>
      <c r="B63" s="206" t="s">
        <v>226</v>
      </c>
      <c r="C63" s="207">
        <v>95</v>
      </c>
      <c r="D63" s="207">
        <v>0</v>
      </c>
      <c r="E63" s="205">
        <f t="shared" si="3"/>
        <v>0</v>
      </c>
      <c r="F63" s="205">
        <f t="shared" si="4"/>
        <v>-95</v>
      </c>
    </row>
    <row r="64" spans="1:6" ht="18" customHeight="1">
      <c r="A64" s="203" t="s">
        <v>227</v>
      </c>
      <c r="B64" s="206" t="s">
        <v>228</v>
      </c>
      <c r="C64" s="195">
        <v>20.138</v>
      </c>
      <c r="D64" s="195">
        <v>20.138</v>
      </c>
      <c r="E64" s="205">
        <f t="shared" si="3"/>
        <v>100</v>
      </c>
      <c r="F64" s="205">
        <f t="shared" si="4"/>
        <v>0</v>
      </c>
    </row>
    <row r="65" spans="1:6" s="139" customFormat="1" ht="15.75" customHeight="1">
      <c r="A65" s="208" t="s">
        <v>35</v>
      </c>
      <c r="B65" s="209" t="s">
        <v>229</v>
      </c>
      <c r="C65" s="190">
        <f>C66</f>
        <v>206.767</v>
      </c>
      <c r="D65" s="190">
        <f>D66</f>
        <v>206.767</v>
      </c>
      <c r="E65" s="202">
        <f t="shared" si="3"/>
        <v>100</v>
      </c>
      <c r="F65" s="202">
        <f t="shared" si="4"/>
        <v>0</v>
      </c>
    </row>
    <row r="66" spans="1:6" ht="15.75">
      <c r="A66" s="210" t="s">
        <v>230</v>
      </c>
      <c r="B66" s="211" t="s">
        <v>231</v>
      </c>
      <c r="C66" s="195">
        <v>206.767</v>
      </c>
      <c r="D66" s="195">
        <v>206.767</v>
      </c>
      <c r="E66" s="205">
        <f t="shared" si="3"/>
        <v>100</v>
      </c>
      <c r="F66" s="205">
        <f t="shared" si="4"/>
        <v>0</v>
      </c>
    </row>
    <row r="67" spans="1:6" s="139" customFormat="1" ht="20.25" customHeight="1">
      <c r="A67" s="200" t="s">
        <v>37</v>
      </c>
      <c r="B67" s="201" t="s">
        <v>232</v>
      </c>
      <c r="C67" s="190">
        <f>C70+C72+C71</f>
        <v>56.18</v>
      </c>
      <c r="D67" s="190">
        <f>D70+D72+D71</f>
        <v>17.31148</v>
      </c>
      <c r="E67" s="202">
        <f t="shared" si="3"/>
        <v>30.81431114275543</v>
      </c>
      <c r="F67" s="202">
        <f t="shared" si="4"/>
        <v>-38.868520000000004</v>
      </c>
    </row>
    <row r="68" spans="1:6" ht="0.75" customHeight="1" hidden="1">
      <c r="A68" s="203" t="s">
        <v>233</v>
      </c>
      <c r="B68" s="206" t="s">
        <v>234</v>
      </c>
      <c r="C68" s="195"/>
      <c r="D68" s="195"/>
      <c r="E68" s="202" t="e">
        <f t="shared" si="3"/>
        <v>#DIV/0!</v>
      </c>
      <c r="F68" s="202">
        <f t="shared" si="4"/>
        <v>0</v>
      </c>
    </row>
    <row r="69" spans="1:6" ht="16.5" customHeight="1" hidden="1">
      <c r="A69" s="212" t="s">
        <v>235</v>
      </c>
      <c r="B69" s="206" t="s">
        <v>317</v>
      </c>
      <c r="C69" s="195">
        <v>0</v>
      </c>
      <c r="D69" s="195"/>
      <c r="E69" s="202" t="e">
        <f t="shared" si="3"/>
        <v>#DIV/0!</v>
      </c>
      <c r="F69" s="202">
        <f t="shared" si="4"/>
        <v>0</v>
      </c>
    </row>
    <row r="70" spans="1:6" ht="15.75" customHeight="1">
      <c r="A70" s="213" t="s">
        <v>237</v>
      </c>
      <c r="B70" s="214" t="s">
        <v>238</v>
      </c>
      <c r="C70" s="195">
        <v>14.68</v>
      </c>
      <c r="D70" s="195">
        <v>7.61148</v>
      </c>
      <c r="E70" s="202">
        <f t="shared" si="3"/>
        <v>51.849318801089915</v>
      </c>
      <c r="F70" s="202">
        <f t="shared" si="4"/>
        <v>-7.0685199999999995</v>
      </c>
    </row>
    <row r="71" spans="1:6" ht="15.75" customHeight="1">
      <c r="A71" s="213" t="s">
        <v>239</v>
      </c>
      <c r="B71" s="214" t="s">
        <v>240</v>
      </c>
      <c r="C71" s="195">
        <v>39.5</v>
      </c>
      <c r="D71" s="195">
        <v>7.7</v>
      </c>
      <c r="E71" s="205">
        <f t="shared" si="3"/>
        <v>19.49367088607595</v>
      </c>
      <c r="F71" s="205">
        <f t="shared" si="4"/>
        <v>-31.8</v>
      </c>
    </row>
    <row r="72" spans="1:6" ht="15.75" customHeight="1">
      <c r="A72" s="213" t="s">
        <v>241</v>
      </c>
      <c r="B72" s="214" t="s">
        <v>242</v>
      </c>
      <c r="C72" s="195">
        <v>2</v>
      </c>
      <c r="D72" s="195">
        <v>2</v>
      </c>
      <c r="E72" s="202">
        <v>0</v>
      </c>
      <c r="F72" s="202">
        <v>0</v>
      </c>
    </row>
    <row r="73" spans="1:6" s="139" customFormat="1" ht="17.25" customHeight="1">
      <c r="A73" s="248" t="s">
        <v>39</v>
      </c>
      <c r="B73" s="201" t="s">
        <v>243</v>
      </c>
      <c r="C73" s="215">
        <f>C75+C76+C77+C74</f>
        <v>3515.39633</v>
      </c>
      <c r="D73" s="215">
        <f>SUM(D74:D77)</f>
        <v>3359.8957</v>
      </c>
      <c r="E73" s="202">
        <f aca="true" t="shared" si="5" ref="E73:E101">SUM(D73/C73*100)</f>
        <v>95.57658325256317</v>
      </c>
      <c r="F73" s="202">
        <f aca="true" t="shared" si="6" ref="F73:F90">SUM(D73-C73)</f>
        <v>-155.50063</v>
      </c>
    </row>
    <row r="74" spans="1:6" ht="15.75" customHeight="1">
      <c r="A74" s="203" t="s">
        <v>246</v>
      </c>
      <c r="B74" s="206" t="s">
        <v>319</v>
      </c>
      <c r="C74" s="216">
        <v>42.6559</v>
      </c>
      <c r="D74" s="195">
        <v>42.6559</v>
      </c>
      <c r="E74" s="205">
        <f t="shared" si="5"/>
        <v>100</v>
      </c>
      <c r="F74" s="205">
        <f t="shared" si="6"/>
        <v>0</v>
      </c>
    </row>
    <row r="75" spans="1:7" s="139" customFormat="1" ht="19.5" customHeight="1">
      <c r="A75" s="203" t="s">
        <v>248</v>
      </c>
      <c r="B75" s="206" t="s">
        <v>320</v>
      </c>
      <c r="C75" s="216">
        <v>0</v>
      </c>
      <c r="D75" s="195">
        <v>0</v>
      </c>
      <c r="E75" s="205" t="e">
        <f t="shared" si="5"/>
        <v>#DIV/0!</v>
      </c>
      <c r="F75" s="205">
        <f t="shared" si="6"/>
        <v>0</v>
      </c>
      <c r="G75" s="142"/>
    </row>
    <row r="76" spans="1:6" ht="15.75">
      <c r="A76" s="203" t="s">
        <v>250</v>
      </c>
      <c r="B76" s="206" t="s">
        <v>251</v>
      </c>
      <c r="C76" s="216">
        <v>3222.74043</v>
      </c>
      <c r="D76" s="195">
        <v>3222.7398</v>
      </c>
      <c r="E76" s="205">
        <f t="shared" si="5"/>
        <v>99.99998045141972</v>
      </c>
      <c r="F76" s="205">
        <f t="shared" si="6"/>
        <v>-0.0006300000000010186</v>
      </c>
    </row>
    <row r="77" spans="1:6" ht="15.75">
      <c r="A77" s="203" t="s">
        <v>252</v>
      </c>
      <c r="B77" s="206" t="s">
        <v>253</v>
      </c>
      <c r="C77" s="216">
        <v>250</v>
      </c>
      <c r="D77" s="195">
        <v>94.5</v>
      </c>
      <c r="E77" s="205">
        <f t="shared" si="5"/>
        <v>37.8</v>
      </c>
      <c r="F77" s="205">
        <f t="shared" si="6"/>
        <v>-155.5</v>
      </c>
    </row>
    <row r="78" spans="1:6" s="139" customFormat="1" ht="24" customHeight="1">
      <c r="A78" s="200" t="s">
        <v>41</v>
      </c>
      <c r="B78" s="201" t="s">
        <v>254</v>
      </c>
      <c r="C78" s="190">
        <f>SUM(C79:C82)</f>
        <v>11670.267909999999</v>
      </c>
      <c r="D78" s="190">
        <f>SUM(D79:D82)</f>
        <v>11220.4169</v>
      </c>
      <c r="E78" s="202">
        <f t="shared" si="5"/>
        <v>96.14532405366177</v>
      </c>
      <c r="F78" s="202">
        <f t="shared" si="6"/>
        <v>-449.8510099999985</v>
      </c>
    </row>
    <row r="79" spans="1:6" ht="2.25" customHeight="1" hidden="1">
      <c r="A79" s="203" t="s">
        <v>255</v>
      </c>
      <c r="B79" s="217" t="s">
        <v>256</v>
      </c>
      <c r="C79" s="195">
        <v>0</v>
      </c>
      <c r="D79" s="195">
        <v>0</v>
      </c>
      <c r="E79" s="205" t="e">
        <f t="shared" si="5"/>
        <v>#DIV/0!</v>
      </c>
      <c r="F79" s="205">
        <f t="shared" si="6"/>
        <v>0</v>
      </c>
    </row>
    <row r="80" spans="1:6" ht="15" customHeight="1">
      <c r="A80" s="203" t="s">
        <v>257</v>
      </c>
      <c r="B80" s="217" t="s">
        <v>258</v>
      </c>
      <c r="C80" s="195">
        <v>5015.83414</v>
      </c>
      <c r="D80" s="195">
        <v>4775.32161</v>
      </c>
      <c r="E80" s="205">
        <f t="shared" si="5"/>
        <v>95.2049345475367</v>
      </c>
      <c r="F80" s="205">
        <f t="shared" si="6"/>
        <v>-240.51252999999997</v>
      </c>
    </row>
    <row r="81" spans="1:6" ht="15" customHeight="1">
      <c r="A81" s="203" t="s">
        <v>259</v>
      </c>
      <c r="B81" s="206" t="s">
        <v>260</v>
      </c>
      <c r="C81" s="195">
        <v>6654.43377</v>
      </c>
      <c r="D81" s="195">
        <v>6445.09529</v>
      </c>
      <c r="E81" s="205">
        <f t="shared" si="5"/>
        <v>96.85415037198575</v>
      </c>
      <c r="F81" s="205">
        <f t="shared" si="6"/>
        <v>-209.33847999999944</v>
      </c>
    </row>
    <row r="82" spans="1:6" ht="18" customHeight="1" hidden="1">
      <c r="A82" s="203" t="s">
        <v>330</v>
      </c>
      <c r="B82" s="206" t="s">
        <v>331</v>
      </c>
      <c r="C82" s="195">
        <v>0</v>
      </c>
      <c r="D82" s="195">
        <v>0</v>
      </c>
      <c r="E82" s="205" t="e">
        <f t="shared" si="5"/>
        <v>#DIV/0!</v>
      </c>
      <c r="F82" s="205">
        <f t="shared" si="6"/>
        <v>0</v>
      </c>
    </row>
    <row r="83" spans="1:6" s="139" customFormat="1" ht="16.5" customHeight="1">
      <c r="A83" s="200" t="s">
        <v>47</v>
      </c>
      <c r="B83" s="201" t="s">
        <v>275</v>
      </c>
      <c r="C83" s="190">
        <f>C84+C85</f>
        <v>3287.2</v>
      </c>
      <c r="D83" s="190">
        <f>D84+D85</f>
        <v>2951.25906</v>
      </c>
      <c r="E83" s="202">
        <f t="shared" si="5"/>
        <v>89.78033158919445</v>
      </c>
      <c r="F83" s="202">
        <f t="shared" si="6"/>
        <v>-335.94093999999996</v>
      </c>
    </row>
    <row r="84" spans="1:6" ht="14.25" customHeight="1">
      <c r="A84" s="203" t="s">
        <v>276</v>
      </c>
      <c r="B84" s="206" t="s">
        <v>277</v>
      </c>
      <c r="C84" s="195">
        <v>3287.2</v>
      </c>
      <c r="D84" s="195">
        <v>2951.25906</v>
      </c>
      <c r="E84" s="205">
        <f t="shared" si="5"/>
        <v>89.78033158919445</v>
      </c>
      <c r="F84" s="205">
        <f t="shared" si="6"/>
        <v>-335.94093999999996</v>
      </c>
    </row>
    <row r="85" spans="1:6" ht="14.25" customHeight="1" hidden="1">
      <c r="A85" s="203" t="s">
        <v>278</v>
      </c>
      <c r="B85" s="206" t="s">
        <v>279</v>
      </c>
      <c r="C85" s="195"/>
      <c r="D85" s="195">
        <v>0</v>
      </c>
      <c r="E85" s="205" t="e">
        <f t="shared" si="5"/>
        <v>#DIV/0!</v>
      </c>
      <c r="F85" s="205">
        <f t="shared" si="6"/>
        <v>0</v>
      </c>
    </row>
    <row r="86" spans="1:6" s="139" customFormat="1" ht="19.5" customHeight="1">
      <c r="A86" s="218">
        <v>1000</v>
      </c>
      <c r="B86" s="201" t="s">
        <v>280</v>
      </c>
      <c r="C86" s="190">
        <f>SUM(C87:C90)</f>
        <v>5</v>
      </c>
      <c r="D86" s="190">
        <f>SUM(D87:D90)</f>
        <v>5</v>
      </c>
      <c r="E86" s="202">
        <f t="shared" si="5"/>
        <v>100</v>
      </c>
      <c r="F86" s="202">
        <f t="shared" si="6"/>
        <v>0</v>
      </c>
    </row>
    <row r="87" spans="1:6" ht="19.5" customHeight="1" hidden="1">
      <c r="A87" s="219">
        <v>1001</v>
      </c>
      <c r="B87" s="220" t="s">
        <v>281</v>
      </c>
      <c r="C87" s="195"/>
      <c r="D87" s="195"/>
      <c r="E87" s="202" t="e">
        <f t="shared" si="5"/>
        <v>#DIV/0!</v>
      </c>
      <c r="F87" s="205">
        <f t="shared" si="6"/>
        <v>0</v>
      </c>
    </row>
    <row r="88" spans="1:6" ht="17.25" customHeight="1">
      <c r="A88" s="219">
        <v>1003</v>
      </c>
      <c r="B88" s="220" t="s">
        <v>282</v>
      </c>
      <c r="C88" s="195">
        <v>5</v>
      </c>
      <c r="D88" s="195">
        <v>5</v>
      </c>
      <c r="E88" s="202">
        <f t="shared" si="5"/>
        <v>100</v>
      </c>
      <c r="F88" s="205">
        <f t="shared" si="6"/>
        <v>0</v>
      </c>
    </row>
    <row r="89" spans="1:6" ht="0.75" customHeight="1">
      <c r="A89" s="219">
        <v>1004</v>
      </c>
      <c r="B89" s="220" t="s">
        <v>283</v>
      </c>
      <c r="C89" s="195"/>
      <c r="D89" s="221"/>
      <c r="E89" s="202" t="e">
        <f t="shared" si="5"/>
        <v>#DIV/0!</v>
      </c>
      <c r="F89" s="205">
        <f t="shared" si="6"/>
        <v>0</v>
      </c>
    </row>
    <row r="90" spans="1:6" ht="14.25" customHeight="1">
      <c r="A90" s="203" t="s">
        <v>284</v>
      </c>
      <c r="B90" s="206" t="s">
        <v>285</v>
      </c>
      <c r="C90" s="195">
        <v>0</v>
      </c>
      <c r="D90" s="195">
        <v>0</v>
      </c>
      <c r="E90" s="205" t="e">
        <f t="shared" si="5"/>
        <v>#DIV/0!</v>
      </c>
      <c r="F90" s="205">
        <f t="shared" si="6"/>
        <v>0</v>
      </c>
    </row>
    <row r="91" spans="1:6" ht="15" customHeight="1">
      <c r="A91" s="200" t="s">
        <v>51</v>
      </c>
      <c r="B91" s="201" t="s">
        <v>286</v>
      </c>
      <c r="C91" s="190">
        <f>C92+C93+C94+C95+C96</f>
        <v>50</v>
      </c>
      <c r="D91" s="190">
        <f>D92+D93+D94+D95+D96</f>
        <v>2.052</v>
      </c>
      <c r="E91" s="202">
        <f t="shared" si="5"/>
        <v>4.104</v>
      </c>
      <c r="F91" s="190">
        <f>F92+F93+F94+F95+F96</f>
        <v>-47.948</v>
      </c>
    </row>
    <row r="92" spans="1:6" ht="15.75" customHeight="1">
      <c r="A92" s="203" t="s">
        <v>287</v>
      </c>
      <c r="B92" s="206" t="s">
        <v>288</v>
      </c>
      <c r="C92" s="195">
        <v>50</v>
      </c>
      <c r="D92" s="195">
        <v>2.052</v>
      </c>
      <c r="E92" s="205">
        <f t="shared" si="5"/>
        <v>4.104</v>
      </c>
      <c r="F92" s="205">
        <f>SUM(D92-C92)</f>
        <v>-47.948</v>
      </c>
    </row>
    <row r="93" spans="1:6" ht="15" customHeight="1" hidden="1">
      <c r="A93" s="203" t="s">
        <v>289</v>
      </c>
      <c r="B93" s="206" t="s">
        <v>290</v>
      </c>
      <c r="C93" s="249"/>
      <c r="D93" s="195"/>
      <c r="E93" s="205" t="e">
        <f t="shared" si="5"/>
        <v>#DIV/0!</v>
      </c>
      <c r="F93" s="205">
        <f>SUM(D93-C93)</f>
        <v>0</v>
      </c>
    </row>
    <row r="94" spans="1:6" ht="15" customHeight="1" hidden="1">
      <c r="A94" s="203" t="s">
        <v>291</v>
      </c>
      <c r="B94" s="206" t="s">
        <v>292</v>
      </c>
      <c r="C94" s="249"/>
      <c r="D94" s="195"/>
      <c r="E94" s="205" t="e">
        <f t="shared" si="5"/>
        <v>#DIV/0!</v>
      </c>
      <c r="F94" s="205"/>
    </row>
    <row r="95" spans="1:6" ht="15" customHeight="1" hidden="1">
      <c r="A95" s="203" t="s">
        <v>293</v>
      </c>
      <c r="B95" s="206" t="s">
        <v>294</v>
      </c>
      <c r="C95" s="249"/>
      <c r="D95" s="195"/>
      <c r="E95" s="205" t="e">
        <f t="shared" si="5"/>
        <v>#DIV/0!</v>
      </c>
      <c r="F95" s="205"/>
    </row>
    <row r="96" spans="1:6" ht="57.75" customHeight="1" hidden="1">
      <c r="A96" s="203" t="s">
        <v>295</v>
      </c>
      <c r="B96" s="206" t="s">
        <v>296</v>
      </c>
      <c r="C96" s="250"/>
      <c r="D96" s="195"/>
      <c r="E96" s="205" t="e">
        <f t="shared" si="5"/>
        <v>#DIV/0!</v>
      </c>
      <c r="F96" s="205"/>
    </row>
    <row r="97" spans="1:6" s="139" customFormat="1" ht="18" customHeight="1" hidden="1">
      <c r="A97" s="218">
        <v>1400</v>
      </c>
      <c r="B97" s="222" t="s">
        <v>303</v>
      </c>
      <c r="C97" s="251"/>
      <c r="D97" s="215"/>
      <c r="E97" s="202" t="e">
        <f t="shared" si="5"/>
        <v>#DIV/0!</v>
      </c>
      <c r="F97" s="202">
        <f>SUM(D97-C97)</f>
        <v>0</v>
      </c>
    </row>
    <row r="98" spans="1:6" ht="16.5" customHeight="1" hidden="1">
      <c r="A98" s="219">
        <v>1401</v>
      </c>
      <c r="B98" s="220" t="s">
        <v>304</v>
      </c>
      <c r="C98" s="216">
        <v>0</v>
      </c>
      <c r="D98" s="195">
        <v>0</v>
      </c>
      <c r="E98" s="205" t="e">
        <f t="shared" si="5"/>
        <v>#DIV/0!</v>
      </c>
      <c r="F98" s="205">
        <f>SUM(D98-C98)</f>
        <v>0</v>
      </c>
    </row>
    <row r="99" spans="1:6" ht="20.25" customHeight="1" hidden="1">
      <c r="A99" s="219">
        <v>1402</v>
      </c>
      <c r="B99" s="220" t="s">
        <v>305</v>
      </c>
      <c r="C99" s="216">
        <v>0</v>
      </c>
      <c r="D99" s="195">
        <v>0</v>
      </c>
      <c r="E99" s="205" t="e">
        <f t="shared" si="5"/>
        <v>#DIV/0!</v>
      </c>
      <c r="F99" s="205">
        <f>SUM(D99-C99)</f>
        <v>0</v>
      </c>
    </row>
    <row r="100" spans="1:6" ht="13.5" customHeight="1" hidden="1">
      <c r="A100" s="219">
        <v>1403</v>
      </c>
      <c r="B100" s="220" t="s">
        <v>306</v>
      </c>
      <c r="C100" s="216">
        <v>0</v>
      </c>
      <c r="D100" s="195">
        <v>0</v>
      </c>
      <c r="E100" s="205" t="e">
        <f t="shared" si="5"/>
        <v>#DIV/0!</v>
      </c>
      <c r="F100" s="205">
        <f>SUM(D100-C100)</f>
        <v>0</v>
      </c>
    </row>
    <row r="101" spans="1:7" s="139" customFormat="1" ht="15" customHeight="1">
      <c r="A101" s="218"/>
      <c r="B101" s="223" t="s">
        <v>307</v>
      </c>
      <c r="C101" s="224">
        <f>C57+C65+C67+C73+C78+C83+C91+C86+C97</f>
        <v>20967.70924</v>
      </c>
      <c r="D101" s="224">
        <f>D57+D65+D67+D73+D78+D83+D91+D86+D97</f>
        <v>19727.90154</v>
      </c>
      <c r="E101" s="202">
        <f t="shared" si="5"/>
        <v>94.0870617490497</v>
      </c>
      <c r="F101" s="202">
        <f>SUM(D101-C101)</f>
        <v>-1239.8077000000012</v>
      </c>
      <c r="G101" s="141"/>
    </row>
    <row r="102" ht="5.25" customHeight="1">
      <c r="D102" s="252"/>
    </row>
    <row r="103" spans="1:4" s="143" customFormat="1" ht="12.75">
      <c r="A103" s="228" t="s">
        <v>308</v>
      </c>
      <c r="B103" s="228"/>
      <c r="C103" s="253"/>
      <c r="D103" s="254"/>
    </row>
    <row r="104" spans="1:3" s="143" customFormat="1" ht="12.75">
      <c r="A104" s="230" t="s">
        <v>309</v>
      </c>
      <c r="B104" s="230"/>
      <c r="C104" s="253" t="s">
        <v>310</v>
      </c>
    </row>
    <row r="142" ht="15.75" hidden="1"/>
  </sheetData>
  <sheetProtection selectLockedCells="1" selectUnlockedCells="1"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35" customWidth="1"/>
    <col min="2" max="2" width="57.57421875" style="136" customWidth="1"/>
    <col min="3" max="3" width="16.140625" style="137" customWidth="1"/>
    <col min="4" max="4" width="15.57421875" style="137" customWidth="1"/>
    <col min="5" max="5" width="10.28125" style="137" customWidth="1"/>
    <col min="6" max="6" width="16.28125" style="137" customWidth="1"/>
    <col min="7" max="7" width="15.421875" style="138" customWidth="1"/>
    <col min="8" max="8" width="10.57421875" style="138" customWidth="1"/>
    <col min="9" max="16384" width="9.140625" style="138" customWidth="1"/>
  </cols>
  <sheetData>
    <row r="1" spans="1:6" ht="12.75" customHeight="1">
      <c r="A1" s="469" t="s">
        <v>429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C5+C12+C14+C17+C7</f>
        <v>1846.19</v>
      </c>
      <c r="D4" s="150">
        <f>D5+D12+D14+D17+D7</f>
        <v>2126.48912</v>
      </c>
      <c r="E4" s="150">
        <f aca="true" t="shared" si="0" ref="E4:E35">SUM(D4/C4*100)</f>
        <v>115.18257167463804</v>
      </c>
      <c r="F4" s="150">
        <f aca="true" t="shared" si="1" ref="F4:F35">SUM(D4-C4)</f>
        <v>280.29912000000013</v>
      </c>
    </row>
    <row r="5" spans="1:6" s="139" customFormat="1" ht="15.75">
      <c r="A5" s="151">
        <v>1010000000</v>
      </c>
      <c r="B5" s="152" t="s">
        <v>146</v>
      </c>
      <c r="C5" s="150">
        <f>C6</f>
        <v>70.65</v>
      </c>
      <c r="D5" s="150">
        <f>D6</f>
        <v>86.65442</v>
      </c>
      <c r="E5" s="150">
        <f t="shared" si="0"/>
        <v>122.6531068648266</v>
      </c>
      <c r="F5" s="150">
        <f t="shared" si="1"/>
        <v>16.004419999999996</v>
      </c>
    </row>
    <row r="6" spans="1:6" ht="15.75">
      <c r="A6" s="153">
        <v>1010200001</v>
      </c>
      <c r="B6" s="154" t="s">
        <v>147</v>
      </c>
      <c r="C6" s="155">
        <v>70.65</v>
      </c>
      <c r="D6" s="156">
        <v>86.65442</v>
      </c>
      <c r="E6" s="155">
        <f t="shared" si="0"/>
        <v>122.6531068648266</v>
      </c>
      <c r="F6" s="155">
        <f t="shared" si="1"/>
        <v>16.004419999999996</v>
      </c>
    </row>
    <row r="7" spans="1:6" ht="31.5">
      <c r="A7" s="148">
        <v>1030000000</v>
      </c>
      <c r="B7" s="157" t="s">
        <v>148</v>
      </c>
      <c r="C7" s="150">
        <f>C8+C10+C9</f>
        <v>677.5400000000001</v>
      </c>
      <c r="D7" s="150">
        <f>D8+D10+D9+D11</f>
        <v>761.1361299999999</v>
      </c>
      <c r="E7" s="155">
        <f t="shared" si="0"/>
        <v>112.33818372347018</v>
      </c>
      <c r="F7" s="155">
        <f t="shared" si="1"/>
        <v>83.59612999999979</v>
      </c>
    </row>
    <row r="8" spans="1:6" ht="15.75">
      <c r="A8" s="153">
        <v>1030223001</v>
      </c>
      <c r="B8" s="154" t="s">
        <v>149</v>
      </c>
      <c r="C8" s="155">
        <v>252.72</v>
      </c>
      <c r="D8" s="156">
        <v>351.38578</v>
      </c>
      <c r="E8" s="155">
        <f t="shared" si="0"/>
        <v>139.04154004431783</v>
      </c>
      <c r="F8" s="155">
        <f t="shared" si="1"/>
        <v>98.66578000000001</v>
      </c>
    </row>
    <row r="9" spans="1:6" ht="15.75">
      <c r="A9" s="153">
        <v>1030224001</v>
      </c>
      <c r="B9" s="154" t="s">
        <v>150</v>
      </c>
      <c r="C9" s="155">
        <v>2.71</v>
      </c>
      <c r="D9" s="156">
        <v>2.4712</v>
      </c>
      <c r="E9" s="155">
        <f t="shared" si="0"/>
        <v>91.18819188191883</v>
      </c>
      <c r="F9" s="155">
        <f t="shared" si="1"/>
        <v>-0.2387999999999999</v>
      </c>
    </row>
    <row r="10" spans="1:6" ht="15.75">
      <c r="A10" s="153">
        <v>1030225001</v>
      </c>
      <c r="B10" s="154" t="s">
        <v>151</v>
      </c>
      <c r="C10" s="155">
        <v>422.11</v>
      </c>
      <c r="D10" s="156">
        <v>467.19944</v>
      </c>
      <c r="E10" s="155">
        <f t="shared" si="0"/>
        <v>110.68191703584374</v>
      </c>
      <c r="F10" s="155">
        <f t="shared" si="1"/>
        <v>45.08943999999997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-59.92029</v>
      </c>
      <c r="E11" s="155" t="e">
        <f t="shared" si="0"/>
        <v>#DIV/0!</v>
      </c>
      <c r="F11" s="155">
        <f t="shared" si="1"/>
        <v>-59.92029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10</v>
      </c>
      <c r="D12" s="150">
        <f>SUM(D13:D13)</f>
        <v>1.43658</v>
      </c>
      <c r="E12" s="150">
        <f t="shared" si="0"/>
        <v>14.3658</v>
      </c>
      <c r="F12" s="150">
        <f t="shared" si="1"/>
        <v>-8.56342</v>
      </c>
    </row>
    <row r="13" spans="1:6" ht="15.75" customHeight="1">
      <c r="A13" s="153">
        <v>1050300000</v>
      </c>
      <c r="B13" s="158" t="s">
        <v>156</v>
      </c>
      <c r="C13" s="159">
        <v>10</v>
      </c>
      <c r="D13" s="156">
        <v>1.43658</v>
      </c>
      <c r="E13" s="155">
        <f t="shared" si="0"/>
        <v>14.3658</v>
      </c>
      <c r="F13" s="155">
        <f t="shared" si="1"/>
        <v>-8.56342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1084</v>
      </c>
      <c r="D14" s="150">
        <f>D15+D16</f>
        <v>1273.56199</v>
      </c>
      <c r="E14" s="150">
        <f t="shared" si="0"/>
        <v>117.48726845018449</v>
      </c>
      <c r="F14" s="150">
        <f t="shared" si="1"/>
        <v>189.56198999999992</v>
      </c>
    </row>
    <row r="15" spans="1:6" s="139" customFormat="1" ht="15.75" customHeight="1">
      <c r="A15" s="153">
        <v>1060100000</v>
      </c>
      <c r="B15" s="158" t="s">
        <v>159</v>
      </c>
      <c r="C15" s="155">
        <v>334</v>
      </c>
      <c r="D15" s="156">
        <v>316.5198</v>
      </c>
      <c r="E15" s="155">
        <f t="shared" si="0"/>
        <v>94.76640718562874</v>
      </c>
      <c r="F15" s="155">
        <f t="shared" si="1"/>
        <v>-17.480200000000025</v>
      </c>
    </row>
    <row r="16" spans="1:6" ht="15.75" customHeight="1">
      <c r="A16" s="153">
        <v>1060600000</v>
      </c>
      <c r="B16" s="158" t="s">
        <v>162</v>
      </c>
      <c r="C16" s="155">
        <v>750</v>
      </c>
      <c r="D16" s="156">
        <v>957.04219</v>
      </c>
      <c r="E16" s="155">
        <f t="shared" si="0"/>
        <v>127.60562533333332</v>
      </c>
      <c r="F16" s="155">
        <f t="shared" si="1"/>
        <v>207.04219</v>
      </c>
    </row>
    <row r="17" spans="1:6" s="139" customFormat="1" ht="15.75">
      <c r="A17" s="148">
        <v>1080000000</v>
      </c>
      <c r="B17" s="149" t="s">
        <v>165</v>
      </c>
      <c r="C17" s="150">
        <f>C18</f>
        <v>4</v>
      </c>
      <c r="D17" s="150">
        <f>D18</f>
        <v>3.7</v>
      </c>
      <c r="E17" s="150">
        <f t="shared" si="0"/>
        <v>92.5</v>
      </c>
      <c r="F17" s="150">
        <f t="shared" si="1"/>
        <v>-0.2999999999999998</v>
      </c>
    </row>
    <row r="18" spans="1:6" ht="21.75" customHeight="1">
      <c r="A18" s="153">
        <v>1080400001</v>
      </c>
      <c r="B18" s="154" t="s">
        <v>167</v>
      </c>
      <c r="C18" s="155">
        <v>4</v>
      </c>
      <c r="D18" s="156">
        <v>3.7</v>
      </c>
      <c r="E18" s="155">
        <f t="shared" si="0"/>
        <v>92.5</v>
      </c>
      <c r="F18" s="155">
        <f t="shared" si="1"/>
        <v>-0.2999999999999998</v>
      </c>
    </row>
    <row r="19" spans="1:6" ht="0.7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29.25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15.75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15.75" hidden="1">
      <c r="A22" s="153">
        <v>1090400000</v>
      </c>
      <c r="B22" s="154" t="s">
        <v>171</v>
      </c>
      <c r="C22" s="150"/>
      <c r="D22" s="161"/>
      <c r="E22" s="155" t="e">
        <f t="shared" si="0"/>
        <v>#DIV/0!</v>
      </c>
      <c r="F22" s="155">
        <f t="shared" si="1"/>
        <v>0</v>
      </c>
    </row>
    <row r="23" spans="1:6" s="140" customFormat="1" ht="15.75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15.75" customHeight="1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5" customHeight="1">
      <c r="A25" s="148"/>
      <c r="B25" s="149" t="s">
        <v>17</v>
      </c>
      <c r="C25" s="150">
        <f>C26+C30+C32+C38+C35</f>
        <v>654.2556400000001</v>
      </c>
      <c r="D25" s="150">
        <f>D26+D30+D32+D38+D35</f>
        <v>784.19676</v>
      </c>
      <c r="E25" s="150">
        <f t="shared" si="0"/>
        <v>119.86090941455238</v>
      </c>
      <c r="F25" s="150">
        <f t="shared" si="1"/>
        <v>129.94111999999996</v>
      </c>
    </row>
    <row r="26" spans="1:6" s="139" customFormat="1" ht="30" customHeight="1">
      <c r="A26" s="151">
        <v>1110000000</v>
      </c>
      <c r="B26" s="160" t="s">
        <v>174</v>
      </c>
      <c r="C26" s="150">
        <f>C27+C28+C29</f>
        <v>384.6</v>
      </c>
      <c r="D26" s="150">
        <f>D27+D28+D29</f>
        <v>482.70904</v>
      </c>
      <c r="E26" s="150">
        <f t="shared" si="0"/>
        <v>125.509370774831</v>
      </c>
      <c r="F26" s="150">
        <f t="shared" si="1"/>
        <v>98.10904</v>
      </c>
    </row>
    <row r="27" spans="1:6" ht="15.75">
      <c r="A27" s="162">
        <v>1110501101</v>
      </c>
      <c r="B27" s="163" t="s">
        <v>177</v>
      </c>
      <c r="C27" s="159">
        <v>0</v>
      </c>
      <c r="D27" s="156">
        <v>0</v>
      </c>
      <c r="E27" s="155" t="e">
        <f t="shared" si="0"/>
        <v>#DIV/0!</v>
      </c>
      <c r="F27" s="155">
        <f t="shared" si="1"/>
        <v>0</v>
      </c>
    </row>
    <row r="28" spans="1:6" ht="79.5" customHeight="1">
      <c r="A28" s="162">
        <v>1110502510</v>
      </c>
      <c r="B28" s="166" t="s">
        <v>332</v>
      </c>
      <c r="C28" s="159">
        <v>354</v>
      </c>
      <c r="D28" s="156">
        <v>434.25619</v>
      </c>
      <c r="E28" s="155">
        <f t="shared" si="0"/>
        <v>122.67124011299435</v>
      </c>
      <c r="F28" s="155">
        <f t="shared" si="1"/>
        <v>80.25619</v>
      </c>
    </row>
    <row r="29" spans="1:6" ht="36" customHeight="1">
      <c r="A29" s="153">
        <v>1110503505</v>
      </c>
      <c r="B29" s="158" t="s">
        <v>178</v>
      </c>
      <c r="C29" s="159">
        <v>30.6</v>
      </c>
      <c r="D29" s="156">
        <v>48.45285</v>
      </c>
      <c r="E29" s="155">
        <f t="shared" si="0"/>
        <v>158.3426470588235</v>
      </c>
      <c r="F29" s="155">
        <f t="shared" si="1"/>
        <v>17.852849999999997</v>
      </c>
    </row>
    <row r="30" spans="1:6" s="140" customFormat="1" ht="31.5" customHeight="1">
      <c r="A30" s="151">
        <v>1130000000</v>
      </c>
      <c r="B30" s="160" t="s">
        <v>185</v>
      </c>
      <c r="C30" s="150">
        <f>C31</f>
        <v>100</v>
      </c>
      <c r="D30" s="150">
        <f>D31</f>
        <v>85.30112</v>
      </c>
      <c r="E30" s="150">
        <f t="shared" si="0"/>
        <v>85.30112</v>
      </c>
      <c r="F30" s="150">
        <f t="shared" si="1"/>
        <v>-14.698880000000003</v>
      </c>
    </row>
    <row r="31" spans="1:6" ht="22.5" customHeight="1">
      <c r="A31" s="153">
        <v>1130206510</v>
      </c>
      <c r="B31" s="154" t="s">
        <v>333</v>
      </c>
      <c r="C31" s="155">
        <v>100</v>
      </c>
      <c r="D31" s="156">
        <v>85.30112</v>
      </c>
      <c r="E31" s="155">
        <f t="shared" si="0"/>
        <v>85.30112</v>
      </c>
      <c r="F31" s="155">
        <f t="shared" si="1"/>
        <v>-14.698880000000003</v>
      </c>
    </row>
    <row r="32" spans="1:6" ht="21.75" customHeight="1">
      <c r="A32" s="164">
        <v>1140000000</v>
      </c>
      <c r="B32" s="165" t="s">
        <v>188</v>
      </c>
      <c r="C32" s="150">
        <v>169.65564</v>
      </c>
      <c r="D32" s="150">
        <f>D33+D34</f>
        <v>169.65564</v>
      </c>
      <c r="E32" s="150">
        <f t="shared" si="0"/>
        <v>100</v>
      </c>
      <c r="F32" s="150">
        <f t="shared" si="1"/>
        <v>0</v>
      </c>
    </row>
    <row r="33" spans="1:6" ht="22.5" customHeight="1">
      <c r="A33" s="162">
        <v>1140200000</v>
      </c>
      <c r="B33" s="166" t="s">
        <v>324</v>
      </c>
      <c r="C33" s="155">
        <v>169.65564</v>
      </c>
      <c r="D33" s="156">
        <v>169.65564</v>
      </c>
      <c r="E33" s="155">
        <f t="shared" si="0"/>
        <v>100</v>
      </c>
      <c r="F33" s="155">
        <f t="shared" si="1"/>
        <v>0</v>
      </c>
    </row>
    <row r="34" spans="1:6" ht="20.25" customHeight="1">
      <c r="A34" s="153">
        <v>1140600000</v>
      </c>
      <c r="B34" s="154" t="s">
        <v>190</v>
      </c>
      <c r="C34" s="155">
        <v>0</v>
      </c>
      <c r="D34" s="156">
        <v>0</v>
      </c>
      <c r="E34" s="155" t="e">
        <f t="shared" si="0"/>
        <v>#DIV/0!</v>
      </c>
      <c r="F34" s="155">
        <f t="shared" si="1"/>
        <v>0</v>
      </c>
    </row>
    <row r="35" spans="1:6" ht="22.5" customHeight="1">
      <c r="A35" s="148">
        <v>1160000000</v>
      </c>
      <c r="B35" s="157" t="s">
        <v>325</v>
      </c>
      <c r="C35" s="150">
        <f>C37+C36</f>
        <v>0</v>
      </c>
      <c r="D35" s="150">
        <f>D37+D36</f>
        <v>46.53096</v>
      </c>
      <c r="E35" s="150" t="e">
        <f t="shared" si="0"/>
        <v>#DIV/0!</v>
      </c>
      <c r="F35" s="150">
        <f t="shared" si="1"/>
        <v>46.53096</v>
      </c>
    </row>
    <row r="36" spans="1:6" ht="21.75" customHeight="1">
      <c r="A36" s="153">
        <v>1160709000</v>
      </c>
      <c r="B36" s="154" t="s">
        <v>334</v>
      </c>
      <c r="C36" s="155">
        <v>0</v>
      </c>
      <c r="D36" s="155">
        <v>6.32955</v>
      </c>
      <c r="E36" s="155" t="e">
        <f aca="true" t="shared" si="2" ref="E36:E53">SUM(D36/C36*100)</f>
        <v>#DIV/0!</v>
      </c>
      <c r="F36" s="155">
        <f aca="true" t="shared" si="3" ref="F36:F53">SUM(D36-C36)</f>
        <v>6.32955</v>
      </c>
    </row>
    <row r="37" spans="1:6" ht="48.75" customHeight="1">
      <c r="A37" s="153">
        <v>1160701010</v>
      </c>
      <c r="B37" s="154" t="s">
        <v>335</v>
      </c>
      <c r="C37" s="155">
        <v>0</v>
      </c>
      <c r="D37" s="156">
        <v>40.20141</v>
      </c>
      <c r="E37" s="155" t="e">
        <f t="shared" si="2"/>
        <v>#DIV/0!</v>
      </c>
      <c r="F37" s="155">
        <f t="shared" si="3"/>
        <v>40.20141</v>
      </c>
    </row>
    <row r="38" spans="1:6" ht="18" customHeight="1">
      <c r="A38" s="148">
        <v>1170000000</v>
      </c>
      <c r="B38" s="157" t="s">
        <v>198</v>
      </c>
      <c r="C38" s="150">
        <f>C39+C40</f>
        <v>0</v>
      </c>
      <c r="D38" s="150">
        <f>D39+D40</f>
        <v>0</v>
      </c>
      <c r="E38" s="155" t="e">
        <f t="shared" si="2"/>
        <v>#DIV/0!</v>
      </c>
      <c r="F38" s="150">
        <f t="shared" si="3"/>
        <v>0</v>
      </c>
    </row>
    <row r="39" spans="1:6" ht="17.25" customHeight="1">
      <c r="A39" s="153">
        <v>1170105005</v>
      </c>
      <c r="B39" s="154" t="s">
        <v>199</v>
      </c>
      <c r="C39" s="155">
        <v>0</v>
      </c>
      <c r="D39" s="155"/>
      <c r="E39" s="155" t="e">
        <f t="shared" si="2"/>
        <v>#DIV/0!</v>
      </c>
      <c r="F39" s="155">
        <f t="shared" si="3"/>
        <v>0</v>
      </c>
    </row>
    <row r="40" spans="1:6" s="258" customFormat="1" ht="17.25" customHeight="1">
      <c r="A40" s="255">
        <v>1170505005</v>
      </c>
      <c r="B40" s="256" t="s">
        <v>200</v>
      </c>
      <c r="C40" s="247">
        <v>0</v>
      </c>
      <c r="D40" s="247">
        <v>0</v>
      </c>
      <c r="E40" s="257" t="e">
        <f t="shared" si="2"/>
        <v>#DIV/0!</v>
      </c>
      <c r="F40" s="257">
        <f t="shared" si="3"/>
        <v>0</v>
      </c>
    </row>
    <row r="41" spans="1:6" s="139" customFormat="1" ht="15" customHeight="1">
      <c r="A41" s="148">
        <v>1000000000</v>
      </c>
      <c r="B41" s="149" t="s">
        <v>26</v>
      </c>
      <c r="C41" s="168">
        <f>SUM(C4,C25)</f>
        <v>2500.44564</v>
      </c>
      <c r="D41" s="168">
        <f>D4+D25</f>
        <v>2910.68588</v>
      </c>
      <c r="E41" s="150">
        <f t="shared" si="2"/>
        <v>116.40668500995687</v>
      </c>
      <c r="F41" s="150">
        <f t="shared" si="3"/>
        <v>410.2402400000001</v>
      </c>
    </row>
    <row r="42" spans="1:7" s="139" customFormat="1" ht="15.75">
      <c r="A42" s="148">
        <v>2000000000</v>
      </c>
      <c r="B42" s="149" t="s">
        <v>201</v>
      </c>
      <c r="C42" s="150">
        <f>C43+C45+C47+C48+C49+C50+C44+C46+C52</f>
        <v>12406.06516</v>
      </c>
      <c r="D42" s="150">
        <f>D43+D45+D47+D48+D49+D50+D44+D46+D52</f>
        <v>11831.71882</v>
      </c>
      <c r="E42" s="150">
        <f t="shared" si="2"/>
        <v>95.37043911512069</v>
      </c>
      <c r="F42" s="150">
        <f t="shared" si="3"/>
        <v>-574.34634</v>
      </c>
      <c r="G42" s="170"/>
    </row>
    <row r="43" spans="1:6" ht="14.25" customHeight="1">
      <c r="A43" s="162">
        <v>2021000000</v>
      </c>
      <c r="B43" s="163" t="s">
        <v>202</v>
      </c>
      <c r="C43" s="259">
        <v>3002.3</v>
      </c>
      <c r="D43" s="172">
        <v>3002.3</v>
      </c>
      <c r="E43" s="155">
        <f t="shared" si="2"/>
        <v>100</v>
      </c>
      <c r="F43" s="155">
        <f t="shared" si="3"/>
        <v>0</v>
      </c>
    </row>
    <row r="44" spans="1:6" ht="15.75" hidden="1">
      <c r="A44" s="162">
        <v>2021500200</v>
      </c>
      <c r="B44" s="163" t="s">
        <v>205</v>
      </c>
      <c r="C44" s="159"/>
      <c r="D44" s="172">
        <v>0</v>
      </c>
      <c r="E44" s="155" t="e">
        <f t="shared" si="2"/>
        <v>#DIV/0!</v>
      </c>
      <c r="F44" s="155">
        <f t="shared" si="3"/>
        <v>0</v>
      </c>
    </row>
    <row r="45" spans="1:6" ht="16.5" customHeight="1">
      <c r="A45" s="162">
        <v>2022000000</v>
      </c>
      <c r="B45" s="163" t="s">
        <v>206</v>
      </c>
      <c r="C45" s="159">
        <v>4820.10416</v>
      </c>
      <c r="D45" s="156">
        <v>4287.88493</v>
      </c>
      <c r="E45" s="155">
        <f t="shared" si="2"/>
        <v>88.95834587109836</v>
      </c>
      <c r="F45" s="155">
        <f t="shared" si="3"/>
        <v>-532.2192299999997</v>
      </c>
    </row>
    <row r="46" spans="1:6" ht="15.75" hidden="1">
      <c r="A46" s="162">
        <v>2022999910</v>
      </c>
      <c r="B46" s="166" t="s">
        <v>327</v>
      </c>
      <c r="C46" s="159"/>
      <c r="D46" s="156">
        <v>0</v>
      </c>
      <c r="E46" s="155" t="e">
        <f t="shared" si="2"/>
        <v>#DIV/0!</v>
      </c>
      <c r="F46" s="155">
        <f t="shared" si="3"/>
        <v>0</v>
      </c>
    </row>
    <row r="47" spans="1:6" ht="18" customHeight="1">
      <c r="A47" s="162">
        <v>2023000000</v>
      </c>
      <c r="B47" s="163" t="s">
        <v>207</v>
      </c>
      <c r="C47" s="159">
        <v>206.767</v>
      </c>
      <c r="D47" s="174">
        <v>206.767</v>
      </c>
      <c r="E47" s="155">
        <f t="shared" si="2"/>
        <v>100</v>
      </c>
      <c r="F47" s="155">
        <f t="shared" si="3"/>
        <v>0</v>
      </c>
    </row>
    <row r="48" spans="1:6" ht="18" customHeight="1">
      <c r="A48" s="162">
        <v>2024000000</v>
      </c>
      <c r="B48" s="163" t="s">
        <v>102</v>
      </c>
      <c r="C48" s="159">
        <v>4376.894</v>
      </c>
      <c r="D48" s="175">
        <v>4334.76689</v>
      </c>
      <c r="E48" s="155">
        <f t="shared" si="2"/>
        <v>99.03751130367789</v>
      </c>
      <c r="F48" s="155">
        <f t="shared" si="3"/>
        <v>-42.12711000000036</v>
      </c>
    </row>
    <row r="49" spans="1:6" ht="18" customHeight="1" hidden="1">
      <c r="A49" s="162">
        <v>2020700000</v>
      </c>
      <c r="B49" s="166" t="s">
        <v>329</v>
      </c>
      <c r="C49" s="159"/>
      <c r="D49" s="175"/>
      <c r="E49" s="155" t="e">
        <f t="shared" si="2"/>
        <v>#DIV/0!</v>
      </c>
      <c r="F49" s="155">
        <f t="shared" si="3"/>
        <v>0</v>
      </c>
    </row>
    <row r="50" spans="1:6" ht="15" customHeight="1" hidden="1">
      <c r="A50" s="153">
        <v>2190500005</v>
      </c>
      <c r="B50" s="158" t="s">
        <v>209</v>
      </c>
      <c r="C50" s="156">
        <v>0</v>
      </c>
      <c r="D50" s="156">
        <v>0</v>
      </c>
      <c r="E50" s="155" t="e">
        <f t="shared" si="2"/>
        <v>#DIV/0!</v>
      </c>
      <c r="F50" s="155">
        <f t="shared" si="3"/>
        <v>0</v>
      </c>
    </row>
    <row r="51" spans="1:6" s="139" customFormat="1" ht="15.75" customHeight="1" hidden="1">
      <c r="A51" s="148">
        <v>3000000000</v>
      </c>
      <c r="B51" s="157" t="s">
        <v>210</v>
      </c>
      <c r="C51" s="260">
        <v>0</v>
      </c>
      <c r="D51" s="161">
        <v>0</v>
      </c>
      <c r="E51" s="150" t="e">
        <f t="shared" si="2"/>
        <v>#DIV/0!</v>
      </c>
      <c r="F51" s="150">
        <f t="shared" si="3"/>
        <v>0</v>
      </c>
    </row>
    <row r="52" spans="1:6" s="139" customFormat="1" ht="15.75" hidden="1">
      <c r="A52" s="153">
        <v>2070500010</v>
      </c>
      <c r="B52" s="163" t="s">
        <v>315</v>
      </c>
      <c r="C52" s="159">
        <v>0</v>
      </c>
      <c r="D52" s="156">
        <v>0</v>
      </c>
      <c r="E52" s="155" t="e">
        <f t="shared" si="2"/>
        <v>#DIV/0!</v>
      </c>
      <c r="F52" s="155">
        <f t="shared" si="3"/>
        <v>0</v>
      </c>
    </row>
    <row r="53" spans="1:8" s="139" customFormat="1" ht="23.25" customHeight="1">
      <c r="A53" s="148"/>
      <c r="B53" s="149" t="s">
        <v>211</v>
      </c>
      <c r="C53" s="240">
        <f>C41+C42</f>
        <v>14906.5108</v>
      </c>
      <c r="D53" s="241">
        <f>D41+D42</f>
        <v>14742.4047</v>
      </c>
      <c r="E53" s="150">
        <f t="shared" si="2"/>
        <v>98.8990978358262</v>
      </c>
      <c r="F53" s="150">
        <f t="shared" si="3"/>
        <v>-164.10610000000088</v>
      </c>
      <c r="G53" s="141"/>
      <c r="H53" s="141"/>
    </row>
    <row r="54" spans="1:6" s="139" customFormat="1" ht="15.75">
      <c r="A54" s="148"/>
      <c r="B54" s="188" t="s">
        <v>212</v>
      </c>
      <c r="C54" s="150">
        <f>C53-C102</f>
        <v>-613.4661300000007</v>
      </c>
      <c r="D54" s="150">
        <f>D53-D102</f>
        <v>643.6799399999982</v>
      </c>
      <c r="E54" s="190"/>
      <c r="F54" s="190"/>
    </row>
    <row r="55" spans="1:6" ht="32.25" customHeight="1">
      <c r="A55" s="191"/>
      <c r="B55" s="192"/>
      <c r="C55" s="261"/>
      <c r="D55" s="262"/>
      <c r="E55" s="194"/>
      <c r="F55" s="243"/>
    </row>
    <row r="56" spans="1:6" ht="63">
      <c r="A56" s="196" t="s">
        <v>141</v>
      </c>
      <c r="B56" s="196" t="s">
        <v>213</v>
      </c>
      <c r="C56" s="145" t="s">
        <v>143</v>
      </c>
      <c r="D56" s="146" t="s">
        <v>426</v>
      </c>
      <c r="E56" s="145" t="s">
        <v>144</v>
      </c>
      <c r="F56" s="147" t="s">
        <v>145</v>
      </c>
    </row>
    <row r="57" spans="1:6" ht="15.75">
      <c r="A57" s="263">
        <v>1</v>
      </c>
      <c r="B57" s="196">
        <v>2</v>
      </c>
      <c r="C57" s="199">
        <v>3</v>
      </c>
      <c r="D57" s="199">
        <v>4</v>
      </c>
      <c r="E57" s="199">
        <v>5</v>
      </c>
      <c r="F57" s="199">
        <v>6</v>
      </c>
    </row>
    <row r="58" spans="1:6" s="139" customFormat="1" ht="18" customHeight="1">
      <c r="A58" s="200" t="s">
        <v>33</v>
      </c>
      <c r="B58" s="201" t="s">
        <v>214</v>
      </c>
      <c r="C58" s="190">
        <f>C59+C60+C61+C62+C63+C65+C64</f>
        <v>1800.223</v>
      </c>
      <c r="D58" s="246">
        <f>D59+D60+D61+D62+D63+D65+D64</f>
        <v>1563.70143</v>
      </c>
      <c r="E58" s="202">
        <f>SUM(D58/C58*100)</f>
        <v>86.86154048692856</v>
      </c>
      <c r="F58" s="202">
        <f aca="true" t="shared" si="4" ref="F58:F78">SUM(D58-C58)</f>
        <v>-236.52156999999988</v>
      </c>
    </row>
    <row r="59" spans="1:6" s="139" customFormat="1" ht="1.5" customHeight="1" hidden="1">
      <c r="A59" s="203" t="s">
        <v>215</v>
      </c>
      <c r="B59" s="204" t="s">
        <v>216</v>
      </c>
      <c r="C59" s="195">
        <v>0</v>
      </c>
      <c r="D59" s="195">
        <v>0</v>
      </c>
      <c r="E59" s="205" t="e">
        <f>SUM(D59/C59*100)</f>
        <v>#DIV/0!</v>
      </c>
      <c r="F59" s="205">
        <f t="shared" si="4"/>
        <v>0</v>
      </c>
    </row>
    <row r="60" spans="1:6" ht="15.75">
      <c r="A60" s="203" t="s">
        <v>217</v>
      </c>
      <c r="B60" s="206" t="s">
        <v>218</v>
      </c>
      <c r="C60" s="195">
        <v>1737.853</v>
      </c>
      <c r="D60" s="195">
        <v>1535.22543</v>
      </c>
      <c r="E60" s="205">
        <f>SUM(D60/C60*100)</f>
        <v>88.3403504208929</v>
      </c>
      <c r="F60" s="205">
        <f t="shared" si="4"/>
        <v>-202.6275700000001</v>
      </c>
    </row>
    <row r="61" spans="1:6" ht="16.5" customHeight="1" hidden="1">
      <c r="A61" s="203" t="s">
        <v>219</v>
      </c>
      <c r="B61" s="206" t="s">
        <v>220</v>
      </c>
      <c r="C61" s="195"/>
      <c r="D61" s="195"/>
      <c r="E61" s="205"/>
      <c r="F61" s="205">
        <f t="shared" si="4"/>
        <v>0</v>
      </c>
    </row>
    <row r="62" spans="1:6" ht="31.5" customHeight="1" hidden="1">
      <c r="A62" s="203" t="s">
        <v>221</v>
      </c>
      <c r="B62" s="206" t="s">
        <v>222</v>
      </c>
      <c r="C62" s="195"/>
      <c r="D62" s="195"/>
      <c r="E62" s="205" t="e">
        <f aca="true" t="shared" si="5" ref="E62:E78">SUM(D62/C62*100)</f>
        <v>#DIV/0!</v>
      </c>
      <c r="F62" s="205">
        <f t="shared" si="4"/>
        <v>0</v>
      </c>
    </row>
    <row r="63" spans="1:6" ht="19.5" customHeight="1" hidden="1">
      <c r="A63" s="203" t="s">
        <v>223</v>
      </c>
      <c r="B63" s="206" t="s">
        <v>224</v>
      </c>
      <c r="C63" s="195">
        <v>0</v>
      </c>
      <c r="D63" s="195">
        <v>0</v>
      </c>
      <c r="E63" s="205" t="e">
        <f t="shared" si="5"/>
        <v>#DIV/0!</v>
      </c>
      <c r="F63" s="205">
        <f t="shared" si="4"/>
        <v>0</v>
      </c>
    </row>
    <row r="64" spans="1:6" ht="15.75" customHeight="1">
      <c r="A64" s="203" t="s">
        <v>225</v>
      </c>
      <c r="B64" s="206" t="s">
        <v>226</v>
      </c>
      <c r="C64" s="207">
        <v>17</v>
      </c>
      <c r="D64" s="207">
        <v>0</v>
      </c>
      <c r="E64" s="205">
        <f t="shared" si="5"/>
        <v>0</v>
      </c>
      <c r="F64" s="205">
        <f t="shared" si="4"/>
        <v>-17</v>
      </c>
    </row>
    <row r="65" spans="1:6" ht="14.25" customHeight="1">
      <c r="A65" s="203" t="s">
        <v>227</v>
      </c>
      <c r="B65" s="206" t="s">
        <v>228</v>
      </c>
      <c r="C65" s="195">
        <v>45.37</v>
      </c>
      <c r="D65" s="195">
        <v>28.476</v>
      </c>
      <c r="E65" s="205">
        <f t="shared" si="5"/>
        <v>62.76394093013005</v>
      </c>
      <c r="F65" s="205">
        <f t="shared" si="4"/>
        <v>-16.894</v>
      </c>
    </row>
    <row r="66" spans="1:6" s="139" customFormat="1" ht="15.75">
      <c r="A66" s="208" t="s">
        <v>35</v>
      </c>
      <c r="B66" s="209" t="s">
        <v>229</v>
      </c>
      <c r="C66" s="190">
        <f>C67</f>
        <v>206.767</v>
      </c>
      <c r="D66" s="190">
        <f>D67</f>
        <v>206.767</v>
      </c>
      <c r="E66" s="202">
        <f t="shared" si="5"/>
        <v>100</v>
      </c>
      <c r="F66" s="202">
        <f t="shared" si="4"/>
        <v>0</v>
      </c>
    </row>
    <row r="67" spans="1:6" ht="15" customHeight="1">
      <c r="A67" s="210" t="s">
        <v>230</v>
      </c>
      <c r="B67" s="211" t="s">
        <v>231</v>
      </c>
      <c r="C67" s="195">
        <v>206.767</v>
      </c>
      <c r="D67" s="195">
        <v>206.767</v>
      </c>
      <c r="E67" s="205">
        <f t="shared" si="5"/>
        <v>100</v>
      </c>
      <c r="F67" s="205">
        <f t="shared" si="4"/>
        <v>0</v>
      </c>
    </row>
    <row r="68" spans="1:6" s="139" customFormat="1" ht="18" customHeight="1">
      <c r="A68" s="200" t="s">
        <v>37</v>
      </c>
      <c r="B68" s="201" t="s">
        <v>232</v>
      </c>
      <c r="C68" s="190">
        <f>C71+C72+C73</f>
        <v>18.731</v>
      </c>
      <c r="D68" s="190">
        <f>D71+D72+D73</f>
        <v>18.73039</v>
      </c>
      <c r="E68" s="202">
        <f t="shared" si="5"/>
        <v>99.99674336661148</v>
      </c>
      <c r="F68" s="202">
        <f t="shared" si="4"/>
        <v>-0.0006100000000017758</v>
      </c>
    </row>
    <row r="69" spans="1:6" ht="0.75" customHeight="1" hidden="1">
      <c r="A69" s="203" t="s">
        <v>233</v>
      </c>
      <c r="B69" s="206" t="s">
        <v>234</v>
      </c>
      <c r="C69" s="195"/>
      <c r="D69" s="195"/>
      <c r="E69" s="202" t="e">
        <f t="shared" si="5"/>
        <v>#DIV/0!</v>
      </c>
      <c r="F69" s="202">
        <f t="shared" si="4"/>
        <v>0</v>
      </c>
    </row>
    <row r="70" spans="1:6" ht="18" customHeight="1" hidden="1">
      <c r="A70" s="212" t="s">
        <v>235</v>
      </c>
      <c r="B70" s="206" t="s">
        <v>317</v>
      </c>
      <c r="C70" s="195"/>
      <c r="D70" s="195"/>
      <c r="E70" s="202" t="e">
        <f t="shared" si="5"/>
        <v>#DIV/0!</v>
      </c>
      <c r="F70" s="202">
        <f t="shared" si="4"/>
        <v>0</v>
      </c>
    </row>
    <row r="71" spans="1:6" ht="17.25" customHeight="1">
      <c r="A71" s="213" t="s">
        <v>237</v>
      </c>
      <c r="B71" s="214" t="s">
        <v>238</v>
      </c>
      <c r="C71" s="195">
        <v>3.106</v>
      </c>
      <c r="D71" s="195">
        <v>3.10539</v>
      </c>
      <c r="E71" s="202">
        <f t="shared" si="5"/>
        <v>99.98036059240181</v>
      </c>
      <c r="F71" s="202">
        <f t="shared" si="4"/>
        <v>-0.0006099999999999994</v>
      </c>
    </row>
    <row r="72" spans="1:6" ht="17.25" customHeight="1">
      <c r="A72" s="213" t="s">
        <v>239</v>
      </c>
      <c r="B72" s="214" t="s">
        <v>240</v>
      </c>
      <c r="C72" s="195">
        <v>13.625</v>
      </c>
      <c r="D72" s="195">
        <v>13.625</v>
      </c>
      <c r="E72" s="205">
        <f t="shared" si="5"/>
        <v>100</v>
      </c>
      <c r="F72" s="205">
        <f t="shared" si="4"/>
        <v>0</v>
      </c>
    </row>
    <row r="73" spans="1:6" ht="17.25" customHeight="1">
      <c r="A73" s="213" t="s">
        <v>241</v>
      </c>
      <c r="B73" s="214" t="s">
        <v>336</v>
      </c>
      <c r="C73" s="195">
        <v>2</v>
      </c>
      <c r="D73" s="195">
        <v>2</v>
      </c>
      <c r="E73" s="205">
        <f t="shared" si="5"/>
        <v>100</v>
      </c>
      <c r="F73" s="205">
        <f t="shared" si="4"/>
        <v>0</v>
      </c>
    </row>
    <row r="74" spans="1:6" s="139" customFormat="1" ht="19.5" customHeight="1">
      <c r="A74" s="200" t="s">
        <v>39</v>
      </c>
      <c r="B74" s="201" t="s">
        <v>243</v>
      </c>
      <c r="C74" s="215">
        <f>C76+C77+C78+C75</f>
        <v>4415.76069</v>
      </c>
      <c r="D74" s="215">
        <f>SUM(D75:D78)</f>
        <v>3568.53649</v>
      </c>
      <c r="E74" s="202">
        <f t="shared" si="5"/>
        <v>80.81362964440902</v>
      </c>
      <c r="F74" s="202">
        <f t="shared" si="4"/>
        <v>-847.2242000000001</v>
      </c>
    </row>
    <row r="75" spans="1:6" ht="1.5" customHeight="1">
      <c r="A75" s="203" t="s">
        <v>246</v>
      </c>
      <c r="B75" s="206" t="s">
        <v>319</v>
      </c>
      <c r="C75" s="216"/>
      <c r="D75" s="195">
        <v>0</v>
      </c>
      <c r="E75" s="205" t="e">
        <f t="shared" si="5"/>
        <v>#DIV/0!</v>
      </c>
      <c r="F75" s="205">
        <f t="shared" si="4"/>
        <v>0</v>
      </c>
    </row>
    <row r="76" spans="1:7" s="139" customFormat="1" ht="1.5" customHeight="1">
      <c r="A76" s="203" t="s">
        <v>248</v>
      </c>
      <c r="B76" s="206" t="s">
        <v>320</v>
      </c>
      <c r="C76" s="216">
        <v>0</v>
      </c>
      <c r="D76" s="195">
        <v>0</v>
      </c>
      <c r="E76" s="205" t="e">
        <f t="shared" si="5"/>
        <v>#DIV/0!</v>
      </c>
      <c r="F76" s="205">
        <f t="shared" si="4"/>
        <v>0</v>
      </c>
      <c r="G76" s="142"/>
    </row>
    <row r="77" spans="1:6" ht="16.5" customHeight="1">
      <c r="A77" s="203" t="s">
        <v>250</v>
      </c>
      <c r="B77" s="206" t="s">
        <v>251</v>
      </c>
      <c r="C77" s="216">
        <v>3676.69905</v>
      </c>
      <c r="D77" s="195">
        <v>3397.2297</v>
      </c>
      <c r="E77" s="205">
        <f t="shared" si="5"/>
        <v>92.3989060241414</v>
      </c>
      <c r="F77" s="205">
        <f t="shared" si="4"/>
        <v>-279.4693500000003</v>
      </c>
    </row>
    <row r="78" spans="1:6" ht="16.5" customHeight="1">
      <c r="A78" s="203" t="s">
        <v>252</v>
      </c>
      <c r="B78" s="206" t="s">
        <v>253</v>
      </c>
      <c r="C78" s="216">
        <v>739.06164</v>
      </c>
      <c r="D78" s="195">
        <v>171.30679</v>
      </c>
      <c r="E78" s="205">
        <f t="shared" si="5"/>
        <v>23.178958388369338</v>
      </c>
      <c r="F78" s="205">
        <f t="shared" si="4"/>
        <v>-567.75485</v>
      </c>
    </row>
    <row r="79" spans="1:6" ht="15.75" customHeight="1" hidden="1">
      <c r="A79" s="200" t="s">
        <v>37</v>
      </c>
      <c r="B79" s="201" t="s">
        <v>232</v>
      </c>
      <c r="C79" s="215">
        <v>0</v>
      </c>
      <c r="D79" s="195"/>
      <c r="E79" s="205"/>
      <c r="F79" s="205"/>
    </row>
    <row r="80" spans="1:6" ht="15.75" customHeight="1" hidden="1">
      <c r="A80" s="213" t="s">
        <v>239</v>
      </c>
      <c r="B80" s="214" t="s">
        <v>240</v>
      </c>
      <c r="C80" s="216">
        <v>0</v>
      </c>
      <c r="D80" s="195"/>
      <c r="E80" s="205"/>
      <c r="F80" s="205"/>
    </row>
    <row r="81" spans="1:6" s="139" customFormat="1" ht="19.5" customHeight="1">
      <c r="A81" s="200" t="s">
        <v>41</v>
      </c>
      <c r="B81" s="201" t="s">
        <v>254</v>
      </c>
      <c r="C81" s="190">
        <f>SUM(C82:C84)</f>
        <v>5804.82024</v>
      </c>
      <c r="D81" s="190">
        <f>SUM(D82:D84)</f>
        <v>5579.82624</v>
      </c>
      <c r="E81" s="202">
        <f aca="true" t="shared" si="6" ref="E81:E90">SUM(D81/C81*100)</f>
        <v>96.12401434157073</v>
      </c>
      <c r="F81" s="202">
        <f aca="true" t="shared" si="7" ref="F81:F91">SUM(D81-C81)</f>
        <v>-224.9939999999997</v>
      </c>
    </row>
    <row r="82" spans="1:6" ht="15.75" hidden="1">
      <c r="A82" s="203" t="s">
        <v>255</v>
      </c>
      <c r="B82" s="217" t="s">
        <v>256</v>
      </c>
      <c r="C82" s="195"/>
      <c r="D82" s="195"/>
      <c r="E82" s="205" t="e">
        <f t="shared" si="6"/>
        <v>#DIV/0!</v>
      </c>
      <c r="F82" s="205">
        <f t="shared" si="7"/>
        <v>0</v>
      </c>
    </row>
    <row r="83" spans="1:6" ht="15.75">
      <c r="A83" s="203" t="s">
        <v>257</v>
      </c>
      <c r="B83" s="217" t="s">
        <v>258</v>
      </c>
      <c r="C83" s="195">
        <v>5392.1236</v>
      </c>
      <c r="D83" s="195">
        <v>5248.20179</v>
      </c>
      <c r="E83" s="205">
        <f t="shared" si="6"/>
        <v>97.3308881495224</v>
      </c>
      <c r="F83" s="205">
        <f t="shared" si="7"/>
        <v>-143.92180999999982</v>
      </c>
    </row>
    <row r="84" spans="1:6" ht="18" customHeight="1">
      <c r="A84" s="203" t="s">
        <v>259</v>
      </c>
      <c r="B84" s="206" t="s">
        <v>260</v>
      </c>
      <c r="C84" s="195">
        <v>412.69664</v>
      </c>
      <c r="D84" s="195">
        <v>331.62445</v>
      </c>
      <c r="E84" s="205">
        <f t="shared" si="6"/>
        <v>80.35550035008767</v>
      </c>
      <c r="F84" s="205">
        <f t="shared" si="7"/>
        <v>-81.07218999999998</v>
      </c>
    </row>
    <row r="85" spans="1:6" s="139" customFormat="1" ht="16.5" customHeight="1">
      <c r="A85" s="200" t="s">
        <v>47</v>
      </c>
      <c r="B85" s="201" t="s">
        <v>275</v>
      </c>
      <c r="C85" s="190">
        <f>C86</f>
        <v>3258.675</v>
      </c>
      <c r="D85" s="190">
        <f>SUM(D86)</f>
        <v>3146.16321</v>
      </c>
      <c r="E85" s="202">
        <f t="shared" si="6"/>
        <v>96.54731478284886</v>
      </c>
      <c r="F85" s="202">
        <f t="shared" si="7"/>
        <v>-112.51179000000002</v>
      </c>
    </row>
    <row r="86" spans="1:6" ht="14.25" customHeight="1">
      <c r="A86" s="203" t="s">
        <v>276</v>
      </c>
      <c r="B86" s="206" t="s">
        <v>277</v>
      </c>
      <c r="C86" s="195">
        <v>3258.675</v>
      </c>
      <c r="D86" s="195">
        <v>3146.16321</v>
      </c>
      <c r="E86" s="205">
        <f t="shared" si="6"/>
        <v>96.54731478284886</v>
      </c>
      <c r="F86" s="205">
        <f t="shared" si="7"/>
        <v>-112.51179000000002</v>
      </c>
    </row>
    <row r="87" spans="1:6" s="139" customFormat="1" ht="12" customHeight="1" hidden="1">
      <c r="A87" s="218">
        <v>1000</v>
      </c>
      <c r="B87" s="201" t="s">
        <v>280</v>
      </c>
      <c r="C87" s="190">
        <f>SUM(C88:C91)</f>
        <v>0</v>
      </c>
      <c r="D87" s="190">
        <f>SUM(D88:D91)</f>
        <v>0</v>
      </c>
      <c r="E87" s="202" t="e">
        <f t="shared" si="6"/>
        <v>#DIV/0!</v>
      </c>
      <c r="F87" s="202">
        <f t="shared" si="7"/>
        <v>0</v>
      </c>
    </row>
    <row r="88" spans="1:6" ht="9" customHeight="1" hidden="1">
      <c r="A88" s="219">
        <v>1001</v>
      </c>
      <c r="B88" s="220" t="s">
        <v>281</v>
      </c>
      <c r="C88" s="195"/>
      <c r="D88" s="195"/>
      <c r="E88" s="205" t="e">
        <f t="shared" si="6"/>
        <v>#DIV/0!</v>
      </c>
      <c r="F88" s="205">
        <f t="shared" si="7"/>
        <v>0</v>
      </c>
    </row>
    <row r="89" spans="1:6" ht="12" customHeight="1" hidden="1">
      <c r="A89" s="219">
        <v>1003</v>
      </c>
      <c r="B89" s="220" t="s">
        <v>282</v>
      </c>
      <c r="C89" s="195">
        <v>0</v>
      </c>
      <c r="D89" s="195">
        <v>0</v>
      </c>
      <c r="E89" s="205" t="e">
        <f t="shared" si="6"/>
        <v>#DIV/0!</v>
      </c>
      <c r="F89" s="205">
        <f t="shared" si="7"/>
        <v>0</v>
      </c>
    </row>
    <row r="90" spans="1:6" ht="12.75" customHeight="1" hidden="1">
      <c r="A90" s="219">
        <v>1004</v>
      </c>
      <c r="B90" s="220" t="s">
        <v>283</v>
      </c>
      <c r="C90" s="195">
        <v>0</v>
      </c>
      <c r="D90" s="221">
        <v>0</v>
      </c>
      <c r="E90" s="205" t="e">
        <f t="shared" si="6"/>
        <v>#DIV/0!</v>
      </c>
      <c r="F90" s="205">
        <f t="shared" si="7"/>
        <v>0</v>
      </c>
    </row>
    <row r="91" spans="1:6" ht="19.5" customHeight="1" hidden="1">
      <c r="A91" s="203" t="s">
        <v>284</v>
      </c>
      <c r="B91" s="206" t="s">
        <v>285</v>
      </c>
      <c r="C91" s="195">
        <v>0</v>
      </c>
      <c r="D91" s="195">
        <v>0</v>
      </c>
      <c r="E91" s="205"/>
      <c r="F91" s="205">
        <f t="shared" si="7"/>
        <v>0</v>
      </c>
    </row>
    <row r="92" spans="1:6" ht="15" customHeight="1">
      <c r="A92" s="200" t="s">
        <v>51</v>
      </c>
      <c r="B92" s="201" t="s">
        <v>286</v>
      </c>
      <c r="C92" s="190">
        <f>C93+C94+C95+C96+C97</f>
        <v>15</v>
      </c>
      <c r="D92" s="190">
        <f>D93+D94+D95+D96+D97</f>
        <v>15</v>
      </c>
      <c r="E92" s="205">
        <f aca="true" t="shared" si="8" ref="E92:E102">SUM(D92/C92*100)</f>
        <v>100</v>
      </c>
      <c r="F92" s="190">
        <f>F93+F94+F95+F96+F97</f>
        <v>0</v>
      </c>
    </row>
    <row r="93" spans="1:6" ht="19.5" customHeight="1">
      <c r="A93" s="203" t="s">
        <v>287</v>
      </c>
      <c r="B93" s="206" t="s">
        <v>288</v>
      </c>
      <c r="C93" s="195">
        <v>15</v>
      </c>
      <c r="D93" s="195">
        <v>15</v>
      </c>
      <c r="E93" s="205">
        <f t="shared" si="8"/>
        <v>100</v>
      </c>
      <c r="F93" s="205">
        <f>SUM(D93-C93)</f>
        <v>0</v>
      </c>
    </row>
    <row r="94" spans="1:6" ht="15" customHeight="1" hidden="1">
      <c r="A94" s="203" t="s">
        <v>289</v>
      </c>
      <c r="B94" s="206" t="s">
        <v>290</v>
      </c>
      <c r="C94" s="195"/>
      <c r="D94" s="195"/>
      <c r="E94" s="205" t="e">
        <f t="shared" si="8"/>
        <v>#DIV/0!</v>
      </c>
      <c r="F94" s="205">
        <f>SUM(D94-C94)</f>
        <v>0</v>
      </c>
    </row>
    <row r="95" spans="1:6" ht="15" customHeight="1" hidden="1">
      <c r="A95" s="203" t="s">
        <v>291</v>
      </c>
      <c r="B95" s="206" t="s">
        <v>292</v>
      </c>
      <c r="C95" s="195"/>
      <c r="D95" s="195"/>
      <c r="E95" s="205" t="e">
        <f t="shared" si="8"/>
        <v>#DIV/0!</v>
      </c>
      <c r="F95" s="205"/>
    </row>
    <row r="96" spans="1:6" ht="15" customHeight="1" hidden="1">
      <c r="A96" s="203" t="s">
        <v>293</v>
      </c>
      <c r="B96" s="206" t="s">
        <v>294</v>
      </c>
      <c r="C96" s="195"/>
      <c r="D96" s="195"/>
      <c r="E96" s="205" t="e">
        <f t="shared" si="8"/>
        <v>#DIV/0!</v>
      </c>
      <c r="F96" s="205"/>
    </row>
    <row r="97" spans="1:6" ht="57.75" customHeight="1" hidden="1">
      <c r="A97" s="203" t="s">
        <v>295</v>
      </c>
      <c r="B97" s="206" t="s">
        <v>296</v>
      </c>
      <c r="C97" s="195"/>
      <c r="D97" s="195"/>
      <c r="E97" s="205" t="e">
        <f t="shared" si="8"/>
        <v>#DIV/0!</v>
      </c>
      <c r="F97" s="205"/>
    </row>
    <row r="98" spans="1:6" s="139" customFormat="1" ht="15" customHeight="1" hidden="1">
      <c r="A98" s="218">
        <v>1400</v>
      </c>
      <c r="B98" s="222" t="s">
        <v>303</v>
      </c>
      <c r="C98" s="215">
        <f>C99+C100+C101</f>
        <v>0</v>
      </c>
      <c r="D98" s="215">
        <f>SUM(D99:D101)</f>
        <v>0</v>
      </c>
      <c r="E98" s="202" t="e">
        <f t="shared" si="8"/>
        <v>#DIV/0!</v>
      </c>
      <c r="F98" s="202">
        <f>SUM(D98-C98)</f>
        <v>0</v>
      </c>
    </row>
    <row r="99" spans="1:6" ht="16.5" customHeight="1" hidden="1">
      <c r="A99" s="219">
        <v>1401</v>
      </c>
      <c r="B99" s="220" t="s">
        <v>304</v>
      </c>
      <c r="C99" s="195">
        <v>0</v>
      </c>
      <c r="D99" s="195">
        <v>0</v>
      </c>
      <c r="E99" s="205" t="e">
        <f t="shared" si="8"/>
        <v>#DIV/0!</v>
      </c>
      <c r="F99" s="205">
        <f>SUM(D99-C99)</f>
        <v>0</v>
      </c>
    </row>
    <row r="100" spans="1:6" ht="20.25" customHeight="1" hidden="1">
      <c r="A100" s="219">
        <v>1402</v>
      </c>
      <c r="B100" s="220" t="s">
        <v>305</v>
      </c>
      <c r="C100" s="216">
        <v>0</v>
      </c>
      <c r="D100" s="195">
        <v>0</v>
      </c>
      <c r="E100" s="205" t="e">
        <f t="shared" si="8"/>
        <v>#DIV/0!</v>
      </c>
      <c r="F100" s="205">
        <f>SUM(D100-C100)</f>
        <v>0</v>
      </c>
    </row>
    <row r="101" spans="1:6" ht="13.5" customHeight="1" hidden="1">
      <c r="A101" s="219">
        <v>1403</v>
      </c>
      <c r="B101" s="220" t="s">
        <v>306</v>
      </c>
      <c r="C101" s="216">
        <v>0</v>
      </c>
      <c r="D101" s="195">
        <v>0</v>
      </c>
      <c r="E101" s="205" t="e">
        <f t="shared" si="8"/>
        <v>#DIV/0!</v>
      </c>
      <c r="F101" s="205">
        <f>SUM(D101-C101)</f>
        <v>0</v>
      </c>
    </row>
    <row r="102" spans="1:6" s="139" customFormat="1" ht="15.75">
      <c r="A102" s="218"/>
      <c r="B102" s="223" t="s">
        <v>307</v>
      </c>
      <c r="C102" s="224">
        <f>C58+C66+C68+C74+C81+C85+C87+C92+C79</f>
        <v>15519.97693</v>
      </c>
      <c r="D102" s="224">
        <f>D58+D66+D68+D74+D81+D85+D92+D87</f>
        <v>14098.724760000001</v>
      </c>
      <c r="E102" s="202">
        <f t="shared" si="8"/>
        <v>90.84243374580842</v>
      </c>
      <c r="F102" s="202">
        <f>SUM(D102-C102)</f>
        <v>-1421.2521699999998</v>
      </c>
    </row>
    <row r="103" spans="3:4" ht="5.25" customHeight="1">
      <c r="C103" s="264"/>
      <c r="D103" s="252"/>
    </row>
    <row r="104" spans="1:4" s="143" customFormat="1" ht="12.75">
      <c r="A104" s="228" t="s">
        <v>308</v>
      </c>
      <c r="B104" s="228"/>
      <c r="C104" s="265"/>
      <c r="D104" s="254"/>
    </row>
    <row r="105" spans="1:3" s="143" customFormat="1" ht="12.75">
      <c r="A105" s="230" t="s">
        <v>309</v>
      </c>
      <c r="B105" s="230"/>
      <c r="C105" s="143" t="s">
        <v>310</v>
      </c>
    </row>
    <row r="106" ht="15.75">
      <c r="C106" s="264"/>
    </row>
    <row r="144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="70" zoomScaleSheetLayoutView="70" zoomScalePageLayoutView="0" workbookViewId="0" topLeftCell="A28">
      <selection activeCell="C98" sqref="C98"/>
    </sheetView>
  </sheetViews>
  <sheetFormatPr defaultColWidth="9.140625" defaultRowHeight="12.75"/>
  <cols>
    <col min="1" max="1" width="14.7109375" style="135" customWidth="1"/>
    <col min="2" max="2" width="57.57421875" style="136" customWidth="1"/>
    <col min="3" max="3" width="17.8515625" style="137" customWidth="1"/>
    <col min="4" max="4" width="16.140625" style="137" customWidth="1"/>
    <col min="5" max="5" width="11.00390625" style="137" customWidth="1"/>
    <col min="6" max="6" width="10.8515625" style="137" customWidth="1"/>
    <col min="7" max="7" width="15.421875" style="138" customWidth="1"/>
    <col min="8" max="8" width="10.7109375" style="138" customWidth="1"/>
    <col min="9" max="16384" width="9.140625" style="138" customWidth="1"/>
  </cols>
  <sheetData>
    <row r="1" spans="1:6" ht="12.75" customHeight="1">
      <c r="A1" s="469" t="s">
        <v>430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69">
        <f>C5+C12+C14+C17+C20+C7</f>
        <v>4757.13</v>
      </c>
      <c r="D4" s="169">
        <f>D5+D12+D14+D17+D20+D7</f>
        <v>5064.828579999999</v>
      </c>
      <c r="E4" s="150">
        <f aca="true" t="shared" si="0" ref="E4:E48">SUM(D4/C4*100)</f>
        <v>106.46815579982048</v>
      </c>
      <c r="F4" s="150">
        <f aca="true" t="shared" si="1" ref="F4:F51">SUM(D4-C4)</f>
        <v>307.6985799999993</v>
      </c>
    </row>
    <row r="5" spans="1:6" s="139" customFormat="1" ht="15.75">
      <c r="A5" s="151">
        <v>1010000000</v>
      </c>
      <c r="B5" s="152" t="s">
        <v>146</v>
      </c>
      <c r="C5" s="169">
        <f>C6</f>
        <v>486</v>
      </c>
      <c r="D5" s="169">
        <f>D6</f>
        <v>620.31741</v>
      </c>
      <c r="E5" s="150">
        <f t="shared" si="0"/>
        <v>127.63732716049383</v>
      </c>
      <c r="F5" s="150">
        <f t="shared" si="1"/>
        <v>134.31741</v>
      </c>
    </row>
    <row r="6" spans="1:6" ht="15.75">
      <c r="A6" s="153">
        <v>1010200001</v>
      </c>
      <c r="B6" s="154" t="s">
        <v>147</v>
      </c>
      <c r="C6" s="266">
        <v>486</v>
      </c>
      <c r="D6" s="267">
        <v>620.31741</v>
      </c>
      <c r="E6" s="155">
        <f t="shared" si="0"/>
        <v>127.63732716049383</v>
      </c>
      <c r="F6" s="155">
        <f t="shared" si="1"/>
        <v>134.31741</v>
      </c>
    </row>
    <row r="7" spans="1:6" ht="31.5">
      <c r="A7" s="148">
        <v>1030000000</v>
      </c>
      <c r="B7" s="157" t="s">
        <v>148</v>
      </c>
      <c r="C7" s="268">
        <f>C8+C10+C9</f>
        <v>806.1300000000001</v>
      </c>
      <c r="D7" s="169">
        <f>D8+D10+D9+D11</f>
        <v>905.5853300000001</v>
      </c>
      <c r="E7" s="150">
        <f t="shared" si="0"/>
        <v>112.33738106756974</v>
      </c>
      <c r="F7" s="150">
        <f t="shared" si="1"/>
        <v>99.45533</v>
      </c>
    </row>
    <row r="8" spans="1:6" ht="15.75">
      <c r="A8" s="153">
        <v>1030223001</v>
      </c>
      <c r="B8" s="154" t="s">
        <v>149</v>
      </c>
      <c r="C8" s="266">
        <v>300.69</v>
      </c>
      <c r="D8" s="267">
        <v>418.07214</v>
      </c>
      <c r="E8" s="155">
        <f t="shared" si="0"/>
        <v>139.03759353486979</v>
      </c>
      <c r="F8" s="155">
        <f t="shared" si="1"/>
        <v>117.38213999999999</v>
      </c>
    </row>
    <row r="9" spans="1:6" ht="15.75">
      <c r="A9" s="153">
        <v>1030224001</v>
      </c>
      <c r="B9" s="154" t="s">
        <v>150</v>
      </c>
      <c r="C9" s="266">
        <v>3.22</v>
      </c>
      <c r="D9" s="267">
        <v>2.94018</v>
      </c>
      <c r="E9" s="155">
        <f t="shared" si="0"/>
        <v>91.30993788819875</v>
      </c>
      <c r="F9" s="155">
        <f t="shared" si="1"/>
        <v>-0.2798200000000004</v>
      </c>
    </row>
    <row r="10" spans="1:6" ht="15.75">
      <c r="A10" s="153">
        <v>1030225001</v>
      </c>
      <c r="B10" s="154" t="s">
        <v>151</v>
      </c>
      <c r="C10" s="266">
        <v>502.22</v>
      </c>
      <c r="D10" s="267">
        <v>555.86503</v>
      </c>
      <c r="E10" s="155">
        <f t="shared" si="0"/>
        <v>110.68157978575127</v>
      </c>
      <c r="F10" s="155">
        <f t="shared" si="1"/>
        <v>53.64503000000002</v>
      </c>
    </row>
    <row r="11" spans="1:6" ht="15.75">
      <c r="A11" s="153">
        <v>1030226001</v>
      </c>
      <c r="B11" s="154" t="s">
        <v>337</v>
      </c>
      <c r="C11" s="266">
        <v>0</v>
      </c>
      <c r="D11" s="177">
        <v>-71.29202</v>
      </c>
      <c r="E11" s="155" t="e">
        <f t="shared" si="0"/>
        <v>#DIV/0!</v>
      </c>
      <c r="F11" s="155">
        <f t="shared" si="1"/>
        <v>-71.29202</v>
      </c>
    </row>
    <row r="12" spans="1:6" s="139" customFormat="1" ht="15.75">
      <c r="A12" s="151">
        <v>1050000000</v>
      </c>
      <c r="B12" s="152" t="s">
        <v>153</v>
      </c>
      <c r="C12" s="169">
        <f>SUM(C13:C13)</f>
        <v>95</v>
      </c>
      <c r="D12" s="169">
        <f>D13</f>
        <v>55.54848</v>
      </c>
      <c r="E12" s="150">
        <f t="shared" si="0"/>
        <v>58.47208421052631</v>
      </c>
      <c r="F12" s="150">
        <f t="shared" si="1"/>
        <v>-39.45152</v>
      </c>
    </row>
    <row r="13" spans="1:6" ht="15.75" customHeight="1">
      <c r="A13" s="153">
        <v>1050300000</v>
      </c>
      <c r="B13" s="158" t="s">
        <v>156</v>
      </c>
      <c r="C13" s="173">
        <v>95</v>
      </c>
      <c r="D13" s="267">
        <v>55.54848</v>
      </c>
      <c r="E13" s="155">
        <f t="shared" si="0"/>
        <v>58.47208421052631</v>
      </c>
      <c r="F13" s="155">
        <f t="shared" si="1"/>
        <v>-39.45152</v>
      </c>
    </row>
    <row r="14" spans="1:6" s="139" customFormat="1" ht="15.75" customHeight="1">
      <c r="A14" s="151">
        <v>1060000000</v>
      </c>
      <c r="B14" s="152" t="s">
        <v>158</v>
      </c>
      <c r="C14" s="169">
        <f>C15+C16</f>
        <v>3350</v>
      </c>
      <c r="D14" s="169">
        <f>D15+D16</f>
        <v>3474.47736</v>
      </c>
      <c r="E14" s="150">
        <f t="shared" si="0"/>
        <v>103.71574208955224</v>
      </c>
      <c r="F14" s="150">
        <f t="shared" si="1"/>
        <v>124.47735999999986</v>
      </c>
    </row>
    <row r="15" spans="1:6" s="139" customFormat="1" ht="15.75" customHeight="1">
      <c r="A15" s="153">
        <v>1060100000</v>
      </c>
      <c r="B15" s="158" t="s">
        <v>159</v>
      </c>
      <c r="C15" s="266">
        <v>400</v>
      </c>
      <c r="D15" s="267">
        <v>446.39082</v>
      </c>
      <c r="E15" s="155">
        <f t="shared" si="0"/>
        <v>111.59770500000002</v>
      </c>
      <c r="F15" s="155">
        <f t="shared" si="1"/>
        <v>46.39082000000002</v>
      </c>
    </row>
    <row r="16" spans="1:6" ht="15.75" customHeight="1">
      <c r="A16" s="153">
        <v>1060600000</v>
      </c>
      <c r="B16" s="158" t="s">
        <v>162</v>
      </c>
      <c r="C16" s="266">
        <v>2950</v>
      </c>
      <c r="D16" s="267">
        <v>3028.08654</v>
      </c>
      <c r="E16" s="155">
        <f t="shared" si="0"/>
        <v>102.64700135593219</v>
      </c>
      <c r="F16" s="155">
        <f t="shared" si="1"/>
        <v>78.08653999999979</v>
      </c>
    </row>
    <row r="17" spans="1:6" s="139" customFormat="1" ht="15.75">
      <c r="A17" s="148">
        <v>1080000000</v>
      </c>
      <c r="B17" s="149" t="s">
        <v>165</v>
      </c>
      <c r="C17" s="169">
        <f>C18</f>
        <v>20</v>
      </c>
      <c r="D17" s="169">
        <f>D18</f>
        <v>8.9</v>
      </c>
      <c r="E17" s="150">
        <f t="shared" si="0"/>
        <v>44.5</v>
      </c>
      <c r="F17" s="150">
        <f t="shared" si="1"/>
        <v>-11.1</v>
      </c>
    </row>
    <row r="18" spans="1:6" ht="18" customHeight="1">
      <c r="A18" s="153">
        <v>1080400001</v>
      </c>
      <c r="B18" s="154" t="s">
        <v>167</v>
      </c>
      <c r="C18" s="266">
        <v>20</v>
      </c>
      <c r="D18" s="267">
        <v>8.9</v>
      </c>
      <c r="E18" s="155">
        <f t="shared" si="0"/>
        <v>44.5</v>
      </c>
      <c r="F18" s="155">
        <f t="shared" si="1"/>
        <v>-11.1</v>
      </c>
    </row>
    <row r="19" spans="1:6" ht="47.25" customHeight="1" hidden="1">
      <c r="A19" s="153">
        <v>1080714001</v>
      </c>
      <c r="B19" s="154" t="s">
        <v>321</v>
      </c>
      <c r="C19" s="266"/>
      <c r="D19" s="267"/>
      <c r="E19" s="155" t="e">
        <f t="shared" si="0"/>
        <v>#DIV/0!</v>
      </c>
      <c r="F19" s="155">
        <f t="shared" si="1"/>
        <v>0</v>
      </c>
    </row>
    <row r="20" spans="1:6" s="140" customFormat="1" ht="29.25" hidden="1">
      <c r="A20" s="151">
        <v>1090000000</v>
      </c>
      <c r="B20" s="160" t="s">
        <v>322</v>
      </c>
      <c r="C20" s="169">
        <f>C21+C22+C23+C24</f>
        <v>0</v>
      </c>
      <c r="D20" s="169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15.75" hidden="1">
      <c r="A21" s="153">
        <v>1090100000</v>
      </c>
      <c r="B21" s="154" t="s">
        <v>170</v>
      </c>
      <c r="C21" s="169"/>
      <c r="D21" s="269"/>
      <c r="E21" s="155" t="e">
        <f t="shared" si="0"/>
        <v>#DIV/0!</v>
      </c>
      <c r="F21" s="155">
        <f t="shared" si="1"/>
        <v>0</v>
      </c>
    </row>
    <row r="22" spans="1:6" s="140" customFormat="1" ht="15.75" hidden="1">
      <c r="A22" s="153">
        <v>1090400000</v>
      </c>
      <c r="B22" s="154" t="s">
        <v>171</v>
      </c>
      <c r="C22" s="169"/>
      <c r="D22" s="269"/>
      <c r="E22" s="155" t="e">
        <f t="shared" si="0"/>
        <v>#DIV/0!</v>
      </c>
      <c r="F22" s="155">
        <f t="shared" si="1"/>
        <v>0</v>
      </c>
    </row>
    <row r="23" spans="1:6" s="140" customFormat="1" ht="15.75" hidden="1">
      <c r="A23" s="153">
        <v>1090600000</v>
      </c>
      <c r="B23" s="154" t="s">
        <v>172</v>
      </c>
      <c r="C23" s="169"/>
      <c r="D23" s="269"/>
      <c r="E23" s="155" t="e">
        <f t="shared" si="0"/>
        <v>#DIV/0!</v>
      </c>
      <c r="F23" s="155">
        <f t="shared" si="1"/>
        <v>0</v>
      </c>
    </row>
    <row r="24" spans="1:6" s="140" customFormat="1" ht="15.75" hidden="1">
      <c r="A24" s="153">
        <v>1090700000</v>
      </c>
      <c r="B24" s="154" t="s">
        <v>173</v>
      </c>
      <c r="C24" s="169"/>
      <c r="D24" s="269"/>
      <c r="E24" s="155" t="e">
        <f t="shared" si="0"/>
        <v>#DIV/0!</v>
      </c>
      <c r="F24" s="155">
        <f t="shared" si="1"/>
        <v>0</v>
      </c>
    </row>
    <row r="25" spans="1:6" s="139" customFormat="1" ht="15" customHeight="1">
      <c r="A25" s="148"/>
      <c r="B25" s="149" t="s">
        <v>17</v>
      </c>
      <c r="C25" s="169">
        <f>C26+C29+C31+C37</f>
        <v>91.4</v>
      </c>
      <c r="D25" s="270">
        <f>D26+D29+D31+D37+D34</f>
        <v>677.8657000000001</v>
      </c>
      <c r="E25" s="150">
        <f t="shared" si="0"/>
        <v>741.6473741794312</v>
      </c>
      <c r="F25" s="150">
        <f t="shared" si="1"/>
        <v>586.4657000000001</v>
      </c>
    </row>
    <row r="26" spans="1:6" s="139" customFormat="1" ht="30" customHeight="1">
      <c r="A26" s="151">
        <v>1110000000</v>
      </c>
      <c r="B26" s="160" t="s">
        <v>174</v>
      </c>
      <c r="C26" s="169">
        <f>C27+C28</f>
        <v>91.4</v>
      </c>
      <c r="D26" s="270">
        <f>D27+D28</f>
        <v>565.17924</v>
      </c>
      <c r="E26" s="150">
        <f t="shared" si="0"/>
        <v>618.3580306345733</v>
      </c>
      <c r="F26" s="150">
        <f t="shared" si="1"/>
        <v>473.7792400000001</v>
      </c>
    </row>
    <row r="27" spans="1:6" ht="15" customHeight="1">
      <c r="A27" s="162">
        <v>1110502510</v>
      </c>
      <c r="B27" s="163" t="s">
        <v>177</v>
      </c>
      <c r="C27" s="173">
        <v>79.4</v>
      </c>
      <c r="D27" s="177">
        <v>532.46424</v>
      </c>
      <c r="E27" s="155">
        <f t="shared" si="0"/>
        <v>670.6098740554156</v>
      </c>
      <c r="F27" s="155">
        <f t="shared" si="1"/>
        <v>453.06424000000004</v>
      </c>
    </row>
    <row r="28" spans="1:6" ht="15.75">
      <c r="A28" s="153">
        <v>1110503505</v>
      </c>
      <c r="B28" s="158" t="s">
        <v>178</v>
      </c>
      <c r="C28" s="159">
        <v>12</v>
      </c>
      <c r="D28" s="156">
        <v>32.715</v>
      </c>
      <c r="E28" s="155">
        <f t="shared" si="0"/>
        <v>272.625</v>
      </c>
      <c r="F28" s="155">
        <f t="shared" si="1"/>
        <v>20.715000000000003</v>
      </c>
    </row>
    <row r="29" spans="1:6" s="140" customFormat="1" ht="18" customHeight="1">
      <c r="A29" s="151">
        <v>1130000000</v>
      </c>
      <c r="B29" s="160" t="s">
        <v>185</v>
      </c>
      <c r="C29" s="150">
        <f>C30</f>
        <v>0</v>
      </c>
      <c r="D29" s="150">
        <f>D30</f>
        <v>96.0477</v>
      </c>
      <c r="E29" s="150" t="e">
        <f t="shared" si="0"/>
        <v>#DIV/0!</v>
      </c>
      <c r="F29" s="150">
        <f t="shared" si="1"/>
        <v>96.0477</v>
      </c>
    </row>
    <row r="30" spans="1:6" ht="15.75" customHeight="1">
      <c r="A30" s="153">
        <v>1130206005</v>
      </c>
      <c r="B30" s="154" t="s">
        <v>187</v>
      </c>
      <c r="C30" s="155">
        <v>0</v>
      </c>
      <c r="D30" s="156">
        <v>96.0477</v>
      </c>
      <c r="E30" s="155" t="e">
        <f t="shared" si="0"/>
        <v>#DIV/0!</v>
      </c>
      <c r="F30" s="155">
        <f t="shared" si="1"/>
        <v>96.0477</v>
      </c>
    </row>
    <row r="31" spans="1:6" ht="15" customHeight="1">
      <c r="A31" s="164">
        <v>1140000000</v>
      </c>
      <c r="B31" s="165" t="s">
        <v>188</v>
      </c>
      <c r="C31" s="150">
        <f>C32+C33</f>
        <v>0</v>
      </c>
      <c r="D31" s="150">
        <f>D32+D33</f>
        <v>0</v>
      </c>
      <c r="E31" s="150" t="e">
        <f t="shared" si="0"/>
        <v>#DIV/0!</v>
      </c>
      <c r="F31" s="150">
        <f t="shared" si="1"/>
        <v>0</v>
      </c>
    </row>
    <row r="32" spans="1:6" ht="15.75" customHeight="1">
      <c r="A32" s="162">
        <v>1140200000</v>
      </c>
      <c r="B32" s="166" t="s">
        <v>189</v>
      </c>
      <c r="C32" s="155">
        <v>0</v>
      </c>
      <c r="D32" s="156">
        <v>0</v>
      </c>
      <c r="E32" s="155" t="e">
        <f t="shared" si="0"/>
        <v>#DIV/0!</v>
      </c>
      <c r="F32" s="155">
        <f t="shared" si="1"/>
        <v>0</v>
      </c>
    </row>
    <row r="33" spans="1:6" ht="14.25" customHeight="1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15.75">
      <c r="A34" s="148">
        <v>1160000000</v>
      </c>
      <c r="B34" s="157" t="s">
        <v>325</v>
      </c>
      <c r="C34" s="150">
        <f>C36</f>
        <v>0</v>
      </c>
      <c r="D34" s="150">
        <f>D36+D35</f>
        <v>16.638759999999998</v>
      </c>
      <c r="E34" s="150" t="e">
        <f t="shared" si="0"/>
        <v>#DIV/0!</v>
      </c>
      <c r="F34" s="150">
        <f t="shared" si="1"/>
        <v>16.638759999999998</v>
      </c>
    </row>
    <row r="35" spans="1:6" ht="31.5">
      <c r="A35" s="153">
        <v>11610123010</v>
      </c>
      <c r="B35" s="154" t="s">
        <v>421</v>
      </c>
      <c r="C35" s="150">
        <v>0</v>
      </c>
      <c r="D35" s="155">
        <v>4</v>
      </c>
      <c r="E35" s="150"/>
      <c r="F35" s="150"/>
    </row>
    <row r="36" spans="1:6" ht="31.5" customHeight="1">
      <c r="A36" s="153">
        <v>1160701010</v>
      </c>
      <c r="B36" s="154" t="s">
        <v>338</v>
      </c>
      <c r="C36" s="155">
        <v>0</v>
      </c>
      <c r="D36" s="156">
        <v>12.63876</v>
      </c>
      <c r="E36" s="155" t="e">
        <f t="shared" si="0"/>
        <v>#DIV/0!</v>
      </c>
      <c r="F36" s="155">
        <f t="shared" si="1"/>
        <v>12.63876</v>
      </c>
    </row>
    <row r="37" spans="1:6" ht="16.5" customHeight="1">
      <c r="A37" s="148">
        <v>1170000000</v>
      </c>
      <c r="B37" s="157" t="s">
        <v>198</v>
      </c>
      <c r="C37" s="150">
        <f>C38+C39</f>
        <v>0</v>
      </c>
      <c r="D37" s="150">
        <f>D38</f>
        <v>0</v>
      </c>
      <c r="E37" s="150" t="e">
        <f t="shared" si="0"/>
        <v>#DIV/0!</v>
      </c>
      <c r="F37" s="150">
        <f t="shared" si="1"/>
        <v>0</v>
      </c>
    </row>
    <row r="38" spans="1:6" ht="19.5" customHeight="1">
      <c r="A38" s="153">
        <v>1170105005</v>
      </c>
      <c r="B38" s="154" t="s">
        <v>199</v>
      </c>
      <c r="C38" s="155">
        <f>C39</f>
        <v>0</v>
      </c>
      <c r="D38" s="155">
        <v>0</v>
      </c>
      <c r="E38" s="155" t="e">
        <f t="shared" si="0"/>
        <v>#DIV/0!</v>
      </c>
      <c r="F38" s="155">
        <f t="shared" si="1"/>
        <v>0</v>
      </c>
    </row>
    <row r="39" spans="1:6" ht="17.25" customHeight="1" hidden="1">
      <c r="A39" s="153">
        <v>1170505005</v>
      </c>
      <c r="B39" s="158" t="s">
        <v>200</v>
      </c>
      <c r="C39" s="266">
        <v>0</v>
      </c>
      <c r="D39" s="267">
        <v>0</v>
      </c>
      <c r="E39" s="155" t="e">
        <f t="shared" si="0"/>
        <v>#DIV/0!</v>
      </c>
      <c r="F39" s="155">
        <f t="shared" si="1"/>
        <v>0</v>
      </c>
    </row>
    <row r="40" spans="1:6" s="139" customFormat="1" ht="15" customHeight="1">
      <c r="A40" s="148">
        <v>1000000000</v>
      </c>
      <c r="B40" s="149" t="s">
        <v>26</v>
      </c>
      <c r="C40" s="271">
        <f>SUM(C4,C25)</f>
        <v>4848.53</v>
      </c>
      <c r="D40" s="271">
        <f>D4+D25</f>
        <v>5742.69428</v>
      </c>
      <c r="E40" s="150">
        <f t="shared" si="0"/>
        <v>118.44196653418666</v>
      </c>
      <c r="F40" s="150">
        <f t="shared" si="1"/>
        <v>894.16428</v>
      </c>
    </row>
    <row r="41" spans="1:7" s="139" customFormat="1" ht="15.75">
      <c r="A41" s="148">
        <v>2000000000</v>
      </c>
      <c r="B41" s="149" t="s">
        <v>201</v>
      </c>
      <c r="C41" s="169">
        <f>C42+C44+C46+C47+C48+C49+C43+C45</f>
        <v>8415.8723</v>
      </c>
      <c r="D41" s="169">
        <f>D42+D44+D46+D47+D48+D49+D43+D45</f>
        <v>7928.3438400000005</v>
      </c>
      <c r="E41" s="150">
        <f t="shared" si="0"/>
        <v>94.20703591236763</v>
      </c>
      <c r="F41" s="150">
        <f t="shared" si="1"/>
        <v>-487.52846000000045</v>
      </c>
      <c r="G41" s="170"/>
    </row>
    <row r="42" spans="1:6" ht="15.75">
      <c r="A42" s="162">
        <v>2021000000</v>
      </c>
      <c r="B42" s="163" t="s">
        <v>202</v>
      </c>
      <c r="C42" s="171">
        <v>2916.8</v>
      </c>
      <c r="D42" s="272">
        <v>2916.8</v>
      </c>
      <c r="E42" s="155">
        <f t="shared" si="0"/>
        <v>100</v>
      </c>
      <c r="F42" s="155">
        <f t="shared" si="1"/>
        <v>0</v>
      </c>
    </row>
    <row r="43" spans="1:6" ht="17.25" customHeight="1" hidden="1">
      <c r="A43" s="162">
        <v>2021500200</v>
      </c>
      <c r="B43" s="163" t="s">
        <v>205</v>
      </c>
      <c r="C43" s="171">
        <v>0</v>
      </c>
      <c r="D43" s="272">
        <v>0</v>
      </c>
      <c r="E43" s="155" t="e">
        <f t="shared" si="0"/>
        <v>#DIV/0!</v>
      </c>
      <c r="F43" s="155">
        <f t="shared" si="1"/>
        <v>0</v>
      </c>
    </row>
    <row r="44" spans="1:6" ht="15.75" customHeight="1">
      <c r="A44" s="162">
        <v>2022000000</v>
      </c>
      <c r="B44" s="163" t="s">
        <v>206</v>
      </c>
      <c r="C44" s="171">
        <v>4834.2729</v>
      </c>
      <c r="D44" s="267">
        <v>4346.74444</v>
      </c>
      <c r="E44" s="155">
        <f t="shared" si="0"/>
        <v>89.91516469829413</v>
      </c>
      <c r="F44" s="155">
        <f t="shared" si="1"/>
        <v>-487.52845999999954</v>
      </c>
    </row>
    <row r="45" spans="1:6" ht="15.75" customHeight="1" hidden="1">
      <c r="A45" s="162">
        <v>2022999910</v>
      </c>
      <c r="B45" s="166" t="s">
        <v>327</v>
      </c>
      <c r="C45" s="273">
        <v>0</v>
      </c>
      <c r="D45" s="274">
        <v>0</v>
      </c>
      <c r="E45" s="155" t="e">
        <f t="shared" si="0"/>
        <v>#DIV/0!</v>
      </c>
      <c r="F45" s="155">
        <f t="shared" si="1"/>
        <v>0</v>
      </c>
    </row>
    <row r="46" spans="1:6" ht="15.75" customHeight="1">
      <c r="A46" s="162">
        <v>2023000000</v>
      </c>
      <c r="B46" s="163" t="s">
        <v>207</v>
      </c>
      <c r="C46" s="173">
        <v>206.767</v>
      </c>
      <c r="D46" s="275">
        <v>206.767</v>
      </c>
      <c r="E46" s="155">
        <f t="shared" si="0"/>
        <v>100</v>
      </c>
      <c r="F46" s="155">
        <f t="shared" si="1"/>
        <v>0</v>
      </c>
    </row>
    <row r="47" spans="1:6" ht="20.25" customHeight="1">
      <c r="A47" s="162">
        <v>2024000000</v>
      </c>
      <c r="B47" s="163" t="s">
        <v>102</v>
      </c>
      <c r="C47" s="173">
        <v>280.105</v>
      </c>
      <c r="D47" s="276">
        <v>280.105</v>
      </c>
      <c r="E47" s="155">
        <f t="shared" si="0"/>
        <v>100</v>
      </c>
      <c r="F47" s="155">
        <f t="shared" si="1"/>
        <v>0</v>
      </c>
    </row>
    <row r="48" spans="1:6" ht="20.25" customHeight="1">
      <c r="A48" s="153">
        <v>2070500010</v>
      </c>
      <c r="B48" s="163" t="s">
        <v>315</v>
      </c>
      <c r="C48" s="173">
        <v>177.9274</v>
      </c>
      <c r="D48" s="276">
        <v>177.9274</v>
      </c>
      <c r="E48" s="155">
        <f t="shared" si="0"/>
        <v>100</v>
      </c>
      <c r="F48" s="155">
        <f t="shared" si="1"/>
        <v>0</v>
      </c>
    </row>
    <row r="49" spans="1:6" ht="22.5" customHeight="1">
      <c r="A49" s="153">
        <v>2190500005</v>
      </c>
      <c r="B49" s="158" t="s">
        <v>209</v>
      </c>
      <c r="C49" s="269"/>
      <c r="D49" s="269"/>
      <c r="E49" s="150"/>
      <c r="F49" s="150">
        <f t="shared" si="1"/>
        <v>0</v>
      </c>
    </row>
    <row r="50" spans="1:6" s="139" customFormat="1" ht="20.25" customHeight="1">
      <c r="A50" s="148">
        <v>3000000000</v>
      </c>
      <c r="B50" s="157" t="s">
        <v>210</v>
      </c>
      <c r="C50" s="277">
        <v>0</v>
      </c>
      <c r="D50" s="269">
        <v>0</v>
      </c>
      <c r="E50" s="150" t="e">
        <f>SUM(D50/C50*100)</f>
        <v>#DIV/0!</v>
      </c>
      <c r="F50" s="150">
        <f t="shared" si="1"/>
        <v>0</v>
      </c>
    </row>
    <row r="51" spans="1:8" s="139" customFormat="1" ht="18" customHeight="1">
      <c r="A51" s="148"/>
      <c r="B51" s="149" t="s">
        <v>211</v>
      </c>
      <c r="C51" s="278">
        <f>C40+C41</f>
        <v>13264.402300000002</v>
      </c>
      <c r="D51" s="279">
        <f>D40+D41</f>
        <v>13671.038120000001</v>
      </c>
      <c r="E51" s="169">
        <f>SUM(D51/C51*100)</f>
        <v>103.06561736294744</v>
      </c>
      <c r="F51" s="270">
        <f t="shared" si="1"/>
        <v>406.6358199999995</v>
      </c>
      <c r="G51" s="280"/>
      <c r="H51" s="186"/>
    </row>
    <row r="52" spans="1:6" s="139" customFormat="1" ht="15.75">
      <c r="A52" s="148"/>
      <c r="B52" s="188" t="s">
        <v>212</v>
      </c>
      <c r="C52" s="270">
        <f>C51-C98</f>
        <v>-1299.6527499999975</v>
      </c>
      <c r="D52" s="270">
        <f>D51-D98</f>
        <v>770.026420000002</v>
      </c>
      <c r="E52" s="281"/>
      <c r="F52" s="281"/>
    </row>
    <row r="53" spans="1:6" ht="15.75">
      <c r="A53" s="191"/>
      <c r="B53" s="192"/>
      <c r="C53" s="282"/>
      <c r="D53" s="282"/>
      <c r="E53" s="194"/>
      <c r="F53" s="243"/>
    </row>
    <row r="54" spans="1:6" ht="45.75" customHeight="1">
      <c r="A54" s="196" t="s">
        <v>141</v>
      </c>
      <c r="B54" s="196" t="s">
        <v>213</v>
      </c>
      <c r="C54" s="145" t="s">
        <v>143</v>
      </c>
      <c r="D54" s="146" t="s">
        <v>426</v>
      </c>
      <c r="E54" s="145" t="s">
        <v>144</v>
      </c>
      <c r="F54" s="147" t="s">
        <v>145</v>
      </c>
    </row>
    <row r="55" spans="1:6" ht="15.75">
      <c r="A55" s="245">
        <v>1</v>
      </c>
      <c r="B55" s="196">
        <v>2</v>
      </c>
      <c r="C55" s="199">
        <v>3</v>
      </c>
      <c r="D55" s="199">
        <v>4</v>
      </c>
      <c r="E55" s="199">
        <v>5</v>
      </c>
      <c r="F55" s="199">
        <v>6</v>
      </c>
    </row>
    <row r="56" spans="1:6" s="139" customFormat="1" ht="29.25" customHeight="1">
      <c r="A56" s="200" t="s">
        <v>33</v>
      </c>
      <c r="B56" s="201" t="s">
        <v>214</v>
      </c>
      <c r="C56" s="281">
        <f>C57+C58+C59+C60+C61+C63+C62</f>
        <v>2102.1580000000004</v>
      </c>
      <c r="D56" s="281">
        <f>D57+D58+D59+D60+D61+D63+D62</f>
        <v>2014.5952200000002</v>
      </c>
      <c r="E56" s="202">
        <f>SUM(D56/C56*100)</f>
        <v>95.83462422900656</v>
      </c>
      <c r="F56" s="202">
        <f>SUM(D56-C56)</f>
        <v>-87.5627800000002</v>
      </c>
    </row>
    <row r="57" spans="1:6" s="139" customFormat="1" ht="31.5" hidden="1">
      <c r="A57" s="203" t="s">
        <v>215</v>
      </c>
      <c r="B57" s="204" t="s">
        <v>216</v>
      </c>
      <c r="C57" s="283"/>
      <c r="D57" s="283"/>
      <c r="E57" s="205"/>
      <c r="F57" s="205"/>
    </row>
    <row r="58" spans="1:6" ht="15.75" customHeight="1">
      <c r="A58" s="203" t="s">
        <v>217</v>
      </c>
      <c r="B58" s="206" t="s">
        <v>218</v>
      </c>
      <c r="C58" s="283">
        <v>1949.68</v>
      </c>
      <c r="D58" s="283">
        <v>1919.43722</v>
      </c>
      <c r="E58" s="205">
        <f>SUM(D58/C58*100)</f>
        <v>98.4488336547536</v>
      </c>
      <c r="F58" s="205">
        <f aca="true" t="shared" si="2" ref="F58:F87">SUM(D58-C58)</f>
        <v>-30.24278000000004</v>
      </c>
    </row>
    <row r="59" spans="1:6" ht="0.75" customHeight="1" hidden="1">
      <c r="A59" s="203" t="s">
        <v>219</v>
      </c>
      <c r="B59" s="206" t="s">
        <v>220</v>
      </c>
      <c r="C59" s="283"/>
      <c r="D59" s="283"/>
      <c r="E59" s="205"/>
      <c r="F59" s="205">
        <f t="shared" si="2"/>
        <v>0</v>
      </c>
    </row>
    <row r="60" spans="1:6" ht="31.5" customHeight="1" hidden="1">
      <c r="A60" s="203" t="s">
        <v>221</v>
      </c>
      <c r="B60" s="206" t="s">
        <v>222</v>
      </c>
      <c r="C60" s="283"/>
      <c r="D60" s="283"/>
      <c r="E60" s="205" t="e">
        <f aca="true" t="shared" si="3" ref="E60:E98">SUM(D60/C60*100)</f>
        <v>#DIV/0!</v>
      </c>
      <c r="F60" s="205">
        <f t="shared" si="2"/>
        <v>0</v>
      </c>
    </row>
    <row r="61" spans="1:6" ht="15.75" customHeight="1">
      <c r="A61" s="203" t="s">
        <v>223</v>
      </c>
      <c r="B61" s="206" t="s">
        <v>224</v>
      </c>
      <c r="C61" s="283">
        <v>13.68</v>
      </c>
      <c r="D61" s="283">
        <v>13.68</v>
      </c>
      <c r="E61" s="205">
        <f t="shared" si="3"/>
        <v>100</v>
      </c>
      <c r="F61" s="205">
        <f t="shared" si="2"/>
        <v>0</v>
      </c>
    </row>
    <row r="62" spans="1:6" ht="17.25" customHeight="1">
      <c r="A62" s="203" t="s">
        <v>225</v>
      </c>
      <c r="B62" s="206" t="s">
        <v>226</v>
      </c>
      <c r="C62" s="283">
        <v>35.32</v>
      </c>
      <c r="D62" s="281">
        <v>0</v>
      </c>
      <c r="E62" s="205">
        <f t="shared" si="3"/>
        <v>0</v>
      </c>
      <c r="F62" s="205">
        <f t="shared" si="2"/>
        <v>-35.32</v>
      </c>
    </row>
    <row r="63" spans="1:6" ht="15" customHeight="1">
      <c r="A63" s="203" t="s">
        <v>227</v>
      </c>
      <c r="B63" s="206" t="s">
        <v>228</v>
      </c>
      <c r="C63" s="283">
        <v>103.478</v>
      </c>
      <c r="D63" s="283">
        <v>81.478</v>
      </c>
      <c r="E63" s="205">
        <f t="shared" si="3"/>
        <v>78.73944220027445</v>
      </c>
      <c r="F63" s="205">
        <f t="shared" si="2"/>
        <v>-22</v>
      </c>
    </row>
    <row r="64" spans="1:6" s="139" customFormat="1" ht="15.75">
      <c r="A64" s="208" t="s">
        <v>35</v>
      </c>
      <c r="B64" s="209" t="s">
        <v>229</v>
      </c>
      <c r="C64" s="281">
        <f>C65</f>
        <v>206.767</v>
      </c>
      <c r="D64" s="281">
        <f>D65</f>
        <v>206.767</v>
      </c>
      <c r="E64" s="202">
        <f t="shared" si="3"/>
        <v>100</v>
      </c>
      <c r="F64" s="202">
        <f t="shared" si="2"/>
        <v>0</v>
      </c>
    </row>
    <row r="65" spans="1:6" ht="15.75">
      <c r="A65" s="210" t="s">
        <v>230</v>
      </c>
      <c r="B65" s="211" t="s">
        <v>231</v>
      </c>
      <c r="C65" s="283">
        <v>206.767</v>
      </c>
      <c r="D65" s="283">
        <v>206.767</v>
      </c>
      <c r="E65" s="205">
        <f t="shared" si="3"/>
        <v>100</v>
      </c>
      <c r="F65" s="205">
        <f t="shared" si="2"/>
        <v>0</v>
      </c>
    </row>
    <row r="66" spans="1:6" s="139" customFormat="1" ht="15.75" customHeight="1">
      <c r="A66" s="200" t="s">
        <v>37</v>
      </c>
      <c r="B66" s="201" t="s">
        <v>232</v>
      </c>
      <c r="C66" s="281">
        <f>C69+C70+C71</f>
        <v>18.5</v>
      </c>
      <c r="D66" s="281">
        <f>SUM(D69+D70+D71)</f>
        <v>10.71148</v>
      </c>
      <c r="E66" s="202">
        <f t="shared" si="3"/>
        <v>57.89989189189188</v>
      </c>
      <c r="F66" s="202">
        <f t="shared" si="2"/>
        <v>-7.78852</v>
      </c>
    </row>
    <row r="67" spans="1:6" ht="15.75" hidden="1">
      <c r="A67" s="203" t="s">
        <v>233</v>
      </c>
      <c r="B67" s="206" t="s">
        <v>234</v>
      </c>
      <c r="C67" s="283"/>
      <c r="D67" s="283"/>
      <c r="E67" s="202" t="e">
        <f t="shared" si="3"/>
        <v>#DIV/0!</v>
      </c>
      <c r="F67" s="202">
        <f t="shared" si="2"/>
        <v>0</v>
      </c>
    </row>
    <row r="68" spans="1:6" ht="15.75" hidden="1">
      <c r="A68" s="212" t="s">
        <v>235</v>
      </c>
      <c r="B68" s="206" t="s">
        <v>317</v>
      </c>
      <c r="C68" s="283"/>
      <c r="D68" s="283"/>
      <c r="E68" s="202" t="e">
        <f t="shared" si="3"/>
        <v>#DIV/0!</v>
      </c>
      <c r="F68" s="202">
        <f t="shared" si="2"/>
        <v>0</v>
      </c>
    </row>
    <row r="69" spans="1:6" ht="17.25" customHeight="1">
      <c r="A69" s="213" t="s">
        <v>237</v>
      </c>
      <c r="B69" s="214" t="s">
        <v>238</v>
      </c>
      <c r="C69" s="283">
        <v>3</v>
      </c>
      <c r="D69" s="283">
        <v>2.81148</v>
      </c>
      <c r="E69" s="202">
        <f t="shared" si="3"/>
        <v>93.716</v>
      </c>
      <c r="F69" s="202">
        <f t="shared" si="2"/>
        <v>-0.18852000000000002</v>
      </c>
    </row>
    <row r="70" spans="1:6" s="139" customFormat="1" ht="15.75" customHeight="1">
      <c r="A70" s="213" t="s">
        <v>239</v>
      </c>
      <c r="B70" s="214" t="s">
        <v>240</v>
      </c>
      <c r="C70" s="283">
        <v>13.5</v>
      </c>
      <c r="D70" s="283">
        <v>5.9</v>
      </c>
      <c r="E70" s="205">
        <f t="shared" si="3"/>
        <v>43.7037037037037</v>
      </c>
      <c r="F70" s="205">
        <f t="shared" si="2"/>
        <v>-7.6</v>
      </c>
    </row>
    <row r="71" spans="1:6" s="139" customFormat="1" ht="15.75" customHeight="1">
      <c r="A71" s="213" t="s">
        <v>241</v>
      </c>
      <c r="B71" s="214" t="s">
        <v>318</v>
      </c>
      <c r="C71" s="283">
        <v>2</v>
      </c>
      <c r="D71" s="283">
        <v>2</v>
      </c>
      <c r="E71" s="205">
        <f t="shared" si="3"/>
        <v>100</v>
      </c>
      <c r="F71" s="205">
        <f t="shared" si="2"/>
        <v>0</v>
      </c>
    </row>
    <row r="72" spans="1:6" ht="15.75">
      <c r="A72" s="200" t="s">
        <v>39</v>
      </c>
      <c r="B72" s="201" t="s">
        <v>243</v>
      </c>
      <c r="C72" s="251">
        <f>SUM(C73:C76)</f>
        <v>3634.16315</v>
      </c>
      <c r="D72" s="251">
        <f>SUM(D73:D76)</f>
        <v>3275.62004</v>
      </c>
      <c r="E72" s="202">
        <f t="shared" si="3"/>
        <v>90.13409428247601</v>
      </c>
      <c r="F72" s="202">
        <f t="shared" si="2"/>
        <v>-358.54311000000007</v>
      </c>
    </row>
    <row r="73" spans="1:7" s="139" customFormat="1" ht="17.25" customHeight="1">
      <c r="A73" s="203" t="s">
        <v>246</v>
      </c>
      <c r="B73" s="206" t="s">
        <v>319</v>
      </c>
      <c r="C73" s="284"/>
      <c r="D73" s="283">
        <v>0</v>
      </c>
      <c r="E73" s="205" t="e">
        <f t="shared" si="3"/>
        <v>#DIV/0!</v>
      </c>
      <c r="F73" s="205">
        <f t="shared" si="2"/>
        <v>0</v>
      </c>
      <c r="G73" s="142"/>
    </row>
    <row r="74" spans="1:6" ht="15.75">
      <c r="A74" s="203" t="s">
        <v>248</v>
      </c>
      <c r="B74" s="206" t="s">
        <v>320</v>
      </c>
      <c r="C74" s="284">
        <v>0</v>
      </c>
      <c r="D74" s="283">
        <v>0</v>
      </c>
      <c r="E74" s="205" t="e">
        <f t="shared" si="3"/>
        <v>#DIV/0!</v>
      </c>
      <c r="F74" s="205">
        <f t="shared" si="2"/>
        <v>0</v>
      </c>
    </row>
    <row r="75" spans="1:6" ht="15.75">
      <c r="A75" s="203" t="s">
        <v>250</v>
      </c>
      <c r="B75" s="206" t="s">
        <v>251</v>
      </c>
      <c r="C75" s="284">
        <v>3034.16315</v>
      </c>
      <c r="D75" s="283">
        <v>2840.12004</v>
      </c>
      <c r="E75" s="205">
        <f t="shared" si="3"/>
        <v>93.60472392527738</v>
      </c>
      <c r="F75" s="205">
        <f t="shared" si="2"/>
        <v>-194.04311000000007</v>
      </c>
    </row>
    <row r="76" spans="1:6" s="139" customFormat="1" ht="15.75">
      <c r="A76" s="203" t="s">
        <v>252</v>
      </c>
      <c r="B76" s="206" t="s">
        <v>253</v>
      </c>
      <c r="C76" s="284">
        <v>600</v>
      </c>
      <c r="D76" s="283">
        <v>435.5</v>
      </c>
      <c r="E76" s="205">
        <f t="shared" si="3"/>
        <v>72.58333333333333</v>
      </c>
      <c r="F76" s="205">
        <f t="shared" si="2"/>
        <v>-164.5</v>
      </c>
    </row>
    <row r="77" spans="1:6" ht="17.25" customHeight="1">
      <c r="A77" s="200" t="s">
        <v>41</v>
      </c>
      <c r="B77" s="201" t="s">
        <v>254</v>
      </c>
      <c r="C77" s="281">
        <f>SUM(C78:C80)</f>
        <v>6635.902899999999</v>
      </c>
      <c r="D77" s="281">
        <f>SUM(D78:D80)</f>
        <v>5467.625959999999</v>
      </c>
      <c r="E77" s="202">
        <f t="shared" si="3"/>
        <v>82.39460465884756</v>
      </c>
      <c r="F77" s="202">
        <f t="shared" si="2"/>
        <v>-1168.2769399999997</v>
      </c>
    </row>
    <row r="78" spans="1:6" ht="0.75" customHeight="1" hidden="1">
      <c r="A78" s="203" t="s">
        <v>255</v>
      </c>
      <c r="B78" s="217" t="s">
        <v>256</v>
      </c>
      <c r="C78" s="283">
        <v>0</v>
      </c>
      <c r="D78" s="283">
        <v>0</v>
      </c>
      <c r="E78" s="205" t="e">
        <f t="shared" si="3"/>
        <v>#DIV/0!</v>
      </c>
      <c r="F78" s="205">
        <f t="shared" si="2"/>
        <v>0</v>
      </c>
    </row>
    <row r="79" spans="1:6" ht="15.75" customHeight="1">
      <c r="A79" s="203" t="s">
        <v>257</v>
      </c>
      <c r="B79" s="217" t="s">
        <v>258</v>
      </c>
      <c r="C79" s="283">
        <v>4143.8839</v>
      </c>
      <c r="D79" s="283">
        <v>3370.25274</v>
      </c>
      <c r="E79" s="205">
        <f t="shared" si="3"/>
        <v>81.33077135679405</v>
      </c>
      <c r="F79" s="205">
        <f t="shared" si="2"/>
        <v>-773.6311599999999</v>
      </c>
    </row>
    <row r="80" spans="1:6" s="139" customFormat="1" ht="15.75">
      <c r="A80" s="203" t="s">
        <v>259</v>
      </c>
      <c r="B80" s="206" t="s">
        <v>260</v>
      </c>
      <c r="C80" s="283">
        <v>2492.019</v>
      </c>
      <c r="D80" s="283">
        <v>2097.37322</v>
      </c>
      <c r="E80" s="205">
        <f t="shared" si="3"/>
        <v>84.16361271723852</v>
      </c>
      <c r="F80" s="205">
        <f t="shared" si="2"/>
        <v>-394.64577999999983</v>
      </c>
    </row>
    <row r="81" spans="1:6" ht="15.75">
      <c r="A81" s="200" t="s">
        <v>47</v>
      </c>
      <c r="B81" s="201" t="s">
        <v>275</v>
      </c>
      <c r="C81" s="281">
        <f>C82</f>
        <v>1966.564</v>
      </c>
      <c r="D81" s="281">
        <f>D82</f>
        <v>1925.692</v>
      </c>
      <c r="E81" s="202">
        <f t="shared" si="3"/>
        <v>97.9216542151692</v>
      </c>
      <c r="F81" s="202">
        <f t="shared" si="2"/>
        <v>-40.87200000000007</v>
      </c>
    </row>
    <row r="82" spans="1:6" s="139" customFormat="1" ht="15" customHeight="1">
      <c r="A82" s="203" t="s">
        <v>276</v>
      </c>
      <c r="B82" s="206" t="s">
        <v>277</v>
      </c>
      <c r="C82" s="283">
        <v>1966.564</v>
      </c>
      <c r="D82" s="283">
        <v>1925.692</v>
      </c>
      <c r="E82" s="205">
        <f t="shared" si="3"/>
        <v>97.9216542151692</v>
      </c>
      <c r="F82" s="205">
        <f t="shared" si="2"/>
        <v>-40.87200000000007</v>
      </c>
    </row>
    <row r="83" spans="1:6" ht="20.25" customHeight="1" hidden="1">
      <c r="A83" s="218">
        <v>1000</v>
      </c>
      <c r="B83" s="201" t="s">
        <v>280</v>
      </c>
      <c r="C83" s="281">
        <f>SUM(C84:C87)</f>
        <v>0</v>
      </c>
      <c r="D83" s="281">
        <f>SUM(D84:D87)</f>
        <v>0</v>
      </c>
      <c r="E83" s="202" t="e">
        <f t="shared" si="3"/>
        <v>#DIV/0!</v>
      </c>
      <c r="F83" s="202">
        <f t="shared" si="2"/>
        <v>0</v>
      </c>
    </row>
    <row r="84" spans="1:6" ht="18" customHeight="1" hidden="1">
      <c r="A84" s="219">
        <v>1001</v>
      </c>
      <c r="B84" s="220" t="s">
        <v>281</v>
      </c>
      <c r="C84" s="283">
        <v>0</v>
      </c>
      <c r="D84" s="283">
        <v>0</v>
      </c>
      <c r="E84" s="205" t="e">
        <f t="shared" si="3"/>
        <v>#DIV/0!</v>
      </c>
      <c r="F84" s="205">
        <f t="shared" si="2"/>
        <v>0</v>
      </c>
    </row>
    <row r="85" spans="1:6" ht="17.25" customHeight="1" hidden="1">
      <c r="A85" s="219">
        <v>1003</v>
      </c>
      <c r="B85" s="220" t="s">
        <v>282</v>
      </c>
      <c r="C85" s="283">
        <v>0</v>
      </c>
      <c r="D85" s="283">
        <v>0</v>
      </c>
      <c r="E85" s="205" t="e">
        <f t="shared" si="3"/>
        <v>#DIV/0!</v>
      </c>
      <c r="F85" s="205">
        <f t="shared" si="2"/>
        <v>0</v>
      </c>
    </row>
    <row r="86" spans="1:6" ht="17.25" customHeight="1" hidden="1">
      <c r="A86" s="219">
        <v>1004</v>
      </c>
      <c r="B86" s="220" t="s">
        <v>283</v>
      </c>
      <c r="C86" s="283">
        <v>0</v>
      </c>
      <c r="D86" s="285">
        <v>0</v>
      </c>
      <c r="E86" s="205" t="e">
        <f t="shared" si="3"/>
        <v>#DIV/0!</v>
      </c>
      <c r="F86" s="205">
        <f t="shared" si="2"/>
        <v>0</v>
      </c>
    </row>
    <row r="87" spans="1:6" ht="21.75" customHeight="1" hidden="1">
      <c r="A87" s="203" t="s">
        <v>284</v>
      </c>
      <c r="B87" s="206" t="s">
        <v>285</v>
      </c>
      <c r="C87" s="283">
        <v>0</v>
      </c>
      <c r="D87" s="283"/>
      <c r="E87" s="205" t="e">
        <f t="shared" si="3"/>
        <v>#DIV/0!</v>
      </c>
      <c r="F87" s="205">
        <f t="shared" si="2"/>
        <v>0</v>
      </c>
    </row>
    <row r="88" spans="1:6" ht="15.75">
      <c r="A88" s="200" t="s">
        <v>51</v>
      </c>
      <c r="B88" s="201" t="s">
        <v>286</v>
      </c>
      <c r="C88" s="281">
        <f>C89+C90+C91+C92+C93</f>
        <v>0</v>
      </c>
      <c r="D88" s="281">
        <f>D89+D90+D91+D92+D93</f>
        <v>0</v>
      </c>
      <c r="E88" s="205" t="e">
        <f t="shared" si="3"/>
        <v>#DIV/0!</v>
      </c>
      <c r="F88" s="190">
        <f>F89+F90+F91+F92+F93</f>
        <v>0</v>
      </c>
    </row>
    <row r="89" spans="1:6" ht="15.75" customHeight="1">
      <c r="A89" s="203" t="s">
        <v>287</v>
      </c>
      <c r="B89" s="206" t="s">
        <v>288</v>
      </c>
      <c r="C89" s="283"/>
      <c r="D89" s="283">
        <v>0</v>
      </c>
      <c r="E89" s="205" t="e">
        <f t="shared" si="3"/>
        <v>#DIV/0!</v>
      </c>
      <c r="F89" s="205">
        <f>SUM(D89-C89)</f>
        <v>0</v>
      </c>
    </row>
    <row r="90" spans="1:6" ht="15" customHeight="1" hidden="1">
      <c r="A90" s="203" t="s">
        <v>289</v>
      </c>
      <c r="B90" s="206" t="s">
        <v>290</v>
      </c>
      <c r="C90" s="283"/>
      <c r="D90" s="283"/>
      <c r="E90" s="205" t="e">
        <f t="shared" si="3"/>
        <v>#DIV/0!</v>
      </c>
      <c r="F90" s="205">
        <f>SUM(D90-C90)</f>
        <v>0</v>
      </c>
    </row>
    <row r="91" spans="1:6" ht="15" customHeight="1" hidden="1">
      <c r="A91" s="203" t="s">
        <v>291</v>
      </c>
      <c r="B91" s="206" t="s">
        <v>292</v>
      </c>
      <c r="C91" s="283"/>
      <c r="D91" s="283"/>
      <c r="E91" s="205" t="e">
        <f t="shared" si="3"/>
        <v>#DIV/0!</v>
      </c>
      <c r="F91" s="205"/>
    </row>
    <row r="92" spans="1:6" ht="15" customHeight="1" hidden="1">
      <c r="A92" s="203" t="s">
        <v>293</v>
      </c>
      <c r="B92" s="206" t="s">
        <v>294</v>
      </c>
      <c r="C92" s="283"/>
      <c r="D92" s="283"/>
      <c r="E92" s="205" t="e">
        <f t="shared" si="3"/>
        <v>#DIV/0!</v>
      </c>
      <c r="F92" s="205"/>
    </row>
    <row r="93" spans="1:6" s="139" customFormat="1" ht="15" customHeight="1" hidden="1">
      <c r="A93" s="203" t="s">
        <v>295</v>
      </c>
      <c r="B93" s="206" t="s">
        <v>296</v>
      </c>
      <c r="C93" s="283"/>
      <c r="D93" s="283"/>
      <c r="E93" s="205" t="e">
        <f t="shared" si="3"/>
        <v>#DIV/0!</v>
      </c>
      <c r="F93" s="205"/>
    </row>
    <row r="94" spans="1:6" ht="18.75" customHeight="1" hidden="1">
      <c r="A94" s="218">
        <v>1400</v>
      </c>
      <c r="B94" s="222" t="s">
        <v>303</v>
      </c>
      <c r="C94" s="251">
        <f>C95+C96+C97</f>
        <v>0</v>
      </c>
      <c r="D94" s="251">
        <f>SUM(D95:D97)</f>
        <v>0</v>
      </c>
      <c r="E94" s="202" t="e">
        <f t="shared" si="3"/>
        <v>#DIV/0!</v>
      </c>
      <c r="F94" s="202">
        <f>SUM(D94-C94)</f>
        <v>0</v>
      </c>
    </row>
    <row r="95" spans="1:6" ht="18" customHeight="1" hidden="1">
      <c r="A95" s="219">
        <v>1401</v>
      </c>
      <c r="B95" s="220" t="s">
        <v>304</v>
      </c>
      <c r="C95" s="284"/>
      <c r="D95" s="283"/>
      <c r="E95" s="205" t="e">
        <f t="shared" si="3"/>
        <v>#DIV/0!</v>
      </c>
      <c r="F95" s="205">
        <f>SUM(D95-C95)</f>
        <v>0</v>
      </c>
    </row>
    <row r="96" spans="1:6" ht="18" customHeight="1" hidden="1">
      <c r="A96" s="219">
        <v>1402</v>
      </c>
      <c r="B96" s="220" t="s">
        <v>305</v>
      </c>
      <c r="C96" s="284"/>
      <c r="D96" s="283"/>
      <c r="E96" s="205" t="e">
        <f t="shared" si="3"/>
        <v>#DIV/0!</v>
      </c>
      <c r="F96" s="205">
        <f>SUM(D96-C96)</f>
        <v>0</v>
      </c>
    </row>
    <row r="97" spans="1:6" s="139" customFormat="1" ht="18" customHeight="1" hidden="1">
      <c r="A97" s="219">
        <v>1403</v>
      </c>
      <c r="B97" s="220" t="s">
        <v>306</v>
      </c>
      <c r="C97" s="284"/>
      <c r="D97" s="283"/>
      <c r="E97" s="205" t="e">
        <f t="shared" si="3"/>
        <v>#DIV/0!</v>
      </c>
      <c r="F97" s="205">
        <f>SUM(D97-C97)</f>
        <v>0</v>
      </c>
    </row>
    <row r="98" spans="1:6" ht="15" customHeight="1">
      <c r="A98" s="218"/>
      <c r="B98" s="223" t="s">
        <v>307</v>
      </c>
      <c r="C98" s="278">
        <f>C56+C64+C66+C72+C77+C81+C83+C88+C94</f>
        <v>14564.055049999999</v>
      </c>
      <c r="D98" s="278">
        <f>D56+D64+D66+D72+D77+D81+D83+D88+D94</f>
        <v>12901.0117</v>
      </c>
      <c r="E98" s="202">
        <f t="shared" si="3"/>
        <v>88.58117918196142</v>
      </c>
      <c r="F98" s="202">
        <f>SUM(D98-C98)</f>
        <v>-1663.04335</v>
      </c>
    </row>
    <row r="99" spans="1:4" s="143" customFormat="1" ht="22.5" customHeight="1">
      <c r="A99" s="228" t="s">
        <v>308</v>
      </c>
      <c r="B99" s="228"/>
      <c r="C99" s="229"/>
      <c r="D99" s="229"/>
    </row>
    <row r="100" spans="1:6" ht="16.5" customHeight="1">
      <c r="A100" s="230" t="s">
        <v>309</v>
      </c>
      <c r="B100" s="230"/>
      <c r="C100" s="229" t="s">
        <v>310</v>
      </c>
      <c r="D100" s="229"/>
      <c r="E100" s="143"/>
      <c r="F100" s="143"/>
    </row>
    <row r="101" ht="20.25" customHeight="1">
      <c r="C101" s="264"/>
    </row>
    <row r="102" ht="13.5" customHeight="1"/>
    <row r="103" ht="5.25" customHeight="1"/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view="pageBreakPreview" zoomScale="70" zoomScaleSheetLayoutView="70" zoomScalePageLayoutView="0" workbookViewId="0" topLeftCell="A25">
      <selection activeCell="C90" sqref="C90"/>
    </sheetView>
  </sheetViews>
  <sheetFormatPr defaultColWidth="9.140625" defaultRowHeight="12.75"/>
  <cols>
    <col min="1" max="1" width="14.7109375" style="135" customWidth="1"/>
    <col min="2" max="2" width="58.140625" style="136" customWidth="1"/>
    <col min="3" max="3" width="18.8515625" style="137" customWidth="1"/>
    <col min="4" max="4" width="16.421875" style="137" customWidth="1"/>
    <col min="5" max="5" width="12.57421875" style="137" customWidth="1"/>
    <col min="6" max="6" width="13.7109375" style="137" customWidth="1"/>
    <col min="7" max="7" width="19.140625" style="138" customWidth="1"/>
    <col min="8" max="16384" width="9.140625" style="138" customWidth="1"/>
  </cols>
  <sheetData>
    <row r="1" spans="1:6" ht="12.75" customHeight="1">
      <c r="A1" s="469" t="s">
        <v>431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C5+C12+C14+C17+C20+C7</f>
        <v>5006.5199999999995</v>
      </c>
      <c r="D4" s="150">
        <f>D5+D12+D14+D7+D20+D17</f>
        <v>6110.906550000001</v>
      </c>
      <c r="E4" s="150">
        <f aca="true" t="shared" si="0" ref="E4:E36">SUM(D4/C4*100)</f>
        <v>122.05896610819494</v>
      </c>
      <c r="F4" s="150">
        <f aca="true" t="shared" si="1" ref="F4:F52">SUM(D4-C4)</f>
        <v>1104.386550000001</v>
      </c>
    </row>
    <row r="5" spans="1:6" s="139" customFormat="1" ht="15.75">
      <c r="A5" s="151">
        <v>1010000000</v>
      </c>
      <c r="B5" s="152" t="s">
        <v>146</v>
      </c>
      <c r="C5" s="150">
        <f>C6</f>
        <v>1988.4</v>
      </c>
      <c r="D5" s="150">
        <f>D6</f>
        <v>2167.88047</v>
      </c>
      <c r="E5" s="150">
        <f t="shared" si="0"/>
        <v>109.02637648360492</v>
      </c>
      <c r="F5" s="150">
        <f t="shared" si="1"/>
        <v>179.48046999999997</v>
      </c>
    </row>
    <row r="6" spans="1:6" ht="15.75">
      <c r="A6" s="153">
        <v>1010200001</v>
      </c>
      <c r="B6" s="154" t="s">
        <v>147</v>
      </c>
      <c r="C6" s="286">
        <v>1988.4</v>
      </c>
      <c r="D6" s="156">
        <v>2167.88047</v>
      </c>
      <c r="E6" s="155">
        <f t="shared" si="0"/>
        <v>109.02637648360492</v>
      </c>
      <c r="F6" s="155">
        <f t="shared" si="1"/>
        <v>179.48046999999997</v>
      </c>
    </row>
    <row r="7" spans="1:6" ht="15.75">
      <c r="A7" s="148">
        <v>1030200001</v>
      </c>
      <c r="B7" s="157" t="s">
        <v>339</v>
      </c>
      <c r="C7" s="150">
        <f>C8+C10+C9</f>
        <v>398.11999999999995</v>
      </c>
      <c r="D7" s="150">
        <f>D8+D9+D10+D11</f>
        <v>447.23692000000005</v>
      </c>
      <c r="E7" s="155">
        <f t="shared" si="0"/>
        <v>112.33721491007739</v>
      </c>
      <c r="F7" s="155">
        <f t="shared" si="1"/>
        <v>49.11692000000011</v>
      </c>
    </row>
    <row r="8" spans="1:6" ht="15.75">
      <c r="A8" s="153">
        <v>1030223001</v>
      </c>
      <c r="B8" s="154" t="s">
        <v>149</v>
      </c>
      <c r="C8" s="155">
        <v>148.5</v>
      </c>
      <c r="D8" s="156">
        <v>206.47121</v>
      </c>
      <c r="E8" s="155">
        <f t="shared" si="0"/>
        <v>139.03785185185185</v>
      </c>
      <c r="F8" s="155">
        <f t="shared" si="1"/>
        <v>57.97121000000001</v>
      </c>
    </row>
    <row r="9" spans="1:6" ht="15.75">
      <c r="A9" s="153">
        <v>1030224001</v>
      </c>
      <c r="B9" s="154" t="s">
        <v>150</v>
      </c>
      <c r="C9" s="155">
        <v>1.59</v>
      </c>
      <c r="D9" s="156">
        <v>1.45205</v>
      </c>
      <c r="E9" s="155">
        <f t="shared" si="0"/>
        <v>91.32389937106919</v>
      </c>
      <c r="F9" s="155">
        <f t="shared" si="1"/>
        <v>-0.13795000000000002</v>
      </c>
    </row>
    <row r="10" spans="1:6" ht="15.75">
      <c r="A10" s="153">
        <v>1030225001</v>
      </c>
      <c r="B10" s="154" t="s">
        <v>151</v>
      </c>
      <c r="C10" s="155">
        <v>248.03</v>
      </c>
      <c r="D10" s="156">
        <v>274.52229</v>
      </c>
      <c r="E10" s="155">
        <f t="shared" si="0"/>
        <v>110.68108293351611</v>
      </c>
      <c r="F10" s="155">
        <f t="shared" si="1"/>
        <v>26.492289999999997</v>
      </c>
    </row>
    <row r="11" spans="1:6" ht="15.75">
      <c r="A11" s="153">
        <v>1030226001</v>
      </c>
      <c r="B11" s="154" t="s">
        <v>152</v>
      </c>
      <c r="C11" s="155">
        <v>0</v>
      </c>
      <c r="D11" s="156">
        <v>-35.20863</v>
      </c>
      <c r="E11" s="155" t="e">
        <f t="shared" si="0"/>
        <v>#DIV/0!</v>
      </c>
      <c r="F11" s="155">
        <f t="shared" si="1"/>
        <v>-35.20863</v>
      </c>
    </row>
    <row r="12" spans="1:6" s="139" customFormat="1" ht="15" customHeight="1">
      <c r="A12" s="151">
        <v>1050000000</v>
      </c>
      <c r="B12" s="152" t="s">
        <v>153</v>
      </c>
      <c r="C12" s="150">
        <f>SUM(C13:C13)</f>
        <v>70</v>
      </c>
      <c r="D12" s="150">
        <f>SUM(D13:D13)</f>
        <v>68.81839</v>
      </c>
      <c r="E12" s="150">
        <f t="shared" si="0"/>
        <v>98.31198571428571</v>
      </c>
      <c r="F12" s="150">
        <f t="shared" si="1"/>
        <v>-1.1816100000000063</v>
      </c>
    </row>
    <row r="13" spans="1:6" ht="15.75" customHeight="1">
      <c r="A13" s="153">
        <v>1050300000</v>
      </c>
      <c r="B13" s="158" t="s">
        <v>156</v>
      </c>
      <c r="C13" s="159">
        <v>70</v>
      </c>
      <c r="D13" s="156">
        <v>68.81839</v>
      </c>
      <c r="E13" s="155">
        <f t="shared" si="0"/>
        <v>98.31198571428571</v>
      </c>
      <c r="F13" s="155">
        <f t="shared" si="1"/>
        <v>-1.1816100000000063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2550</v>
      </c>
      <c r="D14" s="150">
        <f>D15+D16</f>
        <v>3426.97077</v>
      </c>
      <c r="E14" s="150">
        <f t="shared" si="0"/>
        <v>134.39101058823528</v>
      </c>
      <c r="F14" s="150">
        <f t="shared" si="1"/>
        <v>876.9707699999999</v>
      </c>
    </row>
    <row r="15" spans="1:6" s="139" customFormat="1" ht="15" customHeight="1">
      <c r="A15" s="153">
        <v>1060100000</v>
      </c>
      <c r="B15" s="158" t="s">
        <v>340</v>
      </c>
      <c r="C15" s="155">
        <v>1000</v>
      </c>
      <c r="D15" s="156">
        <v>1280.89756</v>
      </c>
      <c r="E15" s="155">
        <f t="shared" si="0"/>
        <v>128.08975600000002</v>
      </c>
      <c r="F15" s="155">
        <f t="shared" si="1"/>
        <v>280.8975600000001</v>
      </c>
    </row>
    <row r="16" spans="1:6" ht="17.25" customHeight="1">
      <c r="A16" s="153">
        <v>1060600000</v>
      </c>
      <c r="B16" s="158" t="s">
        <v>162</v>
      </c>
      <c r="C16" s="155">
        <v>1550</v>
      </c>
      <c r="D16" s="156">
        <v>2146.07321</v>
      </c>
      <c r="E16" s="155">
        <f t="shared" si="0"/>
        <v>138.45633612903225</v>
      </c>
      <c r="F16" s="155">
        <f t="shared" si="1"/>
        <v>596.07321</v>
      </c>
    </row>
    <row r="17" spans="1:6" s="139" customFormat="1" ht="0.75" customHeight="1" hidden="1">
      <c r="A17" s="148">
        <v>1080000000</v>
      </c>
      <c r="B17" s="149" t="s">
        <v>165</v>
      </c>
      <c r="C17" s="150">
        <f>C18</f>
        <v>0</v>
      </c>
      <c r="D17" s="150">
        <f>D18</f>
        <v>0</v>
      </c>
      <c r="E17" s="150" t="e">
        <f t="shared" si="0"/>
        <v>#DIV/0!</v>
      </c>
      <c r="F17" s="150">
        <f t="shared" si="1"/>
        <v>0</v>
      </c>
    </row>
    <row r="18" spans="1:6" ht="15.75" customHeight="1" hidden="1">
      <c r="A18" s="153">
        <v>1080400001</v>
      </c>
      <c r="B18" s="154" t="s">
        <v>167</v>
      </c>
      <c r="C18" s="155">
        <v>0</v>
      </c>
      <c r="D18" s="156">
        <v>0</v>
      </c>
      <c r="E18" s="155" t="e">
        <f t="shared" si="0"/>
        <v>#DIV/0!</v>
      </c>
      <c r="F18" s="155">
        <f t="shared" si="1"/>
        <v>0</v>
      </c>
    </row>
    <row r="19" spans="1:6" ht="47.25" customHeight="1" hidden="1">
      <c r="A19" s="153">
        <v>1080714001</v>
      </c>
      <c r="B19" s="154" t="s">
        <v>321</v>
      </c>
      <c r="C19" s="155">
        <v>0</v>
      </c>
      <c r="D19" s="156">
        <v>0</v>
      </c>
      <c r="E19" s="155" t="e">
        <f t="shared" si="0"/>
        <v>#DIV/0!</v>
      </c>
      <c r="F19" s="155">
        <f t="shared" si="1"/>
        <v>0</v>
      </c>
    </row>
    <row r="20" spans="1:6" s="140" customFormat="1" ht="29.25" customHeight="1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0.75" customHeight="1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18.75" customHeight="1" hidden="1">
      <c r="A22" s="153">
        <v>1090400000</v>
      </c>
      <c r="B22" s="154" t="s">
        <v>341</v>
      </c>
      <c r="C22" s="155">
        <v>0</v>
      </c>
      <c r="D22" s="156">
        <v>0</v>
      </c>
      <c r="E22" s="155" t="e">
        <f t="shared" si="0"/>
        <v>#DIV/0!</v>
      </c>
      <c r="F22" s="155">
        <f t="shared" si="1"/>
        <v>0</v>
      </c>
    </row>
    <row r="23" spans="1:6" s="140" customFormat="1" ht="1.5" customHeight="1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16.5" customHeight="1" hidden="1">
      <c r="A24" s="153">
        <v>1090700000</v>
      </c>
      <c r="B24" s="154" t="s">
        <v>173</v>
      </c>
      <c r="C24" s="155">
        <v>0</v>
      </c>
      <c r="D24" s="156">
        <v>0</v>
      </c>
      <c r="E24" s="155" t="e">
        <f t="shared" si="0"/>
        <v>#DIV/0!</v>
      </c>
      <c r="F24" s="155">
        <f t="shared" si="1"/>
        <v>0</v>
      </c>
    </row>
    <row r="25" spans="1:6" s="139" customFormat="1" ht="20.25" customHeight="1">
      <c r="A25" s="148"/>
      <c r="B25" s="149" t="s">
        <v>17</v>
      </c>
      <c r="C25" s="150">
        <f>C26+C29+C31+C34+C37</f>
        <v>0</v>
      </c>
      <c r="D25" s="150">
        <f>D26+D29+D31+D34+D37</f>
        <v>111.09599</v>
      </c>
      <c r="E25" s="150" t="e">
        <f t="shared" si="0"/>
        <v>#DIV/0!</v>
      </c>
      <c r="F25" s="150">
        <f t="shared" si="1"/>
        <v>111.09599</v>
      </c>
    </row>
    <row r="26" spans="1:6" s="139" customFormat="1" ht="32.25" customHeight="1">
      <c r="A26" s="151">
        <v>1110000000</v>
      </c>
      <c r="B26" s="160" t="s">
        <v>174</v>
      </c>
      <c r="C26" s="150">
        <f>C27+C28</f>
        <v>0</v>
      </c>
      <c r="D26" s="150">
        <f>D27+D28</f>
        <v>0</v>
      </c>
      <c r="E26" s="150" t="e">
        <f t="shared" si="0"/>
        <v>#DIV/0!</v>
      </c>
      <c r="F26" s="150">
        <f t="shared" si="1"/>
        <v>0</v>
      </c>
    </row>
    <row r="27" spans="1:6" ht="17.25" customHeight="1" hidden="1">
      <c r="A27" s="162">
        <v>1110502501</v>
      </c>
      <c r="B27" s="163" t="s">
        <v>177</v>
      </c>
      <c r="C27" s="159">
        <v>0</v>
      </c>
      <c r="D27" s="156">
        <v>0</v>
      </c>
      <c r="E27" s="155" t="e">
        <f t="shared" si="0"/>
        <v>#DIV/0!</v>
      </c>
      <c r="F27" s="155">
        <f t="shared" si="1"/>
        <v>0</v>
      </c>
    </row>
    <row r="28" spans="1:6" ht="15.75">
      <c r="A28" s="153">
        <v>1110503505</v>
      </c>
      <c r="B28" s="158" t="s">
        <v>178</v>
      </c>
      <c r="C28" s="159">
        <v>0</v>
      </c>
      <c r="D28" s="156">
        <v>0</v>
      </c>
      <c r="E28" s="155" t="e">
        <f t="shared" si="0"/>
        <v>#DIV/0!</v>
      </c>
      <c r="F28" s="155">
        <f t="shared" si="1"/>
        <v>0</v>
      </c>
    </row>
    <row r="29" spans="1:6" s="140" customFormat="1" ht="29.25">
      <c r="A29" s="151">
        <v>1130000000</v>
      </c>
      <c r="B29" s="160" t="s">
        <v>185</v>
      </c>
      <c r="C29" s="150">
        <f>C30</f>
        <v>0</v>
      </c>
      <c r="D29" s="150">
        <f>D30</f>
        <v>0</v>
      </c>
      <c r="E29" s="150" t="e">
        <f t="shared" si="0"/>
        <v>#DIV/0!</v>
      </c>
      <c r="F29" s="150">
        <f t="shared" si="1"/>
        <v>0</v>
      </c>
    </row>
    <row r="30" spans="1:6" ht="15.75">
      <c r="A30" s="153">
        <v>1130206005</v>
      </c>
      <c r="B30" s="154" t="s">
        <v>187</v>
      </c>
      <c r="C30" s="155">
        <v>0</v>
      </c>
      <c r="D30" s="156">
        <v>0</v>
      </c>
      <c r="E30" s="155" t="e">
        <f t="shared" si="0"/>
        <v>#DIV/0!</v>
      </c>
      <c r="F30" s="155">
        <f t="shared" si="1"/>
        <v>0</v>
      </c>
    </row>
    <row r="31" spans="1:6" ht="24" customHeight="1">
      <c r="A31" s="164">
        <v>1140000000</v>
      </c>
      <c r="B31" s="165" t="s">
        <v>188</v>
      </c>
      <c r="C31" s="150">
        <f>C32+C33</f>
        <v>0</v>
      </c>
      <c r="D31" s="150">
        <f>D32+D33</f>
        <v>23.9314</v>
      </c>
      <c r="E31" s="150" t="e">
        <f t="shared" si="0"/>
        <v>#DIV/0!</v>
      </c>
      <c r="F31" s="150">
        <f t="shared" si="1"/>
        <v>23.9314</v>
      </c>
    </row>
    <row r="32" spans="1:6" ht="25.5" customHeight="1">
      <c r="A32" s="162">
        <v>1140200000</v>
      </c>
      <c r="B32" s="166" t="s">
        <v>324</v>
      </c>
      <c r="C32" s="155">
        <v>0</v>
      </c>
      <c r="D32" s="156">
        <v>23.9314</v>
      </c>
      <c r="E32" s="155" t="e">
        <f t="shared" si="0"/>
        <v>#DIV/0!</v>
      </c>
      <c r="F32" s="155">
        <f t="shared" si="1"/>
        <v>23.9314</v>
      </c>
    </row>
    <row r="33" spans="1:6" ht="13.5" customHeight="1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39.75" customHeight="1">
      <c r="A34" s="148">
        <v>1160000000</v>
      </c>
      <c r="B34" s="157" t="s">
        <v>325</v>
      </c>
      <c r="C34" s="150">
        <f>C36</f>
        <v>0</v>
      </c>
      <c r="D34" s="161">
        <f>D36+D35</f>
        <v>87.16459</v>
      </c>
      <c r="E34" s="150" t="e">
        <f t="shared" si="0"/>
        <v>#DIV/0!</v>
      </c>
      <c r="F34" s="150">
        <f t="shared" si="1"/>
        <v>87.16459</v>
      </c>
    </row>
    <row r="35" spans="1:6" ht="39.75" customHeight="1">
      <c r="A35" s="153">
        <v>11610120000</v>
      </c>
      <c r="B35" s="154" t="s">
        <v>423</v>
      </c>
      <c r="C35" s="155"/>
      <c r="D35" s="156">
        <v>-0.125</v>
      </c>
      <c r="E35" s="155"/>
      <c r="F35" s="155"/>
    </row>
    <row r="36" spans="1:6" ht="63">
      <c r="A36" s="153">
        <v>1160700000</v>
      </c>
      <c r="B36" s="154" t="s">
        <v>342</v>
      </c>
      <c r="C36" s="155">
        <v>0</v>
      </c>
      <c r="D36" s="156">
        <v>87.28959</v>
      </c>
      <c r="E36" s="155" t="e">
        <f t="shared" si="0"/>
        <v>#DIV/0!</v>
      </c>
      <c r="F36" s="155">
        <f t="shared" si="1"/>
        <v>87.28959</v>
      </c>
    </row>
    <row r="37" spans="1:6" ht="20.25" customHeight="1">
      <c r="A37" s="148">
        <v>1170000000</v>
      </c>
      <c r="B37" s="157" t="s">
        <v>198</v>
      </c>
      <c r="C37" s="150">
        <f>C38+C39</f>
        <v>0</v>
      </c>
      <c r="D37" s="150">
        <f>D38+D39</f>
        <v>0</v>
      </c>
      <c r="E37" s="150">
        <v>0</v>
      </c>
      <c r="F37" s="150">
        <f t="shared" si="1"/>
        <v>0</v>
      </c>
    </row>
    <row r="38" spans="1:6" ht="15" customHeight="1" hidden="1">
      <c r="A38" s="153">
        <v>1170105005</v>
      </c>
      <c r="B38" s="154" t="s">
        <v>199</v>
      </c>
      <c r="C38" s="155">
        <v>0</v>
      </c>
      <c r="D38" s="155">
        <v>0</v>
      </c>
      <c r="E38" s="155">
        <v>0</v>
      </c>
      <c r="F38" s="155">
        <f t="shared" si="1"/>
        <v>0</v>
      </c>
    </row>
    <row r="39" spans="1:6" ht="15" customHeight="1">
      <c r="A39" s="153">
        <v>1170505005</v>
      </c>
      <c r="B39" s="158" t="s">
        <v>200</v>
      </c>
      <c r="C39" s="155">
        <v>0</v>
      </c>
      <c r="D39" s="156">
        <v>0</v>
      </c>
      <c r="E39" s="155">
        <v>0</v>
      </c>
      <c r="F39" s="155">
        <f t="shared" si="1"/>
        <v>0</v>
      </c>
    </row>
    <row r="40" spans="1:6" s="139" customFormat="1" ht="18" customHeight="1">
      <c r="A40" s="148">
        <v>1000000000</v>
      </c>
      <c r="B40" s="149" t="s">
        <v>26</v>
      </c>
      <c r="C40" s="168">
        <f>SUM(C4,C25)</f>
        <v>5006.5199999999995</v>
      </c>
      <c r="D40" s="168">
        <f>D4+D25</f>
        <v>6222.00254</v>
      </c>
      <c r="E40" s="150">
        <f aca="true" t="shared" si="2" ref="E40:E52">SUM(D40/C40*100)</f>
        <v>124.27799229804337</v>
      </c>
      <c r="F40" s="150">
        <f t="shared" si="1"/>
        <v>1215.4825400000009</v>
      </c>
    </row>
    <row r="41" spans="1:7" s="139" customFormat="1" ht="15.75">
      <c r="A41" s="148">
        <v>2000000000</v>
      </c>
      <c r="B41" s="149" t="s">
        <v>201</v>
      </c>
      <c r="C41" s="240">
        <f>C42+C44+C46+C47+C48+C50+C43+C45+C49</f>
        <v>19016.51083</v>
      </c>
      <c r="D41" s="189">
        <f>D42+D44+D46+D47+D48+D50+D43+D49</f>
        <v>14245.98148</v>
      </c>
      <c r="E41" s="150">
        <f t="shared" si="2"/>
        <v>74.91375051581952</v>
      </c>
      <c r="F41" s="150">
        <f t="shared" si="1"/>
        <v>-4770.529349999999</v>
      </c>
      <c r="G41" s="170"/>
    </row>
    <row r="42" spans="1:6" ht="17.25" customHeight="1">
      <c r="A42" s="162">
        <v>2021000000</v>
      </c>
      <c r="B42" s="163" t="s">
        <v>202</v>
      </c>
      <c r="C42" s="159">
        <v>8831.9</v>
      </c>
      <c r="D42" s="172">
        <v>8831.9</v>
      </c>
      <c r="E42" s="155">
        <f t="shared" si="2"/>
        <v>100</v>
      </c>
      <c r="F42" s="155">
        <f t="shared" si="1"/>
        <v>0</v>
      </c>
    </row>
    <row r="43" spans="1:6" ht="15" customHeight="1">
      <c r="A43" s="162">
        <v>2021500210</v>
      </c>
      <c r="B43" s="163" t="s">
        <v>205</v>
      </c>
      <c r="C43" s="159">
        <v>0</v>
      </c>
      <c r="D43" s="172">
        <v>0</v>
      </c>
      <c r="E43" s="155" t="e">
        <f t="shared" si="2"/>
        <v>#DIV/0!</v>
      </c>
      <c r="F43" s="155">
        <f t="shared" si="1"/>
        <v>0</v>
      </c>
    </row>
    <row r="44" spans="1:6" ht="17.25" customHeight="1">
      <c r="A44" s="162">
        <v>2022000000</v>
      </c>
      <c r="B44" s="163" t="s">
        <v>206</v>
      </c>
      <c r="C44" s="287">
        <v>9757.53173</v>
      </c>
      <c r="D44" s="156">
        <v>5512.246</v>
      </c>
      <c r="E44" s="155">
        <f t="shared" si="2"/>
        <v>56.49221701275472</v>
      </c>
      <c r="F44" s="155">
        <f t="shared" si="1"/>
        <v>-4245.2857300000005</v>
      </c>
    </row>
    <row r="45" spans="1:6" ht="15" customHeight="1" hidden="1">
      <c r="A45" s="162">
        <v>2022999910</v>
      </c>
      <c r="B45" s="166" t="s">
        <v>327</v>
      </c>
      <c r="C45" s="287">
        <v>0</v>
      </c>
      <c r="D45" s="156">
        <v>0</v>
      </c>
      <c r="E45" s="155" t="e">
        <f t="shared" si="2"/>
        <v>#DIV/0!</v>
      </c>
      <c r="F45" s="155">
        <f t="shared" si="1"/>
        <v>0</v>
      </c>
    </row>
    <row r="46" spans="1:6" ht="16.5" customHeight="1">
      <c r="A46" s="162">
        <v>2023000000</v>
      </c>
      <c r="B46" s="163" t="s">
        <v>207</v>
      </c>
      <c r="C46" s="159">
        <v>67.0441</v>
      </c>
      <c r="D46" s="174">
        <v>67.0307</v>
      </c>
      <c r="E46" s="155">
        <f t="shared" si="2"/>
        <v>99.98001315552003</v>
      </c>
      <c r="F46" s="155">
        <f t="shared" si="1"/>
        <v>-0.013400000000004297</v>
      </c>
    </row>
    <row r="47" spans="1:6" ht="15.75" customHeight="1">
      <c r="A47" s="162">
        <v>2024000000</v>
      </c>
      <c r="B47" s="163" t="s">
        <v>102</v>
      </c>
      <c r="C47" s="159">
        <v>360.035</v>
      </c>
      <c r="D47" s="175">
        <v>302.6</v>
      </c>
      <c r="E47" s="155">
        <f t="shared" si="2"/>
        <v>84.04738428208368</v>
      </c>
      <c r="F47" s="155">
        <f t="shared" si="1"/>
        <v>-57.435</v>
      </c>
    </row>
    <row r="48" spans="1:6" ht="17.25" customHeight="1">
      <c r="A48" s="162">
        <v>2020900000</v>
      </c>
      <c r="B48" s="166" t="s">
        <v>343</v>
      </c>
      <c r="C48" s="159"/>
      <c r="D48" s="175"/>
      <c r="E48" s="155" t="e">
        <f t="shared" si="2"/>
        <v>#DIV/0!</v>
      </c>
      <c r="F48" s="155">
        <f t="shared" si="1"/>
        <v>0</v>
      </c>
    </row>
    <row r="49" spans="1:6" ht="18" customHeight="1">
      <c r="A49" s="153">
        <v>2070500010</v>
      </c>
      <c r="B49" s="166" t="s">
        <v>344</v>
      </c>
      <c r="C49" s="159">
        <v>0</v>
      </c>
      <c r="D49" s="175"/>
      <c r="E49" s="155" t="e">
        <f t="shared" si="2"/>
        <v>#DIV/0!</v>
      </c>
      <c r="F49" s="155">
        <f t="shared" si="1"/>
        <v>0</v>
      </c>
    </row>
    <row r="50" spans="1:6" ht="14.25" customHeight="1">
      <c r="A50" s="153">
        <v>2190500005</v>
      </c>
      <c r="B50" s="158" t="s">
        <v>209</v>
      </c>
      <c r="C50" s="161">
        <v>0</v>
      </c>
      <c r="D50" s="161">
        <v>-467.79522</v>
      </c>
      <c r="E50" s="155" t="e">
        <f t="shared" si="2"/>
        <v>#DIV/0!</v>
      </c>
      <c r="F50" s="155">
        <f t="shared" si="1"/>
        <v>-467.79522</v>
      </c>
    </row>
    <row r="51" spans="1:6" s="139" customFormat="1" ht="14.25" customHeight="1">
      <c r="A51" s="148">
        <v>3000000000</v>
      </c>
      <c r="B51" s="157" t="s">
        <v>210</v>
      </c>
      <c r="C51" s="260">
        <v>0</v>
      </c>
      <c r="D51" s="161">
        <v>0</v>
      </c>
      <c r="E51" s="155" t="e">
        <f t="shared" si="2"/>
        <v>#DIV/0!</v>
      </c>
      <c r="F51" s="155">
        <f t="shared" si="1"/>
        <v>0</v>
      </c>
    </row>
    <row r="52" spans="1:7" s="139" customFormat="1" ht="15" customHeight="1">
      <c r="A52" s="148"/>
      <c r="B52" s="149" t="s">
        <v>211</v>
      </c>
      <c r="C52" s="288">
        <f>SUM(C40+C41)</f>
        <v>24023.03083</v>
      </c>
      <c r="D52" s="279">
        <f>D40+D41</f>
        <v>20467.98402</v>
      </c>
      <c r="E52" s="270">
        <f t="shared" si="2"/>
        <v>85.20150585845126</v>
      </c>
      <c r="F52" s="270">
        <f t="shared" si="1"/>
        <v>-3555.04681</v>
      </c>
      <c r="G52" s="280">
        <f>18968.9976-D52</f>
        <v>-1498.986420000001</v>
      </c>
    </row>
    <row r="53" spans="1:6" s="139" customFormat="1" ht="23.25" customHeight="1">
      <c r="A53" s="148"/>
      <c r="B53" s="188" t="s">
        <v>212</v>
      </c>
      <c r="C53" s="270">
        <f>C52-C99</f>
        <v>-687.4982300000011</v>
      </c>
      <c r="D53" s="270">
        <f>D52-D99</f>
        <v>1172.2642000000014</v>
      </c>
      <c r="E53" s="289"/>
      <c r="F53" s="289"/>
    </row>
    <row r="54" spans="1:6" ht="15.75">
      <c r="A54" s="191"/>
      <c r="B54" s="192"/>
      <c r="C54" s="262"/>
      <c r="D54" s="262"/>
      <c r="E54" s="194"/>
      <c r="F54" s="243"/>
    </row>
    <row r="55" spans="1:6" ht="32.25" customHeight="1">
      <c r="A55" s="196" t="s">
        <v>141</v>
      </c>
      <c r="B55" s="196" t="s">
        <v>213</v>
      </c>
      <c r="C55" s="145" t="s">
        <v>143</v>
      </c>
      <c r="D55" s="146" t="s">
        <v>426</v>
      </c>
      <c r="E55" s="145" t="s">
        <v>144</v>
      </c>
      <c r="F55" s="147" t="s">
        <v>145</v>
      </c>
    </row>
    <row r="56" spans="1:6" ht="15.75">
      <c r="A56" s="245">
        <v>1</v>
      </c>
      <c r="B56" s="196">
        <v>2</v>
      </c>
      <c r="C56" s="199">
        <v>3</v>
      </c>
      <c r="D56" s="199">
        <v>4</v>
      </c>
      <c r="E56" s="199">
        <v>5</v>
      </c>
      <c r="F56" s="199">
        <v>6</v>
      </c>
    </row>
    <row r="57" spans="1:6" s="139" customFormat="1" ht="15" customHeight="1">
      <c r="A57" s="200" t="s">
        <v>33</v>
      </c>
      <c r="B57" s="201" t="s">
        <v>214</v>
      </c>
      <c r="C57" s="281">
        <f>C58+C59+C60+C61+C62+C64+C63+C66</f>
        <v>2586.5273399999996</v>
      </c>
      <c r="D57" s="290">
        <f>D58+D59+D60+D61+D62+D64+D63</f>
        <v>2574.17879</v>
      </c>
      <c r="E57" s="202">
        <f>SUM(D57/C57*100)</f>
        <v>99.52258188772906</v>
      </c>
      <c r="F57" s="202">
        <f>SUM(D57-C57)</f>
        <v>-12.348549999999705</v>
      </c>
    </row>
    <row r="58" spans="1:6" s="139" customFormat="1" ht="0.75" customHeight="1" hidden="1">
      <c r="A58" s="203" t="s">
        <v>215</v>
      </c>
      <c r="B58" s="204" t="s">
        <v>216</v>
      </c>
      <c r="C58" s="283"/>
      <c r="D58" s="283"/>
      <c r="E58" s="205"/>
      <c r="F58" s="205"/>
    </row>
    <row r="59" spans="1:6" ht="16.5" customHeight="1">
      <c r="A59" s="203" t="s">
        <v>217</v>
      </c>
      <c r="B59" s="206" t="s">
        <v>218</v>
      </c>
      <c r="C59" s="291">
        <v>2345.13534</v>
      </c>
      <c r="D59" s="283">
        <v>2337.78679</v>
      </c>
      <c r="E59" s="205">
        <f>SUM(D59/C59*100)</f>
        <v>99.68664708280761</v>
      </c>
      <c r="F59" s="205">
        <f aca="true" t="shared" si="3" ref="F59:F89">SUM(D59-C59)</f>
        <v>-7.348549999999705</v>
      </c>
    </row>
    <row r="60" spans="1:6" ht="1.5" customHeight="1" hidden="1">
      <c r="A60" s="203" t="s">
        <v>219</v>
      </c>
      <c r="B60" s="206" t="s">
        <v>220</v>
      </c>
      <c r="C60" s="291"/>
      <c r="D60" s="283"/>
      <c r="E60" s="205"/>
      <c r="F60" s="205">
        <f t="shared" si="3"/>
        <v>0</v>
      </c>
    </row>
    <row r="61" spans="1:6" ht="17.25" customHeight="1" hidden="1">
      <c r="A61" s="203" t="s">
        <v>221</v>
      </c>
      <c r="B61" s="206" t="s">
        <v>222</v>
      </c>
      <c r="C61" s="291"/>
      <c r="D61" s="283"/>
      <c r="E61" s="205" t="e">
        <f aca="true" t="shared" si="4" ref="E61:E88">SUM(D61/C61*100)</f>
        <v>#DIV/0!</v>
      </c>
      <c r="F61" s="205">
        <f t="shared" si="3"/>
        <v>0</v>
      </c>
    </row>
    <row r="62" spans="1:6" ht="17.25" customHeight="1">
      <c r="A62" s="203" t="s">
        <v>223</v>
      </c>
      <c r="B62" s="206" t="s">
        <v>224</v>
      </c>
      <c r="C62" s="291">
        <v>30.56</v>
      </c>
      <c r="D62" s="283">
        <v>30.56</v>
      </c>
      <c r="E62" s="205">
        <f t="shared" si="4"/>
        <v>100</v>
      </c>
      <c r="F62" s="205">
        <f t="shared" si="3"/>
        <v>0</v>
      </c>
    </row>
    <row r="63" spans="1:6" ht="18" customHeight="1">
      <c r="A63" s="203" t="s">
        <v>225</v>
      </c>
      <c r="B63" s="206" t="s">
        <v>226</v>
      </c>
      <c r="C63" s="292">
        <v>5</v>
      </c>
      <c r="D63" s="293">
        <v>0</v>
      </c>
      <c r="E63" s="205">
        <f t="shared" si="4"/>
        <v>0</v>
      </c>
      <c r="F63" s="205">
        <f t="shared" si="3"/>
        <v>-5</v>
      </c>
    </row>
    <row r="64" spans="1:6" ht="15.75" customHeight="1">
      <c r="A64" s="203" t="s">
        <v>227</v>
      </c>
      <c r="B64" s="206" t="s">
        <v>228</v>
      </c>
      <c r="C64" s="291">
        <v>205.832</v>
      </c>
      <c r="D64" s="283">
        <v>205.832</v>
      </c>
      <c r="E64" s="205">
        <f t="shared" si="4"/>
        <v>100</v>
      </c>
      <c r="F64" s="205">
        <f t="shared" si="3"/>
        <v>0</v>
      </c>
    </row>
    <row r="65" spans="1:6" s="139" customFormat="1" ht="15.75" customHeight="1" hidden="1">
      <c r="A65" s="208" t="s">
        <v>35</v>
      </c>
      <c r="B65" s="209" t="s">
        <v>229</v>
      </c>
      <c r="C65" s="294">
        <f>C66</f>
        <v>0</v>
      </c>
      <c r="D65" s="281">
        <f>D66</f>
        <v>0</v>
      </c>
      <c r="E65" s="202" t="e">
        <f t="shared" si="4"/>
        <v>#DIV/0!</v>
      </c>
      <c r="F65" s="202">
        <f t="shared" si="3"/>
        <v>0</v>
      </c>
    </row>
    <row r="66" spans="1:6" ht="18" customHeight="1" hidden="1">
      <c r="A66" s="210" t="s">
        <v>230</v>
      </c>
      <c r="B66" s="211" t="s">
        <v>231</v>
      </c>
      <c r="C66" s="291">
        <v>0</v>
      </c>
      <c r="D66" s="283">
        <v>0</v>
      </c>
      <c r="E66" s="205" t="e">
        <f t="shared" si="4"/>
        <v>#DIV/0!</v>
      </c>
      <c r="F66" s="205">
        <f t="shared" si="3"/>
        <v>0</v>
      </c>
    </row>
    <row r="67" spans="1:6" s="139" customFormat="1" ht="18" customHeight="1">
      <c r="A67" s="200" t="s">
        <v>37</v>
      </c>
      <c r="B67" s="201" t="s">
        <v>232</v>
      </c>
      <c r="C67" s="294">
        <f>C70+C71+C72</f>
        <v>67.932</v>
      </c>
      <c r="D67" s="294">
        <f>SUM(D70+D71+D72)</f>
        <v>32.932</v>
      </c>
      <c r="E67" s="202">
        <f t="shared" si="4"/>
        <v>48.47788965436025</v>
      </c>
      <c r="F67" s="202">
        <f t="shared" si="3"/>
        <v>-35</v>
      </c>
    </row>
    <row r="68" spans="1:6" ht="3.75" customHeight="1" hidden="1">
      <c r="A68" s="203" t="s">
        <v>233</v>
      </c>
      <c r="B68" s="206" t="s">
        <v>234</v>
      </c>
      <c r="C68" s="291"/>
      <c r="D68" s="283"/>
      <c r="E68" s="202" t="e">
        <f t="shared" si="4"/>
        <v>#DIV/0!</v>
      </c>
      <c r="F68" s="202">
        <f t="shared" si="3"/>
        <v>0</v>
      </c>
    </row>
    <row r="69" spans="1:6" ht="15.75" customHeight="1" hidden="1">
      <c r="A69" s="212" t="s">
        <v>235</v>
      </c>
      <c r="B69" s="206" t="s">
        <v>317</v>
      </c>
      <c r="C69" s="291"/>
      <c r="D69" s="283"/>
      <c r="E69" s="202" t="e">
        <f t="shared" si="4"/>
        <v>#DIV/0!</v>
      </c>
      <c r="F69" s="202">
        <f t="shared" si="3"/>
        <v>0</v>
      </c>
    </row>
    <row r="70" spans="1:6" ht="19.5" customHeight="1">
      <c r="A70" s="213" t="s">
        <v>237</v>
      </c>
      <c r="B70" s="214" t="s">
        <v>238</v>
      </c>
      <c r="C70" s="291"/>
      <c r="D70" s="283">
        <v>0</v>
      </c>
      <c r="E70" s="202" t="e">
        <f t="shared" si="4"/>
        <v>#DIV/0!</v>
      </c>
      <c r="F70" s="202">
        <f t="shared" si="3"/>
        <v>0</v>
      </c>
    </row>
    <row r="71" spans="1:6" ht="17.25" customHeight="1">
      <c r="A71" s="213" t="s">
        <v>239</v>
      </c>
      <c r="B71" s="214" t="s">
        <v>240</v>
      </c>
      <c r="C71" s="291">
        <v>65.94</v>
      </c>
      <c r="D71" s="283">
        <v>30.94</v>
      </c>
      <c r="E71" s="202">
        <f t="shared" si="4"/>
        <v>46.92144373673037</v>
      </c>
      <c r="F71" s="202">
        <f t="shared" si="3"/>
        <v>-35</v>
      </c>
    </row>
    <row r="72" spans="1:6" ht="17.25" customHeight="1">
      <c r="A72" s="213" t="s">
        <v>241</v>
      </c>
      <c r="B72" s="214" t="s">
        <v>345</v>
      </c>
      <c r="C72" s="291">
        <v>1.992</v>
      </c>
      <c r="D72" s="283">
        <v>1.992</v>
      </c>
      <c r="E72" s="202">
        <f t="shared" si="4"/>
        <v>100</v>
      </c>
      <c r="F72" s="202">
        <f t="shared" si="3"/>
        <v>0</v>
      </c>
    </row>
    <row r="73" spans="1:6" s="139" customFormat="1" ht="16.5" customHeight="1">
      <c r="A73" s="200" t="s">
        <v>39</v>
      </c>
      <c r="B73" s="201" t="s">
        <v>243</v>
      </c>
      <c r="C73" s="251">
        <f>SUM(C74:C77)</f>
        <v>1286.22233</v>
      </c>
      <c r="D73" s="251">
        <f>SUM(D74:D77)</f>
        <v>1186.2089299999998</v>
      </c>
      <c r="E73" s="202">
        <f t="shared" si="4"/>
        <v>92.22425255204516</v>
      </c>
      <c r="F73" s="202">
        <f t="shared" si="3"/>
        <v>-100.01340000000027</v>
      </c>
    </row>
    <row r="74" spans="1:6" ht="15" customHeight="1">
      <c r="A74" s="203" t="s">
        <v>246</v>
      </c>
      <c r="B74" s="206" t="s">
        <v>319</v>
      </c>
      <c r="C74" s="284">
        <v>67.0441</v>
      </c>
      <c r="D74" s="283">
        <v>67.0307</v>
      </c>
      <c r="E74" s="205">
        <f t="shared" si="4"/>
        <v>99.98001315552003</v>
      </c>
      <c r="F74" s="205">
        <f t="shared" si="3"/>
        <v>-0.013400000000004297</v>
      </c>
    </row>
    <row r="75" spans="1:7" s="139" customFormat="1" ht="15.75" customHeight="1">
      <c r="A75" s="203" t="s">
        <v>248</v>
      </c>
      <c r="B75" s="206" t="s">
        <v>320</v>
      </c>
      <c r="C75" s="284"/>
      <c r="D75" s="283"/>
      <c r="E75" s="205" t="e">
        <f t="shared" si="4"/>
        <v>#DIV/0!</v>
      </c>
      <c r="F75" s="205">
        <f t="shared" si="3"/>
        <v>0</v>
      </c>
      <c r="G75" s="142"/>
    </row>
    <row r="76" spans="1:6" ht="15" customHeight="1">
      <c r="A76" s="203" t="s">
        <v>250</v>
      </c>
      <c r="B76" s="206" t="s">
        <v>251</v>
      </c>
      <c r="C76" s="284">
        <v>980.28823</v>
      </c>
      <c r="D76" s="283">
        <v>980.28823</v>
      </c>
      <c r="E76" s="205">
        <f t="shared" si="4"/>
        <v>100</v>
      </c>
      <c r="F76" s="205">
        <f t="shared" si="3"/>
        <v>0</v>
      </c>
    </row>
    <row r="77" spans="1:6" ht="18" customHeight="1">
      <c r="A77" s="203" t="s">
        <v>252</v>
      </c>
      <c r="B77" s="206" t="s">
        <v>253</v>
      </c>
      <c r="C77" s="284">
        <v>238.89</v>
      </c>
      <c r="D77" s="283">
        <v>138.89</v>
      </c>
      <c r="E77" s="205">
        <f t="shared" si="4"/>
        <v>58.139729582653096</v>
      </c>
      <c r="F77" s="205">
        <f t="shared" si="3"/>
        <v>-100</v>
      </c>
    </row>
    <row r="78" spans="1:6" s="139" customFormat="1" ht="17.25" customHeight="1">
      <c r="A78" s="200" t="s">
        <v>41</v>
      </c>
      <c r="B78" s="201" t="s">
        <v>254</v>
      </c>
      <c r="C78" s="281">
        <f>C79+C80+C81+C84</f>
        <v>16291.19739</v>
      </c>
      <c r="D78" s="281">
        <f>D79+D80+D81+D84</f>
        <v>11023.7501</v>
      </c>
      <c r="E78" s="202">
        <f t="shared" si="4"/>
        <v>67.66691137611954</v>
      </c>
      <c r="F78" s="202">
        <f t="shared" si="3"/>
        <v>-5267.44729</v>
      </c>
    </row>
    <row r="79" spans="1:6" ht="18" customHeight="1" hidden="1">
      <c r="A79" s="203" t="s">
        <v>255</v>
      </c>
      <c r="B79" s="217" t="s">
        <v>256</v>
      </c>
      <c r="C79" s="283">
        <v>0</v>
      </c>
      <c r="D79" s="283">
        <v>0</v>
      </c>
      <c r="E79" s="205" t="e">
        <f t="shared" si="4"/>
        <v>#DIV/0!</v>
      </c>
      <c r="F79" s="205">
        <f t="shared" si="3"/>
        <v>0</v>
      </c>
    </row>
    <row r="80" spans="1:6" ht="17.25" customHeight="1">
      <c r="A80" s="203" t="s">
        <v>257</v>
      </c>
      <c r="B80" s="217" t="s">
        <v>258</v>
      </c>
      <c r="C80" s="283">
        <v>700</v>
      </c>
      <c r="D80" s="283">
        <v>700</v>
      </c>
      <c r="E80" s="205">
        <f t="shared" si="4"/>
        <v>100</v>
      </c>
      <c r="F80" s="205">
        <f t="shared" si="3"/>
        <v>0</v>
      </c>
    </row>
    <row r="81" spans="1:6" ht="17.25" customHeight="1">
      <c r="A81" s="203" t="s">
        <v>259</v>
      </c>
      <c r="B81" s="206" t="s">
        <v>260</v>
      </c>
      <c r="C81" s="283">
        <v>15591.19739</v>
      </c>
      <c r="D81" s="283">
        <v>10323.7501</v>
      </c>
      <c r="E81" s="205">
        <f t="shared" si="4"/>
        <v>66.215248526207</v>
      </c>
      <c r="F81" s="205">
        <f t="shared" si="3"/>
        <v>-5267.44729</v>
      </c>
    </row>
    <row r="82" spans="1:6" s="139" customFormat="1" ht="18.75" customHeight="1">
      <c r="A82" s="200" t="s">
        <v>47</v>
      </c>
      <c r="B82" s="201" t="s">
        <v>275</v>
      </c>
      <c r="C82" s="281">
        <f>C83</f>
        <v>4478.65</v>
      </c>
      <c r="D82" s="281">
        <f>D83</f>
        <v>4478.65</v>
      </c>
      <c r="E82" s="205">
        <f t="shared" si="4"/>
        <v>100</v>
      </c>
      <c r="F82" s="205">
        <f t="shared" si="3"/>
        <v>0</v>
      </c>
    </row>
    <row r="83" spans="1:6" ht="19.5" customHeight="1">
      <c r="A83" s="203" t="s">
        <v>276</v>
      </c>
      <c r="B83" s="206" t="s">
        <v>277</v>
      </c>
      <c r="C83" s="283">
        <v>4478.65</v>
      </c>
      <c r="D83" s="283">
        <v>4478.65</v>
      </c>
      <c r="E83" s="205">
        <f t="shared" si="4"/>
        <v>100</v>
      </c>
      <c r="F83" s="205">
        <f t="shared" si="3"/>
        <v>0</v>
      </c>
    </row>
    <row r="84" spans="1:6" ht="15" customHeight="1" hidden="1">
      <c r="A84" s="203" t="s">
        <v>330</v>
      </c>
      <c r="B84" s="206" t="s">
        <v>331</v>
      </c>
      <c r="C84" s="283">
        <v>0</v>
      </c>
      <c r="D84" s="283"/>
      <c r="E84" s="205" t="e">
        <f t="shared" si="4"/>
        <v>#DIV/0!</v>
      </c>
      <c r="F84" s="205">
        <f t="shared" si="3"/>
        <v>0</v>
      </c>
    </row>
    <row r="85" spans="1:6" s="139" customFormat="1" ht="12.75" customHeight="1" hidden="1">
      <c r="A85" s="218">
        <v>1000</v>
      </c>
      <c r="B85" s="201" t="s">
        <v>280</v>
      </c>
      <c r="C85" s="281">
        <f>SUM(C86:C89)</f>
        <v>0</v>
      </c>
      <c r="D85" s="281">
        <f>SUM(D86:D89)</f>
        <v>0</v>
      </c>
      <c r="E85" s="202" t="e">
        <f t="shared" si="4"/>
        <v>#DIV/0!</v>
      </c>
      <c r="F85" s="202">
        <f t="shared" si="3"/>
        <v>0</v>
      </c>
    </row>
    <row r="86" spans="1:6" ht="12.75" customHeight="1" hidden="1">
      <c r="A86" s="219">
        <v>1001</v>
      </c>
      <c r="B86" s="220" t="s">
        <v>281</v>
      </c>
      <c r="C86" s="283"/>
      <c r="D86" s="283"/>
      <c r="E86" s="205" t="e">
        <f t="shared" si="4"/>
        <v>#DIV/0!</v>
      </c>
      <c r="F86" s="205">
        <f t="shared" si="3"/>
        <v>0</v>
      </c>
    </row>
    <row r="87" spans="1:6" ht="15.75" customHeight="1" hidden="1">
      <c r="A87" s="219">
        <v>1003</v>
      </c>
      <c r="B87" s="220" t="s">
        <v>282</v>
      </c>
      <c r="C87" s="283">
        <v>0</v>
      </c>
      <c r="D87" s="283">
        <v>0</v>
      </c>
      <c r="E87" s="205" t="e">
        <f t="shared" si="4"/>
        <v>#DIV/0!</v>
      </c>
      <c r="F87" s="205">
        <f t="shared" si="3"/>
        <v>0</v>
      </c>
    </row>
    <row r="88" spans="1:6" ht="18.75" customHeight="1" hidden="1">
      <c r="A88" s="219">
        <v>1004</v>
      </c>
      <c r="B88" s="220" t="s">
        <v>283</v>
      </c>
      <c r="C88" s="283">
        <v>0</v>
      </c>
      <c r="D88" s="285">
        <v>0</v>
      </c>
      <c r="E88" s="205" t="e">
        <f t="shared" si="4"/>
        <v>#DIV/0!</v>
      </c>
      <c r="F88" s="205">
        <f t="shared" si="3"/>
        <v>0</v>
      </c>
    </row>
    <row r="89" spans="1:6" ht="17.25" customHeight="1" hidden="1">
      <c r="A89" s="203" t="s">
        <v>284</v>
      </c>
      <c r="B89" s="206" t="s">
        <v>285</v>
      </c>
      <c r="C89" s="283">
        <v>0</v>
      </c>
      <c r="D89" s="283">
        <v>0</v>
      </c>
      <c r="E89" s="205"/>
      <c r="F89" s="205">
        <f t="shared" si="3"/>
        <v>0</v>
      </c>
    </row>
    <row r="90" spans="1:6" ht="19.5" customHeight="1">
      <c r="A90" s="200" t="s">
        <v>51</v>
      </c>
      <c r="B90" s="201" t="s">
        <v>286</v>
      </c>
      <c r="C90" s="281">
        <f>C91+C92+C93+C94+C95</f>
        <v>0</v>
      </c>
      <c r="D90" s="281">
        <f>D91+D92+D93+D94+D95</f>
        <v>0</v>
      </c>
      <c r="E90" s="205" t="e">
        <f aca="true" t="shared" si="5" ref="E90:E99">SUM(D90/C90*100)</f>
        <v>#DIV/0!</v>
      </c>
      <c r="F90" s="190">
        <f>F91+F92+F93+F94+F95</f>
        <v>0</v>
      </c>
    </row>
    <row r="91" spans="1:6" ht="15.75" customHeight="1">
      <c r="A91" s="203" t="s">
        <v>287</v>
      </c>
      <c r="B91" s="206" t="s">
        <v>288</v>
      </c>
      <c r="C91" s="283">
        <v>0</v>
      </c>
      <c r="D91" s="283">
        <v>0</v>
      </c>
      <c r="E91" s="205" t="e">
        <f t="shared" si="5"/>
        <v>#DIV/0!</v>
      </c>
      <c r="F91" s="205">
        <f>SUM(D91-C91)</f>
        <v>0</v>
      </c>
    </row>
    <row r="92" spans="1:6" ht="15" customHeight="1" hidden="1">
      <c r="A92" s="203" t="s">
        <v>289</v>
      </c>
      <c r="B92" s="206" t="s">
        <v>290</v>
      </c>
      <c r="C92" s="283"/>
      <c r="D92" s="283"/>
      <c r="E92" s="205" t="e">
        <f t="shared" si="5"/>
        <v>#DIV/0!</v>
      </c>
      <c r="F92" s="205">
        <f>SUM(D92-C92)</f>
        <v>0</v>
      </c>
    </row>
    <row r="93" spans="1:6" ht="15" customHeight="1" hidden="1">
      <c r="A93" s="203" t="s">
        <v>291</v>
      </c>
      <c r="B93" s="206" t="s">
        <v>292</v>
      </c>
      <c r="C93" s="283"/>
      <c r="D93" s="283"/>
      <c r="E93" s="205" t="e">
        <f t="shared" si="5"/>
        <v>#DIV/0!</v>
      </c>
      <c r="F93" s="205"/>
    </row>
    <row r="94" spans="1:6" ht="15" customHeight="1" hidden="1">
      <c r="A94" s="203" t="s">
        <v>293</v>
      </c>
      <c r="B94" s="206" t="s">
        <v>294</v>
      </c>
      <c r="C94" s="283"/>
      <c r="D94" s="283"/>
      <c r="E94" s="205" t="e">
        <f t="shared" si="5"/>
        <v>#DIV/0!</v>
      </c>
      <c r="F94" s="205"/>
    </row>
    <row r="95" spans="1:6" ht="15" customHeight="1" hidden="1">
      <c r="A95" s="203" t="s">
        <v>295</v>
      </c>
      <c r="B95" s="206" t="s">
        <v>296</v>
      </c>
      <c r="C95" s="283"/>
      <c r="D95" s="283"/>
      <c r="E95" s="205" t="e">
        <f t="shared" si="5"/>
        <v>#DIV/0!</v>
      </c>
      <c r="F95" s="205"/>
    </row>
    <row r="96" spans="1:6" s="139" customFormat="1" ht="18" customHeight="1" hidden="1">
      <c r="A96" s="218">
        <v>1400</v>
      </c>
      <c r="B96" s="222" t="s">
        <v>303</v>
      </c>
      <c r="C96" s="251">
        <f>SUM(C97+C98)</f>
        <v>0</v>
      </c>
      <c r="D96" s="251">
        <f>SUM(D97+D98)</f>
        <v>0</v>
      </c>
      <c r="E96" s="202" t="e">
        <f t="shared" si="5"/>
        <v>#DIV/0!</v>
      </c>
      <c r="F96" s="202">
        <f>SUM(D96-C96)</f>
        <v>0</v>
      </c>
    </row>
    <row r="97" spans="1:6" ht="20.25" customHeight="1" hidden="1">
      <c r="A97" s="219">
        <v>1402</v>
      </c>
      <c r="B97" s="220" t="s">
        <v>305</v>
      </c>
      <c r="C97" s="295"/>
      <c r="D97" s="250"/>
      <c r="E97" s="205" t="e">
        <f t="shared" si="5"/>
        <v>#DIV/0!</v>
      </c>
      <c r="F97" s="205">
        <f>SUM(D97-C97)</f>
        <v>0</v>
      </c>
    </row>
    <row r="98" spans="1:6" ht="15" customHeight="1" hidden="1">
      <c r="A98" s="219">
        <v>1403</v>
      </c>
      <c r="B98" s="220" t="s">
        <v>306</v>
      </c>
      <c r="C98" s="284"/>
      <c r="D98" s="283"/>
      <c r="E98" s="205" t="e">
        <f t="shared" si="5"/>
        <v>#DIV/0!</v>
      </c>
      <c r="F98" s="205">
        <f>SUM(D98-C98)</f>
        <v>0</v>
      </c>
    </row>
    <row r="99" spans="1:7" s="139" customFormat="1" ht="16.5" customHeight="1">
      <c r="A99" s="218"/>
      <c r="B99" s="223" t="s">
        <v>307</v>
      </c>
      <c r="C99" s="278">
        <f>C57+C73+C78+C85+C90+C96+C67+C82</f>
        <v>24710.52906</v>
      </c>
      <c r="D99" s="278">
        <f>SUM(D57+D67+D73+D78+D82+D90)</f>
        <v>19295.71982</v>
      </c>
      <c r="E99" s="202">
        <f t="shared" si="5"/>
        <v>78.08703639306053</v>
      </c>
      <c r="F99" s="202">
        <f>SUM(D99-C99)</f>
        <v>-5414.809240000002</v>
      </c>
      <c r="G99" s="186"/>
    </row>
    <row r="100" ht="20.25" customHeight="1">
      <c r="D100" s="296"/>
    </row>
    <row r="101" spans="1:4" s="143" customFormat="1" ht="13.5" customHeight="1">
      <c r="A101" s="228" t="s">
        <v>308</v>
      </c>
      <c r="B101" s="228"/>
      <c r="C101" s="297"/>
      <c r="D101" s="254"/>
    </row>
    <row r="102" spans="1:4" s="143" customFormat="1" ht="12.75">
      <c r="A102" s="230" t="s">
        <v>309</v>
      </c>
      <c r="B102" s="230"/>
      <c r="C102" s="298" t="s">
        <v>310</v>
      </c>
      <c r="D102" s="298"/>
    </row>
    <row r="103" ht="5.25" customHeight="1"/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view="pageBreakPreview" zoomScale="70" zoomScaleSheetLayoutView="70" zoomScalePageLayoutView="0" workbookViewId="0" topLeftCell="A25">
      <selection activeCell="C46" sqref="C46"/>
    </sheetView>
  </sheetViews>
  <sheetFormatPr defaultColWidth="9.140625" defaultRowHeight="12.75"/>
  <cols>
    <col min="1" max="1" width="14.7109375" style="135" customWidth="1"/>
    <col min="2" max="2" width="57.57421875" style="136" customWidth="1"/>
    <col min="3" max="3" width="19.57421875" style="137" customWidth="1"/>
    <col min="4" max="4" width="16.8515625" style="137" customWidth="1"/>
    <col min="5" max="5" width="14.7109375" style="137" customWidth="1"/>
    <col min="6" max="6" width="16.00390625" style="137" customWidth="1"/>
    <col min="7" max="7" width="15.421875" style="138" customWidth="1"/>
    <col min="8" max="16384" width="9.140625" style="138" customWidth="1"/>
  </cols>
  <sheetData>
    <row r="1" spans="1:6" ht="12.75" customHeight="1">
      <c r="A1" s="469" t="s">
        <v>432</v>
      </c>
      <c r="B1" s="469"/>
      <c r="C1" s="469"/>
      <c r="D1" s="469"/>
      <c r="E1" s="469"/>
      <c r="F1" s="469"/>
    </row>
    <row r="2" spans="1:6" ht="12.75" customHeight="1">
      <c r="A2" s="469"/>
      <c r="B2" s="469"/>
      <c r="C2" s="469"/>
      <c r="D2" s="469"/>
      <c r="E2" s="469"/>
      <c r="F2" s="469"/>
    </row>
    <row r="3" spans="1:6" ht="63">
      <c r="A3" s="144" t="s">
        <v>141</v>
      </c>
      <c r="B3" s="144" t="s">
        <v>142</v>
      </c>
      <c r="C3" s="145" t="s">
        <v>143</v>
      </c>
      <c r="D3" s="146" t="s">
        <v>426</v>
      </c>
      <c r="E3" s="145" t="s">
        <v>144</v>
      </c>
      <c r="F3" s="147" t="s">
        <v>145</v>
      </c>
    </row>
    <row r="4" spans="1:6" s="139" customFormat="1" ht="15.75">
      <c r="A4" s="148"/>
      <c r="B4" s="149" t="s">
        <v>7</v>
      </c>
      <c r="C4" s="150">
        <f>C5+C12+C14+C17+C20+C7</f>
        <v>5325.54084</v>
      </c>
      <c r="D4" s="150">
        <f>D5+D12+D14+D17+D20+D7</f>
        <v>4918.94559</v>
      </c>
      <c r="E4" s="150">
        <f aca="true" t="shared" si="0" ref="E4:E52">SUM(D4/C4*100)</f>
        <v>92.36518388994273</v>
      </c>
      <c r="F4" s="150">
        <f aca="true" t="shared" si="1" ref="F4:F52">SUM(D4-C4)</f>
        <v>-406.5952499999994</v>
      </c>
    </row>
    <row r="5" spans="1:6" s="139" customFormat="1" ht="15.75">
      <c r="A5" s="151">
        <v>1010000000</v>
      </c>
      <c r="B5" s="152" t="s">
        <v>146</v>
      </c>
      <c r="C5" s="150">
        <f>C6</f>
        <v>1672.1</v>
      </c>
      <c r="D5" s="150">
        <f>D6</f>
        <v>1573.08203</v>
      </c>
      <c r="E5" s="150">
        <f t="shared" si="0"/>
        <v>94.07822678069493</v>
      </c>
      <c r="F5" s="150">
        <f t="shared" si="1"/>
        <v>-99.01796999999988</v>
      </c>
    </row>
    <row r="6" spans="1:6" ht="15.75">
      <c r="A6" s="153">
        <v>1010200001</v>
      </c>
      <c r="B6" s="154" t="s">
        <v>147</v>
      </c>
      <c r="C6" s="155">
        <v>1672.1</v>
      </c>
      <c r="D6" s="156">
        <v>1573.08203</v>
      </c>
      <c r="E6" s="155">
        <f t="shared" si="0"/>
        <v>94.07822678069493</v>
      </c>
      <c r="F6" s="155">
        <f t="shared" si="1"/>
        <v>-99.01796999999988</v>
      </c>
    </row>
    <row r="7" spans="1:6" ht="31.5">
      <c r="A7" s="148">
        <v>1030000000</v>
      </c>
      <c r="B7" s="157" t="s">
        <v>148</v>
      </c>
      <c r="C7" s="150">
        <f>C8+C10+C9</f>
        <v>784.25</v>
      </c>
      <c r="D7" s="150">
        <f>D8+D10+D9+D11</f>
        <v>841.6943500000001</v>
      </c>
      <c r="E7" s="155">
        <f t="shared" si="0"/>
        <v>107.32474976091808</v>
      </c>
      <c r="F7" s="155">
        <f t="shared" si="1"/>
        <v>57.4443500000001</v>
      </c>
    </row>
    <row r="8" spans="1:6" ht="15.75">
      <c r="A8" s="153">
        <v>1030223001</v>
      </c>
      <c r="B8" s="154" t="s">
        <v>149</v>
      </c>
      <c r="C8" s="155">
        <v>314.47</v>
      </c>
      <c r="D8" s="156">
        <v>388.57627</v>
      </c>
      <c r="E8" s="155">
        <f t="shared" si="0"/>
        <v>123.56544980443284</v>
      </c>
      <c r="F8" s="155">
        <f t="shared" si="1"/>
        <v>74.10627</v>
      </c>
    </row>
    <row r="9" spans="1:6" ht="15.75">
      <c r="A9" s="153">
        <v>1030224001</v>
      </c>
      <c r="B9" s="154" t="s">
        <v>150</v>
      </c>
      <c r="C9" s="155">
        <v>3</v>
      </c>
      <c r="D9" s="156">
        <v>2.73275</v>
      </c>
      <c r="E9" s="155">
        <f t="shared" si="0"/>
        <v>91.09166666666665</v>
      </c>
      <c r="F9" s="155">
        <f t="shared" si="1"/>
        <v>-0.2672500000000002</v>
      </c>
    </row>
    <row r="10" spans="1:6" ht="15.75">
      <c r="A10" s="153">
        <v>1030225001</v>
      </c>
      <c r="B10" s="154" t="s">
        <v>151</v>
      </c>
      <c r="C10" s="155">
        <v>466.78</v>
      </c>
      <c r="D10" s="156">
        <v>516.64755</v>
      </c>
      <c r="E10" s="155">
        <f t="shared" si="0"/>
        <v>110.68330905351557</v>
      </c>
      <c r="F10" s="155">
        <f t="shared" si="1"/>
        <v>49.86755000000005</v>
      </c>
    </row>
    <row r="11" spans="1:6" ht="15.75">
      <c r="A11" s="153">
        <v>1030226001</v>
      </c>
      <c r="B11" s="154" t="s">
        <v>346</v>
      </c>
      <c r="C11" s="155">
        <v>0</v>
      </c>
      <c r="D11" s="156">
        <v>-66.26222</v>
      </c>
      <c r="E11" s="155" t="e">
        <f t="shared" si="0"/>
        <v>#DIV/0!</v>
      </c>
      <c r="F11" s="155">
        <f t="shared" si="1"/>
        <v>-66.26222</v>
      </c>
    </row>
    <row r="12" spans="1:6" s="139" customFormat="1" ht="15.75">
      <c r="A12" s="151">
        <v>1050000000</v>
      </c>
      <c r="B12" s="152" t="s">
        <v>153</v>
      </c>
      <c r="C12" s="150">
        <f>SUM(C13:C13)</f>
        <v>45</v>
      </c>
      <c r="D12" s="150">
        <f>SUM(D13:D13)</f>
        <v>44.8776</v>
      </c>
      <c r="E12" s="150">
        <f t="shared" si="0"/>
        <v>99.72800000000001</v>
      </c>
      <c r="F12" s="150">
        <f t="shared" si="1"/>
        <v>-0.12239999999999895</v>
      </c>
    </row>
    <row r="13" spans="1:6" ht="15.75" customHeight="1">
      <c r="A13" s="153">
        <v>1050300000</v>
      </c>
      <c r="B13" s="158" t="s">
        <v>156</v>
      </c>
      <c r="C13" s="159">
        <v>45</v>
      </c>
      <c r="D13" s="156">
        <v>44.8776</v>
      </c>
      <c r="E13" s="155">
        <f t="shared" si="0"/>
        <v>99.72800000000001</v>
      </c>
      <c r="F13" s="155">
        <f t="shared" si="1"/>
        <v>-0.12239999999999895</v>
      </c>
    </row>
    <row r="14" spans="1:6" s="139" customFormat="1" ht="15.75" customHeight="1">
      <c r="A14" s="151">
        <v>1060000000</v>
      </c>
      <c r="B14" s="152" t="s">
        <v>158</v>
      </c>
      <c r="C14" s="150">
        <f>C15+C16</f>
        <v>2816.19084</v>
      </c>
      <c r="D14" s="150">
        <f>D15+D16</f>
        <v>2454.99161</v>
      </c>
      <c r="E14" s="150">
        <f t="shared" si="0"/>
        <v>87.17419200184601</v>
      </c>
      <c r="F14" s="150">
        <f t="shared" si="1"/>
        <v>-361.19923000000017</v>
      </c>
    </row>
    <row r="15" spans="1:6" s="139" customFormat="1" ht="15.75" customHeight="1">
      <c r="A15" s="153">
        <v>1060100000</v>
      </c>
      <c r="B15" s="158" t="s">
        <v>159</v>
      </c>
      <c r="C15" s="155">
        <v>616.19084</v>
      </c>
      <c r="D15" s="156">
        <v>418.79576</v>
      </c>
      <c r="E15" s="155">
        <f t="shared" si="0"/>
        <v>67.96526868202065</v>
      </c>
      <c r="F15" s="155">
        <f t="shared" si="1"/>
        <v>-197.39508</v>
      </c>
    </row>
    <row r="16" spans="1:6" ht="15.75" customHeight="1">
      <c r="A16" s="153">
        <v>1060600000</v>
      </c>
      <c r="B16" s="158" t="s">
        <v>162</v>
      </c>
      <c r="C16" s="155">
        <v>2200</v>
      </c>
      <c r="D16" s="156">
        <v>2036.19585</v>
      </c>
      <c r="E16" s="155">
        <f t="shared" si="0"/>
        <v>92.55435681818183</v>
      </c>
      <c r="F16" s="155">
        <f t="shared" si="1"/>
        <v>-163.80414999999994</v>
      </c>
    </row>
    <row r="17" spans="1:6" s="139" customFormat="1" ht="15.75">
      <c r="A17" s="148">
        <v>1080000000</v>
      </c>
      <c r="B17" s="149" t="s">
        <v>165</v>
      </c>
      <c r="C17" s="150">
        <f>C18</f>
        <v>8</v>
      </c>
      <c r="D17" s="150">
        <f>D18</f>
        <v>4.3</v>
      </c>
      <c r="E17" s="150">
        <f t="shared" si="0"/>
        <v>53.75</v>
      </c>
      <c r="F17" s="150">
        <f t="shared" si="1"/>
        <v>-3.7</v>
      </c>
    </row>
    <row r="18" spans="1:6" ht="15" customHeight="1">
      <c r="A18" s="153">
        <v>1080400001</v>
      </c>
      <c r="B18" s="154" t="s">
        <v>167</v>
      </c>
      <c r="C18" s="155">
        <v>8</v>
      </c>
      <c r="D18" s="156">
        <v>4.3</v>
      </c>
      <c r="E18" s="155">
        <f t="shared" si="0"/>
        <v>53.75</v>
      </c>
      <c r="F18" s="155">
        <f t="shared" si="1"/>
        <v>-3.7</v>
      </c>
    </row>
    <row r="19" spans="1:6" ht="15" customHeight="1" hidden="1">
      <c r="A19" s="153">
        <v>1080714001</v>
      </c>
      <c r="B19" s="154" t="s">
        <v>321</v>
      </c>
      <c r="C19" s="155"/>
      <c r="D19" s="156"/>
      <c r="E19" s="155" t="e">
        <f t="shared" si="0"/>
        <v>#DIV/0!</v>
      </c>
      <c r="F19" s="155">
        <f t="shared" si="1"/>
        <v>0</v>
      </c>
    </row>
    <row r="20" spans="1:6" s="140" customFormat="1" ht="15" customHeight="1" hidden="1">
      <c r="A20" s="151">
        <v>1090000000</v>
      </c>
      <c r="B20" s="160" t="s">
        <v>322</v>
      </c>
      <c r="C20" s="150">
        <f>C21+C22+C23+C24</f>
        <v>0</v>
      </c>
      <c r="D20" s="150">
        <f>D21+D22+D23+D24</f>
        <v>0</v>
      </c>
      <c r="E20" s="150" t="e">
        <f t="shared" si="0"/>
        <v>#DIV/0!</v>
      </c>
      <c r="F20" s="150">
        <f t="shared" si="1"/>
        <v>0</v>
      </c>
    </row>
    <row r="21" spans="1:6" s="140" customFormat="1" ht="15" customHeight="1" hidden="1">
      <c r="A21" s="153">
        <v>1090100000</v>
      </c>
      <c r="B21" s="154" t="s">
        <v>170</v>
      </c>
      <c r="C21" s="150"/>
      <c r="D21" s="161"/>
      <c r="E21" s="155" t="e">
        <f t="shared" si="0"/>
        <v>#DIV/0!</v>
      </c>
      <c r="F21" s="155">
        <f t="shared" si="1"/>
        <v>0</v>
      </c>
    </row>
    <row r="22" spans="1:6" s="140" customFormat="1" ht="15" customHeight="1" hidden="1">
      <c r="A22" s="153">
        <v>1090400000</v>
      </c>
      <c r="B22" s="154" t="s">
        <v>171</v>
      </c>
      <c r="C22" s="150"/>
      <c r="D22" s="161"/>
      <c r="E22" s="155" t="e">
        <f t="shared" si="0"/>
        <v>#DIV/0!</v>
      </c>
      <c r="F22" s="155">
        <f t="shared" si="1"/>
        <v>0</v>
      </c>
    </row>
    <row r="23" spans="1:6" s="140" customFormat="1" ht="15" customHeight="1" hidden="1">
      <c r="A23" s="153">
        <v>1090600000</v>
      </c>
      <c r="B23" s="154" t="s">
        <v>172</v>
      </c>
      <c r="C23" s="150"/>
      <c r="D23" s="161"/>
      <c r="E23" s="155" t="e">
        <f t="shared" si="0"/>
        <v>#DIV/0!</v>
      </c>
      <c r="F23" s="155">
        <f t="shared" si="1"/>
        <v>0</v>
      </c>
    </row>
    <row r="24" spans="1:6" s="140" customFormat="1" ht="15" customHeight="1" hidden="1">
      <c r="A24" s="153">
        <v>1090700000</v>
      </c>
      <c r="B24" s="154" t="s">
        <v>173</v>
      </c>
      <c r="C24" s="150"/>
      <c r="D24" s="161"/>
      <c r="E24" s="155" t="e">
        <f t="shared" si="0"/>
        <v>#DIV/0!</v>
      </c>
      <c r="F24" s="155">
        <f t="shared" si="1"/>
        <v>0</v>
      </c>
    </row>
    <row r="25" spans="1:6" s="139" customFormat="1" ht="15" customHeight="1">
      <c r="A25" s="148"/>
      <c r="B25" s="149" t="s">
        <v>17</v>
      </c>
      <c r="C25" s="150">
        <f>C26+C29+C31+C36+C34</f>
        <v>0</v>
      </c>
      <c r="D25" s="150">
        <f>D26+D29+D31+D36+D34</f>
        <v>0</v>
      </c>
      <c r="E25" s="150" t="e">
        <f t="shared" si="0"/>
        <v>#DIV/0!</v>
      </c>
      <c r="F25" s="150">
        <f t="shared" si="1"/>
        <v>0</v>
      </c>
    </row>
    <row r="26" spans="1:6" s="139" customFormat="1" ht="28.5" customHeight="1">
      <c r="A26" s="151">
        <v>1110000000</v>
      </c>
      <c r="B26" s="160" t="s">
        <v>174</v>
      </c>
      <c r="C26" s="150">
        <f>C27+C28</f>
        <v>0</v>
      </c>
      <c r="D26" s="150">
        <f>D27+D28</f>
        <v>0</v>
      </c>
      <c r="E26" s="150" t="e">
        <f t="shared" si="0"/>
        <v>#DIV/0!</v>
      </c>
      <c r="F26" s="150">
        <f t="shared" si="1"/>
        <v>0</v>
      </c>
    </row>
    <row r="27" spans="1:6" ht="15.75" hidden="1">
      <c r="A27" s="162">
        <v>1110501101</v>
      </c>
      <c r="B27" s="163" t="s">
        <v>177</v>
      </c>
      <c r="C27" s="159">
        <v>0</v>
      </c>
      <c r="D27" s="156"/>
      <c r="E27" s="155" t="e">
        <f t="shared" si="0"/>
        <v>#DIV/0!</v>
      </c>
      <c r="F27" s="155">
        <f t="shared" si="1"/>
        <v>0</v>
      </c>
    </row>
    <row r="28" spans="1:6" ht="18" customHeight="1">
      <c r="A28" s="153">
        <v>1110503505</v>
      </c>
      <c r="B28" s="158" t="s">
        <v>347</v>
      </c>
      <c r="C28" s="159">
        <v>0</v>
      </c>
      <c r="D28" s="156">
        <v>0</v>
      </c>
      <c r="E28" s="155" t="e">
        <f t="shared" si="0"/>
        <v>#DIV/0!</v>
      </c>
      <c r="F28" s="155">
        <f t="shared" si="1"/>
        <v>0</v>
      </c>
    </row>
    <row r="29" spans="1:6" s="140" customFormat="1" ht="17.25" customHeight="1" hidden="1">
      <c r="A29" s="151">
        <v>1130000000</v>
      </c>
      <c r="B29" s="160" t="s">
        <v>185</v>
      </c>
      <c r="C29" s="150">
        <f>C30</f>
        <v>0</v>
      </c>
      <c r="D29" s="150">
        <f>D30</f>
        <v>0</v>
      </c>
      <c r="E29" s="150" t="e">
        <f t="shared" si="0"/>
        <v>#DIV/0!</v>
      </c>
      <c r="F29" s="150">
        <f t="shared" si="1"/>
        <v>0</v>
      </c>
    </row>
    <row r="30" spans="1:6" ht="19.5" customHeight="1" hidden="1">
      <c r="A30" s="153">
        <v>1130206005</v>
      </c>
      <c r="B30" s="154" t="s">
        <v>333</v>
      </c>
      <c r="C30" s="155">
        <v>0</v>
      </c>
      <c r="D30" s="156">
        <v>0</v>
      </c>
      <c r="E30" s="155" t="e">
        <f t="shared" si="0"/>
        <v>#DIV/0!</v>
      </c>
      <c r="F30" s="155">
        <f t="shared" si="1"/>
        <v>0</v>
      </c>
    </row>
    <row r="31" spans="1:6" ht="25.5" customHeight="1" hidden="1">
      <c r="A31" s="164">
        <v>1140000000</v>
      </c>
      <c r="B31" s="165" t="s">
        <v>188</v>
      </c>
      <c r="C31" s="150">
        <f>C32+C33</f>
        <v>0</v>
      </c>
      <c r="D31" s="150">
        <f>D32+D33</f>
        <v>0</v>
      </c>
      <c r="E31" s="150" t="e">
        <f t="shared" si="0"/>
        <v>#DIV/0!</v>
      </c>
      <c r="F31" s="150">
        <f t="shared" si="1"/>
        <v>0</v>
      </c>
    </row>
    <row r="32" spans="1:6" ht="21.75" customHeight="1" hidden="1">
      <c r="A32" s="162">
        <v>1140200000</v>
      </c>
      <c r="B32" s="166" t="s">
        <v>189</v>
      </c>
      <c r="C32" s="155">
        <v>0</v>
      </c>
      <c r="D32" s="156">
        <v>0</v>
      </c>
      <c r="E32" s="155" t="e">
        <f t="shared" si="0"/>
        <v>#DIV/0!</v>
      </c>
      <c r="F32" s="155">
        <f t="shared" si="1"/>
        <v>0</v>
      </c>
    </row>
    <row r="33" spans="1:6" ht="15" customHeight="1" hidden="1">
      <c r="A33" s="153">
        <v>1140600000</v>
      </c>
      <c r="B33" s="154" t="s">
        <v>190</v>
      </c>
      <c r="C33" s="155">
        <v>0</v>
      </c>
      <c r="D33" s="156">
        <v>0</v>
      </c>
      <c r="E33" s="155" t="e">
        <f t="shared" si="0"/>
        <v>#DIV/0!</v>
      </c>
      <c r="F33" s="155">
        <f t="shared" si="1"/>
        <v>0</v>
      </c>
    </row>
    <row r="34" spans="1:6" ht="15.75" customHeight="1" hidden="1">
      <c r="A34" s="148">
        <v>1160000000</v>
      </c>
      <c r="B34" s="157" t="s">
        <v>325</v>
      </c>
      <c r="C34" s="150">
        <f>C35</f>
        <v>0</v>
      </c>
      <c r="D34" s="150">
        <f>D35</f>
        <v>0</v>
      </c>
      <c r="E34" s="150" t="e">
        <f t="shared" si="0"/>
        <v>#DIV/0!</v>
      </c>
      <c r="F34" s="150">
        <f t="shared" si="1"/>
        <v>0</v>
      </c>
    </row>
    <row r="35" spans="1:6" ht="14.25" customHeight="1">
      <c r="A35" s="153">
        <v>1163305010</v>
      </c>
      <c r="B35" s="154" t="s">
        <v>348</v>
      </c>
      <c r="C35" s="155">
        <v>0</v>
      </c>
      <c r="D35" s="156">
        <v>0</v>
      </c>
      <c r="E35" s="155" t="e">
        <f t="shared" si="0"/>
        <v>#DIV/0!</v>
      </c>
      <c r="F35" s="155">
        <f t="shared" si="1"/>
        <v>0</v>
      </c>
    </row>
    <row r="36" spans="1:6" ht="15" customHeight="1">
      <c r="A36" s="148">
        <v>1170000000</v>
      </c>
      <c r="B36" s="157" t="s">
        <v>198</v>
      </c>
      <c r="C36" s="150">
        <f>C37+C38</f>
        <v>0</v>
      </c>
      <c r="D36" s="150">
        <f>D37+D38</f>
        <v>0</v>
      </c>
      <c r="E36" s="150" t="e">
        <f t="shared" si="0"/>
        <v>#DIV/0!</v>
      </c>
      <c r="F36" s="150">
        <f t="shared" si="1"/>
        <v>0</v>
      </c>
    </row>
    <row r="37" spans="1:6" ht="15" customHeight="1">
      <c r="A37" s="153">
        <v>1170105005</v>
      </c>
      <c r="B37" s="154" t="s">
        <v>199</v>
      </c>
      <c r="C37" s="155">
        <v>0</v>
      </c>
      <c r="D37" s="155"/>
      <c r="E37" s="155" t="e">
        <f t="shared" si="0"/>
        <v>#DIV/0!</v>
      </c>
      <c r="F37" s="155">
        <f t="shared" si="1"/>
        <v>0</v>
      </c>
    </row>
    <row r="38" spans="1:6" ht="15" customHeight="1" hidden="1">
      <c r="A38" s="153">
        <v>1170505005</v>
      </c>
      <c r="B38" s="158" t="s">
        <v>200</v>
      </c>
      <c r="C38" s="155">
        <v>0</v>
      </c>
      <c r="D38" s="156">
        <v>0</v>
      </c>
      <c r="E38" s="155" t="e">
        <f t="shared" si="0"/>
        <v>#DIV/0!</v>
      </c>
      <c r="F38" s="155">
        <f t="shared" si="1"/>
        <v>0</v>
      </c>
    </row>
    <row r="39" spans="1:6" s="139" customFormat="1" ht="15" customHeight="1">
      <c r="A39" s="148">
        <v>1000000000</v>
      </c>
      <c r="B39" s="149" t="s">
        <v>26</v>
      </c>
      <c r="C39" s="168">
        <f>SUM(C4,C25)</f>
        <v>5325.54084</v>
      </c>
      <c r="D39" s="168">
        <f>SUM(D4,D25)</f>
        <v>4918.94559</v>
      </c>
      <c r="E39" s="150">
        <f t="shared" si="0"/>
        <v>92.36518388994273</v>
      </c>
      <c r="F39" s="150">
        <f t="shared" si="1"/>
        <v>-406.5952499999994</v>
      </c>
    </row>
    <row r="40" spans="1:7" s="139" customFormat="1" ht="20.25" customHeight="1">
      <c r="A40" s="148">
        <v>2000000000</v>
      </c>
      <c r="B40" s="149" t="s">
        <v>201</v>
      </c>
      <c r="C40" s="150">
        <f>SUM(C43+C45+C46+C47+C41+C42+C51)</f>
        <v>28086.014299999995</v>
      </c>
      <c r="D40" s="150">
        <f>D41+D43+D45+D46+D48+D49+D42+D44+D51</f>
        <v>27766.933129999998</v>
      </c>
      <c r="E40" s="150">
        <f t="shared" si="0"/>
        <v>98.86391437890852</v>
      </c>
      <c r="F40" s="150">
        <f t="shared" si="1"/>
        <v>-319.08116999999766</v>
      </c>
      <c r="G40" s="170"/>
    </row>
    <row r="41" spans="1:6" ht="14.25" customHeight="1">
      <c r="A41" s="162">
        <v>2021500200</v>
      </c>
      <c r="B41" s="163" t="s">
        <v>349</v>
      </c>
      <c r="C41" s="159">
        <v>942.5</v>
      </c>
      <c r="D41" s="172">
        <v>942.5</v>
      </c>
      <c r="E41" s="155">
        <f t="shared" si="0"/>
        <v>100</v>
      </c>
      <c r="F41" s="155">
        <f t="shared" si="1"/>
        <v>0</v>
      </c>
    </row>
    <row r="42" spans="1:6" ht="15.75" customHeight="1" hidden="1">
      <c r="A42" s="162">
        <v>2020100310</v>
      </c>
      <c r="B42" s="163" t="s">
        <v>205</v>
      </c>
      <c r="C42" s="159"/>
      <c r="D42" s="172">
        <v>0</v>
      </c>
      <c r="E42" s="155" t="e">
        <f t="shared" si="0"/>
        <v>#DIV/0!</v>
      </c>
      <c r="F42" s="155">
        <f t="shared" si="1"/>
        <v>0</v>
      </c>
    </row>
    <row r="43" spans="1:6" ht="15.75" customHeight="1">
      <c r="A43" s="162">
        <v>2022000000</v>
      </c>
      <c r="B43" s="163" t="s">
        <v>206</v>
      </c>
      <c r="C43" s="159">
        <v>15693.60924</v>
      </c>
      <c r="D43" s="156">
        <v>15693.60924</v>
      </c>
      <c r="E43" s="155">
        <f t="shared" si="0"/>
        <v>100</v>
      </c>
      <c r="F43" s="155">
        <f t="shared" si="1"/>
        <v>0</v>
      </c>
    </row>
    <row r="44" spans="1:6" ht="15.75" hidden="1">
      <c r="A44" s="162">
        <v>2022999910</v>
      </c>
      <c r="B44" s="166" t="s">
        <v>327</v>
      </c>
      <c r="C44" s="159">
        <v>0</v>
      </c>
      <c r="D44" s="156">
        <v>0</v>
      </c>
      <c r="E44" s="155" t="e">
        <f t="shared" si="0"/>
        <v>#DIV/0!</v>
      </c>
      <c r="F44" s="155">
        <f t="shared" si="1"/>
        <v>0</v>
      </c>
    </row>
    <row r="45" spans="1:6" ht="32.25" customHeight="1">
      <c r="A45" s="162">
        <v>2023000000</v>
      </c>
      <c r="B45" s="163" t="s">
        <v>207</v>
      </c>
      <c r="C45" s="159">
        <v>4721.8897</v>
      </c>
      <c r="D45" s="174">
        <v>4721.8897</v>
      </c>
      <c r="E45" s="155">
        <f t="shared" si="0"/>
        <v>100</v>
      </c>
      <c r="F45" s="155">
        <f t="shared" si="1"/>
        <v>0</v>
      </c>
    </row>
    <row r="46" spans="1:6" ht="18.75" customHeight="1">
      <c r="A46" s="162">
        <v>2024000000</v>
      </c>
      <c r="B46" s="163" t="s">
        <v>102</v>
      </c>
      <c r="C46" s="159">
        <v>4853.3887</v>
      </c>
      <c r="D46" s="175">
        <v>4431.93419</v>
      </c>
      <c r="E46" s="155">
        <f t="shared" si="0"/>
        <v>91.31628361025359</v>
      </c>
      <c r="F46" s="155">
        <f t="shared" si="1"/>
        <v>-421.4545100000005</v>
      </c>
    </row>
    <row r="47" spans="1:6" ht="20.25" customHeight="1" hidden="1">
      <c r="A47" s="162">
        <v>2020700000</v>
      </c>
      <c r="B47" s="163" t="s">
        <v>315</v>
      </c>
      <c r="C47" s="159"/>
      <c r="D47" s="175"/>
      <c r="E47" s="155" t="e">
        <f t="shared" si="0"/>
        <v>#DIV/0!</v>
      </c>
      <c r="F47" s="155">
        <f t="shared" si="1"/>
        <v>0</v>
      </c>
    </row>
    <row r="48" spans="1:6" ht="1.5" customHeight="1" hidden="1">
      <c r="A48" s="162">
        <v>2020900000</v>
      </c>
      <c r="B48" s="166" t="s">
        <v>343</v>
      </c>
      <c r="C48" s="159">
        <v>0</v>
      </c>
      <c r="D48" s="175">
        <v>0</v>
      </c>
      <c r="E48" s="155" t="e">
        <f t="shared" si="0"/>
        <v>#DIV/0!</v>
      </c>
      <c r="F48" s="155">
        <f t="shared" si="1"/>
        <v>0</v>
      </c>
    </row>
    <row r="49" spans="1:6" ht="18" customHeight="1" hidden="1">
      <c r="A49" s="153">
        <v>2190500005</v>
      </c>
      <c r="B49" s="158" t="s">
        <v>209</v>
      </c>
      <c r="C49" s="161">
        <v>0</v>
      </c>
      <c r="D49" s="161">
        <v>0</v>
      </c>
      <c r="E49" s="150" t="e">
        <f t="shared" si="0"/>
        <v>#DIV/0!</v>
      </c>
      <c r="F49" s="150">
        <f t="shared" si="1"/>
        <v>0</v>
      </c>
    </row>
    <row r="50" spans="1:6" s="139" customFormat="1" ht="19.5" customHeight="1" hidden="1">
      <c r="A50" s="148">
        <v>3000000000</v>
      </c>
      <c r="B50" s="157" t="s">
        <v>210</v>
      </c>
      <c r="C50" s="260">
        <v>0</v>
      </c>
      <c r="D50" s="161">
        <v>0</v>
      </c>
      <c r="E50" s="150" t="e">
        <f t="shared" si="0"/>
        <v>#DIV/0!</v>
      </c>
      <c r="F50" s="150">
        <f t="shared" si="1"/>
        <v>0</v>
      </c>
    </row>
    <row r="51" spans="1:6" s="139" customFormat="1" ht="17.25" customHeight="1">
      <c r="A51" s="153">
        <v>2070500010</v>
      </c>
      <c r="B51" s="154" t="s">
        <v>350</v>
      </c>
      <c r="C51" s="159">
        <v>1874.62666</v>
      </c>
      <c r="D51" s="156">
        <v>1977</v>
      </c>
      <c r="E51" s="155">
        <f t="shared" si="0"/>
        <v>105.4609988316287</v>
      </c>
      <c r="F51" s="155">
        <f t="shared" si="1"/>
        <v>102.3733400000001</v>
      </c>
    </row>
    <row r="52" spans="1:7" s="139" customFormat="1" ht="15.75" customHeight="1">
      <c r="A52" s="148"/>
      <c r="B52" s="149" t="s">
        <v>211</v>
      </c>
      <c r="C52" s="270">
        <f>C39+C40</f>
        <v>33411.55514</v>
      </c>
      <c r="D52" s="445">
        <f>D39+D40</f>
        <v>32685.878719999997</v>
      </c>
      <c r="E52" s="150">
        <f t="shared" si="0"/>
        <v>97.82806751448923</v>
      </c>
      <c r="F52" s="150">
        <f t="shared" si="1"/>
        <v>-725.6764199999998</v>
      </c>
      <c r="G52" s="141"/>
    </row>
    <row r="53" spans="1:6" s="139" customFormat="1" ht="15.75">
      <c r="A53" s="148"/>
      <c r="B53" s="188" t="s">
        <v>316</v>
      </c>
      <c r="C53" s="270">
        <f>C52-C105</f>
        <v>-426.8202300000048</v>
      </c>
      <c r="D53" s="270">
        <f>D52-D105</f>
        <v>-267.0189000000064</v>
      </c>
      <c r="E53" s="190"/>
      <c r="F53" s="190"/>
    </row>
    <row r="54" spans="1:6" ht="15.75">
      <c r="A54" s="191"/>
      <c r="B54" s="192"/>
      <c r="C54" s="193"/>
      <c r="D54" s="193"/>
      <c r="E54" s="194"/>
      <c r="F54" s="195"/>
    </row>
    <row r="55" spans="1:6" ht="42.75" customHeight="1">
      <c r="A55" s="196" t="s">
        <v>141</v>
      </c>
      <c r="B55" s="196" t="s">
        <v>213</v>
      </c>
      <c r="C55" s="145" t="s">
        <v>143</v>
      </c>
      <c r="D55" s="146" t="s">
        <v>426</v>
      </c>
      <c r="E55" s="145" t="s">
        <v>144</v>
      </c>
      <c r="F55" s="147" t="s">
        <v>145</v>
      </c>
    </row>
    <row r="56" spans="1:6" ht="15.75">
      <c r="A56" s="263">
        <v>1</v>
      </c>
      <c r="B56" s="196">
        <v>2</v>
      </c>
      <c r="C56" s="199">
        <v>3</v>
      </c>
      <c r="D56" s="199">
        <v>4</v>
      </c>
      <c r="E56" s="199">
        <v>5</v>
      </c>
      <c r="F56" s="199">
        <v>6</v>
      </c>
    </row>
    <row r="57" spans="1:6" s="139" customFormat="1" ht="29.25" customHeight="1">
      <c r="A57" s="200" t="s">
        <v>33</v>
      </c>
      <c r="B57" s="201" t="s">
        <v>214</v>
      </c>
      <c r="C57" s="299">
        <f>C58+C59+C60+C61+C62+C64+C63</f>
        <v>3742.319</v>
      </c>
      <c r="D57" s="281">
        <f>D58+D59+D60+D61+D62+D64+D63</f>
        <v>3609.30122</v>
      </c>
      <c r="E57" s="202">
        <f>SUM(D57/C57*100)</f>
        <v>96.44557879753168</v>
      </c>
      <c r="F57" s="202">
        <f>SUM(D57-C57)</f>
        <v>-133.01778000000013</v>
      </c>
    </row>
    <row r="58" spans="1:6" s="139" customFormat="1" ht="31.5" hidden="1">
      <c r="A58" s="203" t="s">
        <v>215</v>
      </c>
      <c r="B58" s="204" t="s">
        <v>216</v>
      </c>
      <c r="C58" s="283"/>
      <c r="D58" s="283"/>
      <c r="E58" s="205"/>
      <c r="F58" s="205"/>
    </row>
    <row r="59" spans="1:6" ht="13.5" customHeight="1">
      <c r="A59" s="203" t="s">
        <v>217</v>
      </c>
      <c r="B59" s="206" t="s">
        <v>218</v>
      </c>
      <c r="C59" s="283">
        <v>3622.467</v>
      </c>
      <c r="D59" s="283">
        <v>3534.12522</v>
      </c>
      <c r="E59" s="205">
        <f>SUM(D59/C59*100)</f>
        <v>97.5612813035978</v>
      </c>
      <c r="F59" s="205">
        <f aca="true" t="shared" si="2" ref="F59:F71">SUM(D59-C59)</f>
        <v>-88.3417800000002</v>
      </c>
    </row>
    <row r="60" spans="1:6" ht="0.75" customHeight="1" hidden="1">
      <c r="A60" s="203" t="s">
        <v>219</v>
      </c>
      <c r="B60" s="206" t="s">
        <v>220</v>
      </c>
      <c r="C60" s="283"/>
      <c r="D60" s="283"/>
      <c r="E60" s="205"/>
      <c r="F60" s="205">
        <f t="shared" si="2"/>
        <v>0</v>
      </c>
    </row>
    <row r="61" spans="1:6" ht="31.5" customHeight="1" hidden="1">
      <c r="A61" s="203" t="s">
        <v>221</v>
      </c>
      <c r="B61" s="206" t="s">
        <v>222</v>
      </c>
      <c r="C61" s="283"/>
      <c r="D61" s="283"/>
      <c r="E61" s="205" t="e">
        <f aca="true" t="shared" si="3" ref="E61:E71">SUM(D61/C61*100)</f>
        <v>#DIV/0!</v>
      </c>
      <c r="F61" s="205">
        <f t="shared" si="2"/>
        <v>0</v>
      </c>
    </row>
    <row r="62" spans="1:6" ht="17.25" customHeight="1" hidden="1">
      <c r="A62" s="203" t="s">
        <v>223</v>
      </c>
      <c r="B62" s="206" t="s">
        <v>224</v>
      </c>
      <c r="C62" s="283"/>
      <c r="D62" s="283">
        <v>0</v>
      </c>
      <c r="E62" s="205" t="e">
        <f t="shared" si="3"/>
        <v>#DIV/0!</v>
      </c>
      <c r="F62" s="205">
        <f t="shared" si="2"/>
        <v>0</v>
      </c>
    </row>
    <row r="63" spans="1:6" ht="15.75" customHeight="1">
      <c r="A63" s="203" t="s">
        <v>225</v>
      </c>
      <c r="B63" s="206" t="s">
        <v>226</v>
      </c>
      <c r="C63" s="293">
        <v>0</v>
      </c>
      <c r="D63" s="293">
        <v>0</v>
      </c>
      <c r="E63" s="205" t="e">
        <f t="shared" si="3"/>
        <v>#DIV/0!</v>
      </c>
      <c r="F63" s="205">
        <f t="shared" si="2"/>
        <v>0</v>
      </c>
    </row>
    <row r="64" spans="1:6" ht="18" customHeight="1">
      <c r="A64" s="203" t="s">
        <v>227</v>
      </c>
      <c r="B64" s="206" t="s">
        <v>228</v>
      </c>
      <c r="C64" s="283">
        <v>119.852</v>
      </c>
      <c r="D64" s="283">
        <v>75.176</v>
      </c>
      <c r="E64" s="205">
        <f t="shared" si="3"/>
        <v>62.72402629910222</v>
      </c>
      <c r="F64" s="205">
        <f t="shared" si="2"/>
        <v>-44.676</v>
      </c>
    </row>
    <row r="65" spans="1:6" s="139" customFormat="1" ht="15.75">
      <c r="A65" s="208" t="s">
        <v>35</v>
      </c>
      <c r="B65" s="209" t="s">
        <v>229</v>
      </c>
      <c r="C65" s="281">
        <f>C66</f>
        <v>206.767</v>
      </c>
      <c r="D65" s="281">
        <f>D66</f>
        <v>206.767</v>
      </c>
      <c r="E65" s="202">
        <f t="shared" si="3"/>
        <v>100</v>
      </c>
      <c r="F65" s="202">
        <f t="shared" si="2"/>
        <v>0</v>
      </c>
    </row>
    <row r="66" spans="1:6" ht="15.75">
      <c r="A66" s="210" t="s">
        <v>230</v>
      </c>
      <c r="B66" s="211" t="s">
        <v>231</v>
      </c>
      <c r="C66" s="283">
        <v>206.767</v>
      </c>
      <c r="D66" s="283">
        <v>206.767</v>
      </c>
      <c r="E66" s="205">
        <f t="shared" si="3"/>
        <v>100</v>
      </c>
      <c r="F66" s="205">
        <f t="shared" si="2"/>
        <v>0</v>
      </c>
    </row>
    <row r="67" spans="1:6" s="139" customFormat="1" ht="14.25" customHeight="1">
      <c r="A67" s="200" t="s">
        <v>37</v>
      </c>
      <c r="B67" s="201" t="s">
        <v>232</v>
      </c>
      <c r="C67" s="281">
        <f>C70+C71+C72</f>
        <v>7.9</v>
      </c>
      <c r="D67" s="281">
        <f>D70+D71+D72</f>
        <v>7.9</v>
      </c>
      <c r="E67" s="202">
        <f t="shared" si="3"/>
        <v>100</v>
      </c>
      <c r="F67" s="202">
        <f t="shared" si="2"/>
        <v>0</v>
      </c>
    </row>
    <row r="68" spans="1:6" ht="15.75" hidden="1">
      <c r="A68" s="203" t="s">
        <v>233</v>
      </c>
      <c r="B68" s="206" t="s">
        <v>234</v>
      </c>
      <c r="C68" s="283"/>
      <c r="D68" s="283"/>
      <c r="E68" s="202" t="e">
        <f t="shared" si="3"/>
        <v>#DIV/0!</v>
      </c>
      <c r="F68" s="202">
        <f t="shared" si="2"/>
        <v>0</v>
      </c>
    </row>
    <row r="69" spans="1:6" ht="15.75" hidden="1">
      <c r="A69" s="212" t="s">
        <v>235</v>
      </c>
      <c r="B69" s="206" t="s">
        <v>317</v>
      </c>
      <c r="C69" s="283"/>
      <c r="D69" s="283"/>
      <c r="E69" s="202" t="e">
        <f t="shared" si="3"/>
        <v>#DIV/0!</v>
      </c>
      <c r="F69" s="202">
        <f t="shared" si="2"/>
        <v>0</v>
      </c>
    </row>
    <row r="70" spans="1:6" ht="17.25" customHeight="1" hidden="1">
      <c r="A70" s="213" t="s">
        <v>237</v>
      </c>
      <c r="B70" s="214" t="s">
        <v>238</v>
      </c>
      <c r="C70" s="300"/>
      <c r="D70" s="283">
        <v>0</v>
      </c>
      <c r="E70" s="202" t="e">
        <f t="shared" si="3"/>
        <v>#DIV/0!</v>
      </c>
      <c r="F70" s="202">
        <f t="shared" si="2"/>
        <v>0</v>
      </c>
    </row>
    <row r="71" spans="1:6" ht="15.75" customHeight="1">
      <c r="A71" s="213" t="s">
        <v>239</v>
      </c>
      <c r="B71" s="214" t="s">
        <v>240</v>
      </c>
      <c r="C71" s="283">
        <v>5.9</v>
      </c>
      <c r="D71" s="283">
        <v>5.9</v>
      </c>
      <c r="E71" s="202">
        <f t="shared" si="3"/>
        <v>100</v>
      </c>
      <c r="F71" s="202">
        <f t="shared" si="2"/>
        <v>0</v>
      </c>
    </row>
    <row r="72" spans="1:6" ht="15.75" customHeight="1">
      <c r="A72" s="213" t="s">
        <v>241</v>
      </c>
      <c r="B72" s="214" t="s">
        <v>351</v>
      </c>
      <c r="C72" s="283">
        <v>2</v>
      </c>
      <c r="D72" s="283">
        <v>2</v>
      </c>
      <c r="E72" s="202"/>
      <c r="F72" s="202"/>
    </row>
    <row r="73" spans="1:6" s="139" customFormat="1" ht="15" customHeight="1">
      <c r="A73" s="200" t="s">
        <v>39</v>
      </c>
      <c r="B73" s="201" t="s">
        <v>243</v>
      </c>
      <c r="C73" s="251">
        <f>SUM(C74:C77)</f>
        <v>3200.274</v>
      </c>
      <c r="D73" s="251">
        <f>SUM(D74:D77)</f>
        <v>2876.57714</v>
      </c>
      <c r="E73" s="202">
        <f aca="true" t="shared" si="4" ref="E73:E105">SUM(D73/C73*100)</f>
        <v>89.88533919283161</v>
      </c>
      <c r="F73" s="202">
        <f aca="true" t="shared" si="5" ref="F73:F92">SUM(D73-C73)</f>
        <v>-323.69686</v>
      </c>
    </row>
    <row r="74" spans="1:6" ht="15" customHeight="1" hidden="1">
      <c r="A74" s="203" t="s">
        <v>246</v>
      </c>
      <c r="B74" s="206" t="s">
        <v>319</v>
      </c>
      <c r="C74" s="284"/>
      <c r="D74" s="283">
        <v>0</v>
      </c>
      <c r="E74" s="205" t="e">
        <f t="shared" si="4"/>
        <v>#DIV/0!</v>
      </c>
      <c r="F74" s="205">
        <f t="shared" si="5"/>
        <v>0</v>
      </c>
    </row>
    <row r="75" spans="1:7" s="139" customFormat="1" ht="15" customHeight="1" hidden="1">
      <c r="A75" s="203" t="s">
        <v>248</v>
      </c>
      <c r="B75" s="206" t="s">
        <v>320</v>
      </c>
      <c r="C75" s="284"/>
      <c r="D75" s="283">
        <v>0</v>
      </c>
      <c r="E75" s="205" t="e">
        <f t="shared" si="4"/>
        <v>#DIV/0!</v>
      </c>
      <c r="F75" s="205">
        <f t="shared" si="5"/>
        <v>0</v>
      </c>
      <c r="G75" s="142"/>
    </row>
    <row r="76" spans="1:6" ht="15.75">
      <c r="A76" s="203" t="s">
        <v>250</v>
      </c>
      <c r="B76" s="206" t="s">
        <v>251</v>
      </c>
      <c r="C76" s="284">
        <v>2769.72</v>
      </c>
      <c r="D76" s="283">
        <v>2768.12067</v>
      </c>
      <c r="E76" s="205">
        <f t="shared" si="4"/>
        <v>99.94225661799749</v>
      </c>
      <c r="F76" s="205">
        <f t="shared" si="5"/>
        <v>-1.599330000000009</v>
      </c>
    </row>
    <row r="77" spans="1:6" ht="15.75">
      <c r="A77" s="203" t="s">
        <v>252</v>
      </c>
      <c r="B77" s="206" t="s">
        <v>253</v>
      </c>
      <c r="C77" s="284">
        <v>430.554</v>
      </c>
      <c r="D77" s="283">
        <v>108.45647</v>
      </c>
      <c r="E77" s="205">
        <f t="shared" si="4"/>
        <v>25.189980815414557</v>
      </c>
      <c r="F77" s="205">
        <f t="shared" si="5"/>
        <v>-322.09753</v>
      </c>
    </row>
    <row r="78" spans="1:6" s="139" customFormat="1" ht="17.25" customHeight="1">
      <c r="A78" s="200" t="s">
        <v>41</v>
      </c>
      <c r="B78" s="201" t="s">
        <v>254</v>
      </c>
      <c r="C78" s="281">
        <f>SUM(C79:C82)</f>
        <v>26115.80632</v>
      </c>
      <c r="D78" s="281">
        <f>SUM(D79:D82)</f>
        <v>26013.67019</v>
      </c>
      <c r="E78" s="202">
        <f t="shared" si="4"/>
        <v>99.60891067750882</v>
      </c>
      <c r="F78" s="202">
        <f t="shared" si="5"/>
        <v>-102.13612999999896</v>
      </c>
    </row>
    <row r="79" spans="1:6" ht="22.5" customHeight="1">
      <c r="A79" s="203" t="s">
        <v>255</v>
      </c>
      <c r="B79" s="217" t="s">
        <v>256</v>
      </c>
      <c r="C79" s="283">
        <v>4515.1227</v>
      </c>
      <c r="D79" s="283">
        <v>4515.1227</v>
      </c>
      <c r="E79" s="205">
        <f t="shared" si="4"/>
        <v>100</v>
      </c>
      <c r="F79" s="205">
        <f t="shared" si="5"/>
        <v>0</v>
      </c>
    </row>
    <row r="80" spans="1:6" ht="19.5" customHeight="1">
      <c r="A80" s="203" t="s">
        <v>257</v>
      </c>
      <c r="B80" s="217" t="s">
        <v>258</v>
      </c>
      <c r="C80" s="283">
        <v>20347.64794</v>
      </c>
      <c r="D80" s="283">
        <v>20283.41981</v>
      </c>
      <c r="E80" s="205">
        <f t="shared" si="4"/>
        <v>99.68434617018443</v>
      </c>
      <c r="F80" s="205">
        <f t="shared" si="5"/>
        <v>-64.22812999999951</v>
      </c>
    </row>
    <row r="81" spans="1:6" ht="17.25" customHeight="1">
      <c r="A81" s="203" t="s">
        <v>259</v>
      </c>
      <c r="B81" s="206" t="s">
        <v>260</v>
      </c>
      <c r="C81" s="283">
        <v>1253.03568</v>
      </c>
      <c r="D81" s="283">
        <v>1215.12768</v>
      </c>
      <c r="E81" s="205">
        <f t="shared" si="4"/>
        <v>96.97470705702492</v>
      </c>
      <c r="F81" s="205">
        <f t="shared" si="5"/>
        <v>-37.9079999999999</v>
      </c>
    </row>
    <row r="82" spans="1:6" ht="21.75" customHeight="1" hidden="1">
      <c r="A82" s="203" t="s">
        <v>330</v>
      </c>
      <c r="B82" s="206" t="s">
        <v>331</v>
      </c>
      <c r="C82" s="283">
        <v>0</v>
      </c>
      <c r="D82" s="283">
        <v>0</v>
      </c>
      <c r="E82" s="205" t="e">
        <f t="shared" si="4"/>
        <v>#DIV/0!</v>
      </c>
      <c r="F82" s="205">
        <f t="shared" si="5"/>
        <v>0</v>
      </c>
    </row>
    <row r="83" spans="1:6" s="139" customFormat="1" ht="20.25" customHeight="1">
      <c r="A83" s="200" t="s">
        <v>47</v>
      </c>
      <c r="B83" s="201" t="s">
        <v>275</v>
      </c>
      <c r="C83" s="281">
        <f>C84+C85</f>
        <v>536.43207</v>
      </c>
      <c r="D83" s="281">
        <f>D84+D85</f>
        <v>209.88207</v>
      </c>
      <c r="E83" s="202">
        <f t="shared" si="4"/>
        <v>39.125563466032155</v>
      </c>
      <c r="F83" s="202">
        <f t="shared" si="5"/>
        <v>-326.54999999999995</v>
      </c>
    </row>
    <row r="84" spans="1:6" ht="18" customHeight="1">
      <c r="A84" s="203" t="s">
        <v>276</v>
      </c>
      <c r="B84" s="206" t="s">
        <v>277</v>
      </c>
      <c r="C84" s="283">
        <v>536.43207</v>
      </c>
      <c r="D84" s="283">
        <v>209.88207</v>
      </c>
      <c r="E84" s="205">
        <f t="shared" si="4"/>
        <v>39.125563466032155</v>
      </c>
      <c r="F84" s="205">
        <f t="shared" si="5"/>
        <v>-326.54999999999995</v>
      </c>
    </row>
    <row r="85" spans="1:6" ht="15.75" hidden="1">
      <c r="A85" s="203" t="s">
        <v>278</v>
      </c>
      <c r="B85" s="206" t="s">
        <v>279</v>
      </c>
      <c r="C85" s="283">
        <v>0</v>
      </c>
      <c r="D85" s="283">
        <v>0</v>
      </c>
      <c r="E85" s="205" t="e">
        <f t="shared" si="4"/>
        <v>#DIV/0!</v>
      </c>
      <c r="F85" s="205">
        <f t="shared" si="5"/>
        <v>0</v>
      </c>
    </row>
    <row r="86" spans="1:6" s="139" customFormat="1" ht="15.75" hidden="1">
      <c r="A86" s="218">
        <v>1000</v>
      </c>
      <c r="B86" s="201" t="s">
        <v>280</v>
      </c>
      <c r="C86" s="281">
        <f>SUM(C87:C90)</f>
        <v>0</v>
      </c>
      <c r="D86" s="281">
        <f>SUM(D87:D90)</f>
        <v>0</v>
      </c>
      <c r="E86" s="205" t="e">
        <f t="shared" si="4"/>
        <v>#DIV/0!</v>
      </c>
      <c r="F86" s="205">
        <f t="shared" si="5"/>
        <v>0</v>
      </c>
    </row>
    <row r="87" spans="1:6" ht="15.75" hidden="1">
      <c r="A87" s="219">
        <v>1001</v>
      </c>
      <c r="B87" s="220" t="s">
        <v>281</v>
      </c>
      <c r="C87" s="283"/>
      <c r="D87" s="283"/>
      <c r="E87" s="205" t="e">
        <f t="shared" si="4"/>
        <v>#DIV/0!</v>
      </c>
      <c r="F87" s="205">
        <f t="shared" si="5"/>
        <v>0</v>
      </c>
    </row>
    <row r="88" spans="1:6" ht="17.25" customHeight="1" hidden="1">
      <c r="A88" s="219">
        <v>1003</v>
      </c>
      <c r="B88" s="220" t="s">
        <v>282</v>
      </c>
      <c r="C88" s="283">
        <v>0</v>
      </c>
      <c r="D88" s="283">
        <v>0</v>
      </c>
      <c r="E88" s="205" t="e">
        <f t="shared" si="4"/>
        <v>#DIV/0!</v>
      </c>
      <c r="F88" s="205">
        <f t="shared" si="5"/>
        <v>0</v>
      </c>
    </row>
    <row r="89" spans="1:6" ht="15" customHeight="1" hidden="1">
      <c r="A89" s="219">
        <v>1004</v>
      </c>
      <c r="B89" s="220" t="s">
        <v>283</v>
      </c>
      <c r="C89" s="283">
        <v>0</v>
      </c>
      <c r="D89" s="285">
        <v>0</v>
      </c>
      <c r="E89" s="205" t="e">
        <f t="shared" si="4"/>
        <v>#DIV/0!</v>
      </c>
      <c r="F89" s="205">
        <f t="shared" si="5"/>
        <v>0</v>
      </c>
    </row>
    <row r="90" spans="1:6" ht="18" customHeight="1" hidden="1">
      <c r="A90" s="203" t="s">
        <v>284</v>
      </c>
      <c r="B90" s="206" t="s">
        <v>285</v>
      </c>
      <c r="C90" s="283">
        <v>0</v>
      </c>
      <c r="D90" s="283">
        <v>0</v>
      </c>
      <c r="E90" s="205" t="e">
        <f t="shared" si="4"/>
        <v>#DIV/0!</v>
      </c>
      <c r="F90" s="205">
        <f t="shared" si="5"/>
        <v>0</v>
      </c>
    </row>
    <row r="91" spans="1:6" ht="18.75" customHeight="1" hidden="1">
      <c r="A91" s="218">
        <v>1000</v>
      </c>
      <c r="B91" s="201" t="s">
        <v>280</v>
      </c>
      <c r="C91" s="281">
        <f>SUM(C92)</f>
        <v>0</v>
      </c>
      <c r="D91" s="281">
        <f>SUM(D92)</f>
        <v>0</v>
      </c>
      <c r="E91" s="202" t="e">
        <f t="shared" si="4"/>
        <v>#DIV/0!</v>
      </c>
      <c r="F91" s="202">
        <f t="shared" si="5"/>
        <v>0</v>
      </c>
    </row>
    <row r="92" spans="1:6" ht="20.25" customHeight="1" hidden="1">
      <c r="A92" s="219">
        <v>1006</v>
      </c>
      <c r="B92" s="220" t="s">
        <v>281</v>
      </c>
      <c r="C92" s="283">
        <v>0</v>
      </c>
      <c r="D92" s="283">
        <v>0</v>
      </c>
      <c r="E92" s="205" t="e">
        <f t="shared" si="4"/>
        <v>#DIV/0!</v>
      </c>
      <c r="F92" s="205">
        <f t="shared" si="5"/>
        <v>0</v>
      </c>
    </row>
    <row r="93" spans="1:6" s="139" customFormat="1" ht="20.25" customHeight="1">
      <c r="A93" s="218">
        <v>1000</v>
      </c>
      <c r="B93" s="222" t="s">
        <v>280</v>
      </c>
      <c r="C93" s="281">
        <f>SUM(C94)</f>
        <v>5</v>
      </c>
      <c r="D93" s="281">
        <f>SUM(D94)</f>
        <v>5</v>
      </c>
      <c r="E93" s="202"/>
      <c r="F93" s="202"/>
    </row>
    <row r="94" spans="1:6" ht="20.25" customHeight="1">
      <c r="A94" s="219">
        <v>1003</v>
      </c>
      <c r="B94" s="220" t="s">
        <v>282</v>
      </c>
      <c r="C94" s="283">
        <v>5</v>
      </c>
      <c r="D94" s="283">
        <v>5</v>
      </c>
      <c r="E94" s="205"/>
      <c r="F94" s="205"/>
    </row>
    <row r="95" spans="1:6" ht="16.5" customHeight="1">
      <c r="A95" s="219">
        <v>1100</v>
      </c>
      <c r="B95" s="222" t="s">
        <v>286</v>
      </c>
      <c r="C95" s="281">
        <f>C96+C97+C98+C99+C100</f>
        <v>23.87698</v>
      </c>
      <c r="D95" s="281">
        <f>D96+D97+D98+D99+D100</f>
        <v>23.8</v>
      </c>
      <c r="E95" s="205">
        <f t="shared" si="4"/>
        <v>99.67759741809894</v>
      </c>
      <c r="F95" s="190">
        <f>F96+F97+F98+F99+F100</f>
        <v>-0.07697999999999894</v>
      </c>
    </row>
    <row r="96" spans="1:6" ht="18.75" customHeight="1">
      <c r="A96" s="219">
        <v>1101</v>
      </c>
      <c r="B96" s="220" t="s">
        <v>288</v>
      </c>
      <c r="C96" s="283">
        <v>23.87698</v>
      </c>
      <c r="D96" s="283">
        <v>23.8</v>
      </c>
      <c r="E96" s="205">
        <f t="shared" si="4"/>
        <v>99.67759741809894</v>
      </c>
      <c r="F96" s="205">
        <f>SUM(D96-C96)</f>
        <v>-0.07697999999999894</v>
      </c>
    </row>
    <row r="97" spans="1:6" ht="0.75" customHeight="1" hidden="1">
      <c r="A97" s="203" t="s">
        <v>284</v>
      </c>
      <c r="B97" s="206" t="s">
        <v>285</v>
      </c>
      <c r="C97" s="283"/>
      <c r="D97" s="283"/>
      <c r="E97" s="205" t="e">
        <f t="shared" si="4"/>
        <v>#DIV/0!</v>
      </c>
      <c r="F97" s="205">
        <f>SUM(D97-C97)</f>
        <v>0</v>
      </c>
    </row>
    <row r="98" spans="1:6" ht="18" customHeight="1" hidden="1">
      <c r="A98" s="203" t="s">
        <v>291</v>
      </c>
      <c r="B98" s="206" t="s">
        <v>292</v>
      </c>
      <c r="C98" s="283"/>
      <c r="D98" s="283"/>
      <c r="E98" s="205" t="e">
        <f t="shared" si="4"/>
        <v>#DIV/0!</v>
      </c>
      <c r="F98" s="205"/>
    </row>
    <row r="99" spans="1:6" ht="17.25" customHeight="1" hidden="1">
      <c r="A99" s="203" t="s">
        <v>293</v>
      </c>
      <c r="B99" s="206" t="s">
        <v>294</v>
      </c>
      <c r="C99" s="283"/>
      <c r="D99" s="283"/>
      <c r="E99" s="205" t="e">
        <f t="shared" si="4"/>
        <v>#DIV/0!</v>
      </c>
      <c r="F99" s="205"/>
    </row>
    <row r="100" spans="1:6" ht="18" customHeight="1" hidden="1">
      <c r="A100" s="203" t="s">
        <v>295</v>
      </c>
      <c r="B100" s="206" t="s">
        <v>296</v>
      </c>
      <c r="C100" s="283"/>
      <c r="D100" s="283"/>
      <c r="E100" s="205" t="e">
        <f t="shared" si="4"/>
        <v>#DIV/0!</v>
      </c>
      <c r="F100" s="205"/>
    </row>
    <row r="101" spans="1:6" s="139" customFormat="1" ht="19.5" customHeight="1" hidden="1">
      <c r="A101" s="218">
        <v>1400</v>
      </c>
      <c r="B101" s="222" t="s">
        <v>303</v>
      </c>
      <c r="C101" s="251">
        <f>C102+C103+C104</f>
        <v>0</v>
      </c>
      <c r="D101" s="251">
        <f>SUM(D102:D104)</f>
        <v>0</v>
      </c>
      <c r="E101" s="202" t="e">
        <f t="shared" si="4"/>
        <v>#DIV/0!</v>
      </c>
      <c r="F101" s="202">
        <f>SUM(D101-C101)</f>
        <v>0</v>
      </c>
    </row>
    <row r="102" spans="1:6" ht="0.75" customHeight="1">
      <c r="A102" s="219">
        <v>1401</v>
      </c>
      <c r="B102" s="220" t="s">
        <v>304</v>
      </c>
      <c r="C102" s="284"/>
      <c r="D102" s="283"/>
      <c r="E102" s="205" t="e">
        <f t="shared" si="4"/>
        <v>#DIV/0!</v>
      </c>
      <c r="F102" s="205">
        <f>SUM(D102-C102)</f>
        <v>0</v>
      </c>
    </row>
    <row r="103" spans="1:6" ht="15" customHeight="1" hidden="1">
      <c r="A103" s="219">
        <v>1402</v>
      </c>
      <c r="B103" s="220" t="s">
        <v>305</v>
      </c>
      <c r="C103" s="284"/>
      <c r="D103" s="283"/>
      <c r="E103" s="205" t="e">
        <f t="shared" si="4"/>
        <v>#DIV/0!</v>
      </c>
      <c r="F103" s="205">
        <f>SUM(D103-C103)</f>
        <v>0</v>
      </c>
    </row>
    <row r="104" spans="1:6" ht="12.75" customHeight="1" hidden="1">
      <c r="A104" s="219">
        <v>1403</v>
      </c>
      <c r="B104" s="220" t="s">
        <v>306</v>
      </c>
      <c r="C104" s="284"/>
      <c r="D104" s="283"/>
      <c r="E104" s="205" t="e">
        <f t="shared" si="4"/>
        <v>#DIV/0!</v>
      </c>
      <c r="F104" s="205">
        <f>SUM(D104-C104)</f>
        <v>0</v>
      </c>
    </row>
    <row r="105" spans="1:6" s="139" customFormat="1" ht="14.25" customHeight="1">
      <c r="A105" s="218"/>
      <c r="B105" s="223" t="s">
        <v>307</v>
      </c>
      <c r="C105" s="446">
        <f>C57+C65+C67+C73+C78+C83+C86+C95+C101+C91+C93</f>
        <v>33838.37537</v>
      </c>
      <c r="D105" s="446">
        <f>D57+D65+D67+D73+D78+D83+D86+D95+D101+D91+D93</f>
        <v>32952.89762</v>
      </c>
      <c r="E105" s="202">
        <f t="shared" si="4"/>
        <v>97.3832143525867</v>
      </c>
      <c r="F105" s="202">
        <f>SUM(D105-C105)</f>
        <v>-885.4777499999982</v>
      </c>
    </row>
    <row r="106" ht="15.75">
      <c r="D106" s="296"/>
    </row>
    <row r="107" spans="1:4" s="143" customFormat="1" ht="12.75">
      <c r="A107" s="228" t="s">
        <v>308</v>
      </c>
      <c r="B107" s="228"/>
      <c r="C107" s="297"/>
      <c r="D107" s="254"/>
    </row>
    <row r="108" spans="1:3" s="143" customFormat="1" ht="18.75" customHeight="1">
      <c r="A108" s="230" t="s">
        <v>309</v>
      </c>
      <c r="B108" s="230"/>
      <c r="C108" s="143" t="s">
        <v>310</v>
      </c>
    </row>
    <row r="143" ht="15.75" hidden="1"/>
  </sheetData>
  <sheetProtection selectLockedCells="1" selectUnlockedCells="1"/>
  <mergeCells count="2">
    <mergeCell ref="A1:F1"/>
    <mergeCell ref="A2:F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morgau_fin3</cp:lastModifiedBy>
  <cp:lastPrinted>2022-01-18T11:42:17Z</cp:lastPrinted>
  <dcterms:modified xsi:type="dcterms:W3CDTF">2022-01-21T07:21:48Z</dcterms:modified>
  <cp:category/>
  <cp:version/>
  <cp:contentType/>
  <cp:contentStatus/>
</cp:coreProperties>
</file>