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'Лист1'!$A$1:$J$135</definedName>
  </definedNames>
  <calcPr fullCalcOnLoad="1"/>
</workbook>
</file>

<file path=xl/sharedStrings.xml><?xml version="1.0" encoding="utf-8"?>
<sst xmlns="http://schemas.openxmlformats.org/spreadsheetml/2006/main" count="1308" uniqueCount="336">
  <si>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</si>
  <si>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</si>
  <si>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</si>
  <si>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</si>
  <si>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</si>
  <si>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</si>
  <si>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</si>
  <si>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</si>
  <si>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</si>
  <si>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</si>
  <si>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</si>
  <si>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</si>
  <si>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</si>
  <si>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</si>
  <si>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</si>
  <si>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</si>
  <si>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</si>
  <si>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</si>
  <si>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</si>
  <si>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</si>
  <si>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</si>
  <si>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</si>
  <si>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</si>
  <si>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</si>
  <si>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</si>
  <si>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</si>
  <si>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</si>
  <si>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</si>
  <si>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</si>
  <si>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</si>
  <si>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</si>
  <si>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</si>
  <si>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</si>
  <si>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</si>
  <si>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</si>
  <si>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</si>
  <si>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</si>
  <si>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</si>
  <si>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</si>
  <si>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</si>
  <si>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</si>
  <si>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</si>
  <si>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</si>
  <si>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</si>
  <si>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</si>
  <si>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</si>
  <si>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</si>
  <si>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</si>
  <si>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</si>
  <si>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</si>
  <si>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</si>
  <si>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</si>
  <si>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</si>
  <si>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</si>
  <si>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</si>
  <si>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</si>
  <si>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</si>
  <si>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</si>
  <si>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</si>
  <si>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</si>
  <si>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</si>
  <si>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</si>
  <si>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</si>
  <si>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</si>
  <si>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</si>
  <si>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</si>
  <si>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</si>
  <si>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</si>
  <si>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</si>
  <si>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</si>
  <si>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</si>
  <si>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</si>
  <si>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</si>
  <si>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</si>
  <si>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</si>
  <si>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</si>
  <si>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</si>
  <si>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</si>
  <si>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</si>
  <si>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</si>
  <si>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</si>
  <si>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</si>
  <si>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</si>
  <si>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</si>
  <si>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</si>
  <si>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</si>
  <si>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</si>
  <si>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</si>
  <si>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</si>
  <si>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</si>
  <si>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</si>
  <si>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</si>
  <si>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</si>
  <si>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</si>
  <si>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</si>
  <si>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</si>
  <si>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</si>
  <si>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</si>
  <si>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</si>
  <si>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</si>
  <si>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</si>
  <si>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</si>
  <si>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</si>
  <si>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</si>
  <si>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</si>
  <si>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</si>
  <si>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</si>
  <si>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</si>
  <si>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</si>
  <si>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</si>
  <si>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</si>
  <si>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</si>
  <si>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</si>
  <si>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</si>
  <si>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</si>
  <si>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</si>
  <si>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</si>
  <si>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</si>
  <si>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</si>
  <si>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</si>
  <si>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</si>
  <si>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</si>
  <si>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</si>
  <si>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</si>
  <si>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</si>
  <si>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</si>
  <si>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</si>
  <si>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</si>
  <si>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</si>
  <si>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</si>
  <si>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</si>
  <si>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</si>
  <si>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</si>
  <si>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</si>
  <si>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</si>
  <si>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</si>
  <si>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</si>
  <si>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</si>
  <si>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</si>
  <si>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</si>
  <si>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</si>
  <si>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</si>
  <si>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</si>
  <si>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</si>
  <si>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</si>
  <si>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</si>
  <si>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</si>
  <si>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</si>
  <si>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</si>
  <si>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</si>
  <si>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</si>
  <si>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</si>
  <si>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</si>
  <si>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</si>
  <si>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</si>
  <si>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</si>
  <si>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</si>
  <si>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</si>
  <si>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</si>
  <si>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 xml:space="preserve">  из них: капитальный и текущий ремонт объектов водоснабжения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</si>
  <si>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</si>
  <si>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</si>
  <si>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</si>
  <si>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</si>
  <si>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</si>
  <si>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</si>
  <si>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</si>
  <si>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</si>
  <si>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</si>
  <si>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</si>
  <si>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</si>
  <si>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из них: содержание муниципального жилфонда</t>
  </si>
  <si>
    <t>из  них: прочие выплаиы по обязательствам муниципального образования (районн. бюдж.)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</si>
  <si>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</si>
  <si>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</si>
  <si>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</si>
  <si>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</si>
  <si>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</si>
  <si>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</si>
  <si>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</si>
  <si>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</si>
  <si>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</si>
  <si>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</si>
  <si>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</si>
  <si>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</si>
  <si>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</si>
  <si>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</si>
  <si>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</si>
  <si>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</si>
  <si>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</si>
  <si>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</si>
  <si>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</si>
  <si>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</si>
  <si>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</si>
  <si>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</si>
  <si>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</si>
  <si>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</si>
  <si>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</si>
  <si>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</si>
  <si>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</si>
  <si>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</si>
  <si>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</si>
  <si>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</si>
  <si>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</si>
  <si>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</si>
  <si>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</si>
  <si>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</si>
  <si>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</si>
  <si>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</si>
  <si>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</si>
  <si>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</si>
  <si>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</si>
  <si>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</si>
  <si>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</si>
  <si>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</si>
  <si>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</si>
  <si>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</si>
  <si>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</si>
  <si>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</si>
  <si>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</si>
  <si>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</si>
  <si>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</si>
  <si>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</si>
  <si>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</si>
  <si>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</si>
  <si>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</si>
  <si>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</si>
  <si>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</si>
  <si>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</si>
  <si>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</si>
  <si>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</si>
  <si>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</si>
  <si>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</si>
  <si>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</si>
  <si>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</si>
  <si>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</si>
  <si>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</si>
  <si>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</si>
  <si>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</si>
  <si>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</si>
  <si>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</si>
  <si>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</si>
  <si>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</si>
  <si>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</si>
  <si>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</si>
  <si>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софинансирование  из местного бюджета  на капремонт и ремонт дворовых территорий многоквартирных домов (софин.местн.)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</si>
  <si>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</si>
  <si>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организация и проведение фестивалей, конкурсов, торжественных вечеров, концертов и иных зрелищных мероприятий</t>
  </si>
  <si>
    <t>Благоустройство  дворовых и общественных территорий (ср-ва  посел.)</t>
  </si>
  <si>
    <t>Уточненный план на 2020 год</t>
  </si>
  <si>
    <t>% исполне-ния к  годовому плану  на 2020 г.</t>
  </si>
  <si>
    <t>Отклонение от годового плана 2020 г ( +, - )</t>
  </si>
  <si>
    <t>% исполне-ния к  годовому плану  на  2020 г.</t>
  </si>
  <si>
    <t>% исполнения к  годовому плану  на 2020 г.</t>
  </si>
  <si>
    <t xml:space="preserve">Отклонение от годового плана 2020 г ( +, - )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</si>
  <si>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</si>
  <si>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</si>
  <si>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</si>
  <si>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</si>
  <si>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</si>
  <si>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</si>
  <si>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</si>
  <si>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из  них: прочие выплаты по обязательствам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</si>
  <si>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(КР  дорог)</t>
  </si>
  <si>
    <t>СУБСИДИИ БЮДЖЕТАМ ГОРОДСКИХ ПОСЕЛЕНИЙ НА ПОДГОТОВКУ И ПРОВЕДЕНИЕ  ПРАЗДНОВАНИЯ НА ФЕДЕРАЛЬНОМ УРОВНЕ ПАМЯТНЫХ ДАТ СУБЪЕКТОВ РОССИЙСКОЙ  ФЕДЕРАЦИИ</t>
  </si>
  <si>
    <t>На  подготовку и проведение празднования на федеральном уровне памятных дат - всего</t>
  </si>
  <si>
    <t>в т. ч. Организация и обеспечение безопасности дорожного движения ( местн.)</t>
  </si>
  <si>
    <t>в т. ч. Организация и обеспечение безопасности дорожного движения (местн.)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</si>
  <si>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(НА РЕАЛИЗ ПРОГ. СОВРЕМ. ГОРОД. СРЕДЫ)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</si>
  <si>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((НА ПОДГОТ. И ПРОВЕД. ПРАЗДНОВАНИЯ ПАМЯТНЫХ ДАТ)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</si>
  <si>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</si>
  <si>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Реализация комплекса мероприятий  по благоустройству  дворовых территрий и тротуаров (ср-ва  респ. бюдж.)                     </t>
  </si>
  <si>
    <t xml:space="preserve">          Благоустройство сельских территорий - всего       </t>
  </si>
  <si>
    <t xml:space="preserve">           в том числе за счет  средств фед. бюдж.             </t>
  </si>
  <si>
    <t xml:space="preserve">           в том числе за счет  средств  респ. бюдж.             </t>
  </si>
  <si>
    <t xml:space="preserve">          в том числе за счет  средств  бюдж.  посел.      </t>
  </si>
  <si>
    <t xml:space="preserve">      в том числе за счет  средств  от насел. </t>
  </si>
  <si>
    <t>СУБСИДИИ БЮДЖЕТАМ СЕЛЬСКИХ ПОСЕЛЕНИЙ НА ОБЕСПЕЧЕНИЕ КОМПЛЕКСНОГО РАЗВИТИЯ СЕЛЬСКИХ ТЕРРИТОРИЙ</t>
  </si>
  <si>
    <t>в том числе субсидии на реализацию комплекса мероприятий по благоустройству дворовых территорий и тротуаров</t>
  </si>
  <si>
    <t>в том числе субсидии на реализацию комплекса мероприятий по благоустройству дворовых территорий и тротуаров( раздел  "ЖКХ")</t>
  </si>
  <si>
    <t>в т. ч. проектирование и строительство автомобильных дорог (местн.)</t>
  </si>
  <si>
    <t>Профицит, дефицит (-)</t>
  </si>
  <si>
    <t>Справочно: Дорожный фонд</t>
  </si>
  <si>
    <t>Доходы</t>
  </si>
  <si>
    <t>Расходы</t>
  </si>
  <si>
    <t>в том числе субсидии на реализацию проектов развития общественной инфраструктуры, основанных на местных инициативах (р. 0409)</t>
  </si>
  <si>
    <t xml:space="preserve">из них: по ведению учета граждан (ср-ва респ. бюдж.) </t>
  </si>
  <si>
    <t xml:space="preserve">Реализация комплекса мероприятий  по благоустройству  дворовых территрий и тротуаров- всего                 </t>
  </si>
  <si>
    <t xml:space="preserve">Реализация комплекса мероприятий  по благоустройству  дворовых территрий и тротуаров (ср-ва  посел.)                     </t>
  </si>
  <si>
    <t xml:space="preserve">Реализация комплекса мероприятий  по благоустройству  дворовых территрий и тротуаров (ср-ва  насел.)                     </t>
  </si>
  <si>
    <t>из них: капитальный и текущий ремонт объектов водоснабжения</t>
  </si>
  <si>
    <t xml:space="preserve">    из них:        на реализацию проектов развития общественной инфраструктуры, основанных на местных инициативах - всего       </t>
  </si>
  <si>
    <t>в  том числе : реконструкция (реставрация) объектов культурного населедия (ПСД по реконстр. Музея)</t>
  </si>
  <si>
    <t xml:space="preserve">    Организация и проведение официальных физкультурных мероприятий</t>
  </si>
  <si>
    <t>в том числе субсидии на капитальный ремонт источников водоснабжения</t>
  </si>
  <si>
    <t>ПРОЧИЕ МЕЖБЮДЖЕТНЫЕ ТРАНСФЕРТЫ, ПЕРЕДАВАЕМЫЕ БЮДЖЕТАМ ПОСЕЛЕНИЙ (На благоустройство и развитие  территорий  поселения)</t>
  </si>
  <si>
    <t>ПРОЧИЕ МЕЖБЮДЖЕТНЫЕ ТРАНСФЕРТЫ, ПЕРЕДАВАЕМЫЕ БЮДЖЕТАМ ПОСЕЛЕНИЙ(На благоустройство и развитие  территорий  поселения)</t>
  </si>
  <si>
    <t>ПРОЧИЕ МЕЖБЮДЖЕТНЫЕ ТРАНСФЕРТЫ, ПЕРЕДАВАЕМЫЕ БЮДЖЕТАМ ПОСЕЛЕНИЙ(На поощрение победителей регион. Конкурса "Лучшая муниц. практика"</t>
  </si>
  <si>
    <t>в том числе субсидии на капитальный ремонт источников водоснабжения ( раздел  "ЖКХ")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</si>
  <si>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</si>
  <si>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</si>
  <si>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 xml:space="preserve">           на поощрение победителей конкурса "Лучшая муниципальная практика" (ср-ва респ. бюдж.)       </t>
  </si>
  <si>
    <t>МЕЖБЮДЖЕТНЫЕ ТРАНСФЕРТЫ, ПЕРЕДАВАЕМЫЕ  БЮДЖЕТАМ  ПОСЕЛЕНИЙ  НА ОСУЩЕСТВЛЕНИЕ ЧАСТИ ПОЛНОМОЧИЙ ПО РЕШЕНИЮ ВОПРОСОВ МЕСТНОГО ЗНАЧЕНИЯ (На комплексное развитие сельских территорий)</t>
  </si>
  <si>
    <t xml:space="preserve">из них: капитальный  ремонт  источников водоснабжения (ср-ва посел.)             </t>
  </si>
  <si>
    <t xml:space="preserve">из  них:  прочие выплаты по обязательствам   муниципального образования </t>
  </si>
  <si>
    <t>доходы от продажи земельных участков, находящихся в собственности сельских поселений</t>
  </si>
  <si>
    <t>доходы от продажи земельных участков, находящиеся в  собственности  сельских поселений</t>
  </si>
  <si>
    <t xml:space="preserve">В т. ч. на  строительство (реконструкция) зданий муниципальных учреждений культуры </t>
  </si>
  <si>
    <t xml:space="preserve">из них: капитальный  ремонт  источников водоснабжения (ср-ва мест. бюдж.)             </t>
  </si>
  <si>
    <t xml:space="preserve">из них: капитальный  ремонт  источников водоснабжения (ср-ва местн. бюдж.)             </t>
  </si>
  <si>
    <t>ПРОЧИЕ МЕЖБЮДЖЕТНЫЕ ТРАНСФЕРТЫ, ПЕРЕДАВАЕМЫЕ БЮДЖЕТАМ ПОСЕЛЕНИЙ  (На благоустройство и развитие  территорий  поселения)</t>
  </si>
  <si>
    <t>СУБСИДИИ БЮДЖЕТАМ  СЕЛЬСКИХ ПОСЕЛЕНИЙ  НА СОФИНАНСИРОВАНИЕ КАПИТАЛЬНЫХ ВЛОЖЕНИЙ В ОБЪЕКТЫ МУНИЦИПАЛЬНОЙ СОБСТВЕННОСТИ</t>
  </si>
  <si>
    <t>в том числе субсидии на реализацию мероприятий по благоустройству дворовых территорий и тротуаров</t>
  </si>
  <si>
    <t>в том числе субсидии на реализацию  мероприятий по благоустройству дворовых территорий и тротуаров( раздел  "ЖКХ")</t>
  </si>
  <si>
    <t>В т. ч. на  строительство СДК на 100 мест в д. Илебары (ср-ва респ. бюдж..)</t>
  </si>
  <si>
    <t>В т. ч. на  строительство СДК на 100 мест в д. Илебары (ср-ва местн. бюдж..)</t>
  </si>
  <si>
    <t>В т. ч. на  строительство (реконструкция) зданий муниципальных учреждений культуры- местн. ср-ва (ПСД на СДК)</t>
  </si>
  <si>
    <t xml:space="preserve">Реализация  мероприятий  по благоустройству  дворовых территрий и тротуаров (ср-ва респ. бюдж.)         </t>
  </si>
  <si>
    <t>Анализ  исполнения бюджета Андреево-Базарского сельского поселения за декабрь  2020 года</t>
  </si>
  <si>
    <t>Фактическое исполнение за  декабрь 2020 года</t>
  </si>
  <si>
    <t>Анализ исполнения бюджета Аттиковского сельского поселения за декабрь  2020 года</t>
  </si>
  <si>
    <t>Анализ исполнения бюджета  Байгуловского сельского поселения за декабрь 2020 года</t>
  </si>
  <si>
    <t>Анализ исполнения бюджета  Еметкинского сельского поселения за декабрь  2020 года</t>
  </si>
  <si>
    <t>Фактическое исполнение за декабрь  2020 года</t>
  </si>
  <si>
    <t>Анализ исполнения бюджета  Карамышевского сельского поселения за декабрь  2020 года</t>
  </si>
  <si>
    <t>Анализ исполнения бюджета  Карачевского сельского поселения за декабрь  2020 года</t>
  </si>
  <si>
    <t>Анализ исполнения бюджета  Козловского  городского  поселения  за декабрь  2020 года</t>
  </si>
  <si>
    <t>Анализ исполнения бюджета  Солдыбаевского сельского поселения за декабрь  2020 года</t>
  </si>
  <si>
    <t>Фактическое исполнение за  декабрь  2020 года</t>
  </si>
  <si>
    <t>Анализ исполнения бюджета  Тюрлеминского сельского поселения за декабрь  2020 года</t>
  </si>
  <si>
    <t>Анализ исполнения бюджета  Янгильдинского сельского поселения за декабрь  2020 года</t>
  </si>
  <si>
    <t>Анализ   исполнения   бюджетов   поселений   за  декабрь  2020 года.</t>
  </si>
  <si>
    <t>Фактическое исполнение за  декабрь   2020 года</t>
  </si>
  <si>
    <t>ШТРАФЫ, САНКЦИИ, ВОЗМЕЩЕНИЕ УЩЕРБА</t>
  </si>
  <si>
    <t>И. о. начальника   финансового отдела</t>
  </si>
  <si>
    <t>Т.Н.Манюкова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</si>
</sst>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67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" fontId="15" fillId="20" borderId="1">
      <alignment horizontal="right" vertical="top" shrinkToFit="1"/>
      <protection/>
    </xf>
    <xf numFmtId="4" fontId="15" fillId="0" borderId="1">
      <alignment horizontal="right" vertical="top" shrinkToFit="1"/>
      <protection/>
    </xf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53" fillId="28" borderId="3" applyNumberFormat="0" applyAlignment="0" applyProtection="0"/>
    <xf numFmtId="0" fontId="5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29" borderId="8" applyNumberFormat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340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4" fillId="0" borderId="19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4" fontId="16" fillId="0" borderId="1" xfId="34" applyFont="1" applyAlignment="1" applyProtection="1">
      <alignment horizontal="right" shrinkToFit="1"/>
      <protection/>
    </xf>
    <xf numFmtId="2" fontId="16" fillId="0" borderId="1" xfId="33" applyNumberFormat="1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Protection="1">
      <alignment horizontal="right" vertical="top" shrinkToFit="1"/>
      <protection/>
    </xf>
    <xf numFmtId="4" fontId="16" fillId="0" borderId="1" xfId="34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2" fontId="16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2" fontId="0" fillId="0" borderId="14" xfId="0" applyNumberForma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1" fontId="17" fillId="0" borderId="15" xfId="61" applyFont="1" applyFill="1" applyBorder="1" applyAlignment="1">
      <alignment horizontal="center" vertical="center" wrapText="1"/>
    </xf>
    <xf numFmtId="41" fontId="17" fillId="0" borderId="18" xfId="6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" fontId="18" fillId="0" borderId="11" xfId="61" applyNumberFormat="1" applyFont="1" applyFill="1" applyBorder="1" applyAlignment="1">
      <alignment horizontal="center" wrapText="1"/>
    </xf>
    <xf numFmtId="1" fontId="18" fillId="0" borderId="11" xfId="0" applyNumberFormat="1" applyFont="1" applyFill="1" applyBorder="1" applyAlignment="1">
      <alignment horizontal="center" wrapText="1"/>
    </xf>
    <xf numFmtId="1" fontId="18" fillId="0" borderId="13" xfId="61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right" wrapText="1"/>
    </xf>
    <xf numFmtId="0" fontId="20" fillId="0" borderId="11" xfId="0" applyFont="1" applyFill="1" applyBorder="1" applyAlignment="1">
      <alignment horizontal="right" wrapText="1"/>
    </xf>
    <xf numFmtId="41" fontId="18" fillId="0" borderId="11" xfId="61" applyFont="1" applyFill="1" applyBorder="1" applyAlignment="1">
      <alignment wrapText="1"/>
    </xf>
    <xf numFmtId="2" fontId="18" fillId="0" borderId="11" xfId="0" applyNumberFormat="1" applyFont="1" applyFill="1" applyBorder="1" applyAlignment="1">
      <alignment wrapText="1"/>
    </xf>
    <xf numFmtId="41" fontId="18" fillId="0" borderId="13" xfId="6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left" wrapText="1"/>
    </xf>
    <xf numFmtId="4" fontId="18" fillId="0" borderId="11" xfId="0" applyNumberFormat="1" applyFont="1" applyFill="1" applyBorder="1" applyAlignment="1">
      <alignment horizontal="right" wrapText="1"/>
    </xf>
    <xf numFmtId="2" fontId="18" fillId="0" borderId="11" xfId="57" applyNumberFormat="1" applyFont="1" applyFill="1" applyBorder="1" applyAlignment="1">
      <alignment wrapText="1"/>
    </xf>
    <xf numFmtId="2" fontId="18" fillId="0" borderId="13" xfId="61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wrapText="1"/>
    </xf>
    <xf numFmtId="4" fontId="18" fillId="0" borderId="11" xfId="61" applyNumberFormat="1" applyFont="1" applyFill="1" applyBorder="1" applyAlignment="1">
      <alignment horizontal="right" wrapText="1"/>
    </xf>
    <xf numFmtId="0" fontId="17" fillId="0" borderId="12" xfId="0" applyFont="1" applyFill="1" applyBorder="1" applyAlignment="1">
      <alignment wrapText="1"/>
    </xf>
    <xf numFmtId="2" fontId="17" fillId="0" borderId="11" xfId="57" applyNumberFormat="1" applyFont="1" applyFill="1" applyBorder="1" applyAlignment="1">
      <alignment wrapText="1"/>
    </xf>
    <xf numFmtId="2" fontId="17" fillId="0" borderId="13" xfId="61" applyNumberFormat="1" applyFont="1" applyFill="1" applyBorder="1" applyAlignment="1">
      <alignment horizontal="right" wrapText="1"/>
    </xf>
    <xf numFmtId="164" fontId="18" fillId="0" borderId="11" xfId="57" applyNumberFormat="1" applyFont="1" applyFill="1" applyBorder="1" applyAlignment="1">
      <alignment wrapText="1"/>
    </xf>
    <xf numFmtId="4" fontId="18" fillId="0" borderId="13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right" wrapText="1"/>
    </xf>
    <xf numFmtId="0" fontId="18" fillId="0" borderId="19" xfId="0" applyFont="1" applyFill="1" applyBorder="1" applyAlignment="1">
      <alignment wrapText="1"/>
    </xf>
    <xf numFmtId="0" fontId="18" fillId="0" borderId="2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2" fontId="0" fillId="0" borderId="33" xfId="0" applyNumberFormat="1" applyFont="1" applyFill="1" applyBorder="1" applyAlignment="1">
      <alignment wrapText="1"/>
    </xf>
    <xf numFmtId="2" fontId="0" fillId="0" borderId="34" xfId="61" applyNumberFormat="1" applyFont="1" applyFill="1" applyBorder="1" applyAlignment="1">
      <alignment horizontal="right" wrapText="1"/>
    </xf>
    <xf numFmtId="2" fontId="0" fillId="0" borderId="0" xfId="61" applyNumberFormat="1" applyFont="1" applyFill="1" applyBorder="1" applyAlignment="1">
      <alignment horizontal="right" vertical="center" wrapText="1"/>
    </xf>
    <xf numFmtId="2" fontId="18" fillId="0" borderId="11" xfId="0" applyNumberFormat="1" applyFont="1" applyFill="1" applyBorder="1" applyAlignment="1">
      <alignment horizontal="right" wrapText="1"/>
    </xf>
    <xf numFmtId="4" fontId="24" fillId="0" borderId="1" xfId="33" applyFont="1" applyFill="1" applyAlignment="1" applyProtection="1">
      <alignment horizontal="right" shrinkToFit="1"/>
      <protection/>
    </xf>
    <xf numFmtId="2" fontId="18" fillId="0" borderId="11" xfId="61" applyNumberFormat="1" applyFont="1" applyFill="1" applyBorder="1" applyAlignment="1">
      <alignment horizontal="right" wrapText="1"/>
    </xf>
    <xf numFmtId="0" fontId="23" fillId="0" borderId="12" xfId="0" applyFont="1" applyFill="1" applyBorder="1" applyAlignment="1">
      <alignment wrapText="1"/>
    </xf>
    <xf numFmtId="2" fontId="17" fillId="0" borderId="11" xfId="0" applyNumberFormat="1" applyFont="1" applyFill="1" applyBorder="1" applyAlignment="1">
      <alignment horizontal="right" wrapText="1"/>
    </xf>
    <xf numFmtId="2" fontId="17" fillId="0" borderId="16" xfId="0" applyNumberFormat="1" applyFont="1" applyFill="1" applyBorder="1" applyAlignment="1">
      <alignment horizontal="right" wrapText="1"/>
    </xf>
    <xf numFmtId="2" fontId="18" fillId="34" borderId="11" xfId="0" applyNumberFormat="1" applyFont="1" applyFill="1" applyBorder="1" applyAlignment="1">
      <alignment wrapText="1"/>
    </xf>
    <xf numFmtId="2" fontId="18" fillId="0" borderId="11" xfId="61" applyNumberFormat="1" applyFont="1" applyFill="1" applyBorder="1" applyAlignment="1">
      <alignment wrapText="1"/>
    </xf>
    <xf numFmtId="0" fontId="18" fillId="0" borderId="25" xfId="0" applyFont="1" applyFill="1" applyBorder="1" applyAlignment="1">
      <alignment wrapText="1"/>
    </xf>
    <xf numFmtId="2" fontId="23" fillId="0" borderId="11" xfId="0" applyNumberFormat="1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41" fontId="18" fillId="0" borderId="0" xfId="61" applyFont="1" applyFill="1" applyAlignment="1">
      <alignment wrapText="1"/>
    </xf>
    <xf numFmtId="41" fontId="18" fillId="0" borderId="0" xfId="61" applyFont="1" applyFill="1" applyAlignment="1">
      <alignment horizontal="right" wrapText="1"/>
    </xf>
    <xf numFmtId="0" fontId="14" fillId="0" borderId="12" xfId="0" applyFont="1" applyFill="1" applyBorder="1" applyAlignment="1">
      <alignment wrapText="1"/>
    </xf>
    <xf numFmtId="0" fontId="14" fillId="0" borderId="0" xfId="0" applyFont="1" applyFill="1" applyAlignment="1">
      <alignment/>
    </xf>
    <xf numFmtId="41" fontId="14" fillId="0" borderId="0" xfId="61" applyFont="1" applyFill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1" fontId="25" fillId="0" borderId="15" xfId="61" applyFont="1" applyFill="1" applyBorder="1" applyAlignment="1">
      <alignment horizontal="center" vertical="center" wrapText="1"/>
    </xf>
    <xf numFmtId="41" fontId="25" fillId="0" borderId="18" xfId="6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14" fillId="0" borderId="11" xfId="61" applyNumberFormat="1" applyFont="1" applyFill="1" applyBorder="1" applyAlignment="1">
      <alignment horizontal="center" wrapText="1"/>
    </xf>
    <xf numFmtId="1" fontId="14" fillId="0" borderId="11" xfId="0" applyNumberFormat="1" applyFont="1" applyFill="1" applyBorder="1" applyAlignment="1">
      <alignment horizontal="center" wrapText="1"/>
    </xf>
    <xf numFmtId="1" fontId="14" fillId="0" borderId="13" xfId="61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right" wrapText="1"/>
    </xf>
    <xf numFmtId="41" fontId="14" fillId="0" borderId="11" xfId="61" applyFont="1" applyFill="1" applyBorder="1" applyAlignment="1">
      <alignment wrapText="1"/>
    </xf>
    <xf numFmtId="2" fontId="14" fillId="0" borderId="11" xfId="0" applyNumberFormat="1" applyFont="1" applyFill="1" applyBorder="1" applyAlignment="1">
      <alignment wrapText="1"/>
    </xf>
    <xf numFmtId="41" fontId="14" fillId="0" borderId="13" xfId="61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left" wrapText="1"/>
    </xf>
    <xf numFmtId="4" fontId="14" fillId="0" borderId="11" xfId="0" applyNumberFormat="1" applyFont="1" applyFill="1" applyBorder="1" applyAlignment="1">
      <alignment horizontal="right" wrapText="1"/>
    </xf>
    <xf numFmtId="2" fontId="14" fillId="0" borderId="11" xfId="57" applyNumberFormat="1" applyFont="1" applyFill="1" applyBorder="1" applyAlignment="1">
      <alignment wrapText="1"/>
    </xf>
    <xf numFmtId="2" fontId="14" fillId="0" borderId="13" xfId="61" applyNumberFormat="1" applyFont="1" applyFill="1" applyBorder="1" applyAlignment="1">
      <alignment horizontal="right" wrapText="1"/>
    </xf>
    <xf numFmtId="4" fontId="14" fillId="0" borderId="11" xfId="0" applyNumberFormat="1" applyFont="1" applyFill="1" applyBorder="1" applyAlignment="1">
      <alignment wrapText="1"/>
    </xf>
    <xf numFmtId="4" fontId="14" fillId="0" borderId="11" xfId="61" applyNumberFormat="1" applyFont="1" applyFill="1" applyBorder="1" applyAlignment="1">
      <alignment horizontal="right" wrapText="1"/>
    </xf>
    <xf numFmtId="0" fontId="25" fillId="0" borderId="12" xfId="0" applyFont="1" applyFill="1" applyBorder="1" applyAlignment="1">
      <alignment wrapText="1"/>
    </xf>
    <xf numFmtId="4" fontId="25" fillId="0" borderId="11" xfId="0" applyNumberFormat="1" applyFont="1" applyFill="1" applyBorder="1" applyAlignment="1">
      <alignment horizontal="right" wrapText="1"/>
    </xf>
    <xf numFmtId="2" fontId="25" fillId="0" borderId="11" xfId="57" applyNumberFormat="1" applyFont="1" applyFill="1" applyBorder="1" applyAlignment="1">
      <alignment wrapText="1"/>
    </xf>
    <xf numFmtId="2" fontId="25" fillId="0" borderId="13" xfId="61" applyNumberFormat="1" applyFont="1" applyFill="1" applyBorder="1" applyAlignment="1">
      <alignment horizontal="right" wrapText="1"/>
    </xf>
    <xf numFmtId="0" fontId="25" fillId="0" borderId="12" xfId="0" applyFont="1" applyFill="1" applyBorder="1" applyAlignment="1">
      <alignment horizontal="center" wrapText="1"/>
    </xf>
    <xf numFmtId="4" fontId="14" fillId="34" borderId="11" xfId="0" applyNumberFormat="1" applyFont="1" applyFill="1" applyBorder="1" applyAlignment="1">
      <alignment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4" fontId="28" fillId="0" borderId="11" xfId="0" applyNumberFormat="1" applyFont="1" applyFill="1" applyBorder="1" applyAlignment="1">
      <alignment wrapText="1"/>
    </xf>
    <xf numFmtId="2" fontId="28" fillId="0" borderId="11" xfId="57" applyNumberFormat="1" applyFont="1" applyFill="1" applyBorder="1" applyAlignment="1">
      <alignment wrapText="1"/>
    </xf>
    <xf numFmtId="2" fontId="28" fillId="0" borderId="13" xfId="61" applyNumberFormat="1" applyFont="1" applyFill="1" applyBorder="1" applyAlignment="1">
      <alignment horizontal="right" wrapText="1"/>
    </xf>
    <xf numFmtId="0" fontId="29" fillId="0" borderId="12" xfId="0" applyFont="1" applyFill="1" applyBorder="1" applyAlignment="1">
      <alignment horizontal="right" wrapText="1"/>
    </xf>
    <xf numFmtId="4" fontId="27" fillId="0" borderId="11" xfId="0" applyNumberFormat="1" applyFont="1" applyFill="1" applyBorder="1" applyAlignment="1">
      <alignment horizontal="right" wrapText="1"/>
    </xf>
    <xf numFmtId="4" fontId="30" fillId="0" borderId="11" xfId="61" applyNumberFormat="1" applyFont="1" applyFill="1" applyBorder="1" applyAlignment="1">
      <alignment wrapText="1"/>
    </xf>
    <xf numFmtId="0" fontId="31" fillId="0" borderId="2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4" fontId="25" fillId="0" borderId="11" xfId="0" applyNumberFormat="1" applyFont="1" applyFill="1" applyBorder="1" applyAlignment="1">
      <alignment wrapText="1"/>
    </xf>
    <xf numFmtId="2" fontId="25" fillId="0" borderId="11" xfId="61" applyNumberFormat="1" applyFont="1" applyFill="1" applyBorder="1" applyAlignment="1">
      <alignment wrapText="1"/>
    </xf>
    <xf numFmtId="41" fontId="25" fillId="0" borderId="11" xfId="61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41" fontId="9" fillId="0" borderId="11" xfId="61" applyFont="1" applyFill="1" applyBorder="1" applyAlignment="1">
      <alignment wrapText="1"/>
    </xf>
    <xf numFmtId="41" fontId="9" fillId="0" borderId="11" xfId="61" applyFont="1" applyFill="1" applyBorder="1" applyAlignment="1">
      <alignment horizontal="right" wrapText="1"/>
    </xf>
    <xf numFmtId="0" fontId="32" fillId="0" borderId="25" xfId="0" applyFon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41" fontId="25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tabSelected="1" zoomScaleSheetLayoutView="100" workbookViewId="0" topLeftCell="A109">
      <selection activeCell="A126" sqref="A126:E127"/>
    </sheetView>
  </sheetViews>
  <sheetFormatPr defaultColWidth="9.125" defaultRowHeight="12.75"/>
  <cols>
    <col min="1" max="1" width="116.375" style="4" customWidth="1"/>
    <col min="2" max="2" width="12.50390625" style="4" customWidth="1"/>
    <col min="3" max="3" width="16.875" style="5" customWidth="1"/>
    <col min="4" max="4" width="13.50390625" style="4" customWidth="1"/>
    <col min="5" max="5" width="14.50390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7.25">
      <c r="A1" s="337" t="s">
        <v>318</v>
      </c>
      <c r="B1" s="337"/>
      <c r="C1" s="337"/>
      <c r="D1" s="337"/>
      <c r="E1" s="337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249</v>
      </c>
      <c r="C3" s="32" t="s">
        <v>319</v>
      </c>
      <c r="D3" s="19" t="s">
        <v>250</v>
      </c>
      <c r="E3" s="36" t="s">
        <v>251</v>
      </c>
    </row>
    <row r="4" spans="1:5" s="56" customFormat="1" ht="10.5" customHeight="1">
      <c r="A4" s="52">
        <v>1</v>
      </c>
      <c r="B4" s="236">
        <v>2</v>
      </c>
      <c r="C4" s="53">
        <v>3</v>
      </c>
      <c r="D4" s="54">
        <v>4</v>
      </c>
      <c r="E4" s="55">
        <v>5</v>
      </c>
    </row>
    <row r="5" spans="1:5" s="59" customFormat="1" ht="12.75">
      <c r="A5" s="22" t="s">
        <v>2</v>
      </c>
      <c r="B5" s="11"/>
      <c r="C5" s="57"/>
      <c r="D5" s="31"/>
      <c r="E5" s="58"/>
    </row>
    <row r="6" spans="1:5" s="9" customFormat="1" ht="12.75" customHeight="1" hidden="1">
      <c r="A6" s="60" t="s">
        <v>25</v>
      </c>
      <c r="B6" s="61"/>
      <c r="C6" s="61" t="e">
        <f>SUM(C7,C11,C16,C19,#REF!,#REF!,C10,)</f>
        <v>#REF!</v>
      </c>
      <c r="D6" s="62" t="e">
        <f>IF(#REF!=0,"   ",C6/#REF!)</f>
        <v>#REF!</v>
      </c>
      <c r="E6" s="63" t="e">
        <f>C6-#REF!</f>
        <v>#REF!</v>
      </c>
    </row>
    <row r="7" spans="1:5" s="67" customFormat="1" ht="12.75">
      <c r="A7" s="64" t="s">
        <v>45</v>
      </c>
      <c r="B7" s="196">
        <f>SUM(B9)</f>
        <v>143600</v>
      </c>
      <c r="C7" s="196">
        <f>C9</f>
        <v>141378.46</v>
      </c>
      <c r="D7" s="65">
        <f>IF(B7=0,"   ",C7/B7*100)</f>
        <v>98.45296657381614</v>
      </c>
      <c r="E7" s="66">
        <f>C7-B7</f>
        <v>-2221.540000000008</v>
      </c>
    </row>
    <row r="8" spans="1:5" s="59" customFormat="1" ht="12.75" customHeight="1" hidden="1">
      <c r="A8" s="41" t="s">
        <v>3</v>
      </c>
      <c r="B8" s="197">
        <v>387940</v>
      </c>
      <c r="C8" s="198">
        <v>217766</v>
      </c>
      <c r="D8" s="65" t="e">
        <f>IF(#REF!=0,"   ",C8/#REF!)</f>
        <v>#REF!</v>
      </c>
      <c r="E8" s="66" t="e">
        <f>C8-#REF!</f>
        <v>#REF!</v>
      </c>
    </row>
    <row r="9" spans="1:5" s="59" customFormat="1" ht="12.75">
      <c r="A9" s="41" t="s">
        <v>112</v>
      </c>
      <c r="B9" s="197">
        <v>143600</v>
      </c>
      <c r="C9" s="225">
        <v>141378.46</v>
      </c>
      <c r="D9" s="65">
        <f>IF(B9=0,"   ",C9/B9*100)</f>
        <v>98.45296657381614</v>
      </c>
      <c r="E9" s="66">
        <f>C9-B9</f>
        <v>-2221.540000000008</v>
      </c>
    </row>
    <row r="10" spans="1:5" s="59" customFormat="1" ht="12.75" customHeight="1" hidden="1">
      <c r="A10" s="41" t="s">
        <v>24</v>
      </c>
      <c r="B10" s="197"/>
      <c r="C10" s="198">
        <v>175</v>
      </c>
      <c r="D10" s="65"/>
      <c r="E10" s="66"/>
    </row>
    <row r="11" spans="1:5" s="67" customFormat="1" ht="12.75" customHeight="1" hidden="1">
      <c r="A11" s="41" t="s">
        <v>4</v>
      </c>
      <c r="B11" s="197">
        <f>SUM(B12:B13)</f>
        <v>1848003</v>
      </c>
      <c r="C11" s="197">
        <f>SUM(C12:C13)</f>
        <v>1704024</v>
      </c>
      <c r="D11" s="65" t="e">
        <f>IF(#REF!=0,"   ",C11/#REF!)</f>
        <v>#REF!</v>
      </c>
      <c r="E11" s="66" t="e">
        <f>C11-#REF!</f>
        <v>#REF!</v>
      </c>
    </row>
    <row r="12" spans="1:5" s="59" customFormat="1" ht="12.75" customHeight="1" hidden="1">
      <c r="A12" s="41" t="s">
        <v>5</v>
      </c>
      <c r="B12" s="197">
        <v>17853</v>
      </c>
      <c r="C12" s="198">
        <v>13730</v>
      </c>
      <c r="D12" s="65" t="e">
        <f>IF(#REF!=0,"   ",C12/#REF!)</f>
        <v>#REF!</v>
      </c>
      <c r="E12" s="66" t="e">
        <f>C12-#REF!</f>
        <v>#REF!</v>
      </c>
    </row>
    <row r="13" spans="1:5" s="59" customFormat="1" ht="12.75" customHeight="1" hidden="1">
      <c r="A13" s="41" t="s">
        <v>6</v>
      </c>
      <c r="B13" s="197">
        <v>1830150</v>
      </c>
      <c r="C13" s="198">
        <v>1690294</v>
      </c>
      <c r="D13" s="65" t="e">
        <f>IF(#REF!=0,"   ",C13/#REF!)</f>
        <v>#REF!</v>
      </c>
      <c r="E13" s="66" t="e">
        <f>C13-#REF!</f>
        <v>#REF!</v>
      </c>
    </row>
    <row r="14" spans="1:5" s="59" customFormat="1" ht="12.75" customHeight="1">
      <c r="A14" s="64" t="s">
        <v>137</v>
      </c>
      <c r="B14" s="196">
        <f>SUM(B15)</f>
        <v>597200</v>
      </c>
      <c r="C14" s="196">
        <f>SUM(C15)</f>
        <v>567147.35</v>
      </c>
      <c r="D14" s="65">
        <f>IF(B14=0,"   ",C14/B14*100)</f>
        <v>94.96774112525117</v>
      </c>
      <c r="E14" s="66">
        <f>C14-B14</f>
        <v>-30052.650000000023</v>
      </c>
    </row>
    <row r="15" spans="1:5" s="59" customFormat="1" ht="15.75" customHeight="1">
      <c r="A15" s="41" t="s">
        <v>138</v>
      </c>
      <c r="B15" s="197">
        <v>597200</v>
      </c>
      <c r="C15" s="225">
        <v>567147.35</v>
      </c>
      <c r="D15" s="65">
        <f>IF(B15=0,"   ",C15/B15*100)</f>
        <v>94.96774112525117</v>
      </c>
      <c r="E15" s="66">
        <f>C15-B15</f>
        <v>-30052.650000000023</v>
      </c>
    </row>
    <row r="16" spans="1:5" s="67" customFormat="1" ht="17.25" customHeight="1">
      <c r="A16" s="41" t="s">
        <v>7</v>
      </c>
      <c r="B16" s="196">
        <f>SUM(B18)</f>
        <v>30900</v>
      </c>
      <c r="C16" s="197">
        <f>SUM(C18:C18)</f>
        <v>31252.34</v>
      </c>
      <c r="D16" s="65">
        <f>IF(B16=0,"   ",C16/B16*100)</f>
        <v>101.14025889967637</v>
      </c>
      <c r="E16" s="66">
        <f>C16-B16</f>
        <v>352.34000000000015</v>
      </c>
    </row>
    <row r="17" spans="1:5" s="59" customFormat="1" ht="12.75" customHeight="1" hidden="1">
      <c r="A17" s="41" t="s">
        <v>8</v>
      </c>
      <c r="B17" s="197">
        <v>103725</v>
      </c>
      <c r="C17" s="198">
        <v>92515</v>
      </c>
      <c r="D17" s="65" t="e">
        <f>IF(#REF!=0,"   ",C17/#REF!)</f>
        <v>#REF!</v>
      </c>
      <c r="E17" s="66" t="e">
        <f>C17-#REF!</f>
        <v>#REF!</v>
      </c>
    </row>
    <row r="18" spans="1:5" s="59" customFormat="1" ht="17.25" customHeight="1">
      <c r="A18" s="41" t="s">
        <v>113</v>
      </c>
      <c r="B18" s="197">
        <v>30900</v>
      </c>
      <c r="C18" s="225">
        <v>31252.34</v>
      </c>
      <c r="D18" s="65">
        <f aca="true" t="shared" si="0" ref="D18:D36">IF(B18=0,"   ",C18/B18*100)</f>
        <v>101.14025889967637</v>
      </c>
      <c r="E18" s="66">
        <f aca="true" t="shared" si="1" ref="E18:E36">C18-B18</f>
        <v>352.34000000000015</v>
      </c>
    </row>
    <row r="19" spans="1:5" s="59" customFormat="1" ht="18" customHeight="1">
      <c r="A19" s="41" t="s">
        <v>9</v>
      </c>
      <c r="B19" s="197">
        <f>SUM(B20:B21)</f>
        <v>764000</v>
      </c>
      <c r="C19" s="197">
        <f>SUM(C20:C21)</f>
        <v>696044.34</v>
      </c>
      <c r="D19" s="65">
        <f t="shared" si="0"/>
        <v>91.10528010471204</v>
      </c>
      <c r="E19" s="66">
        <f t="shared" si="1"/>
        <v>-67955.66000000003</v>
      </c>
    </row>
    <row r="20" spans="1:5" s="59" customFormat="1" ht="12.75">
      <c r="A20" s="41" t="s">
        <v>114</v>
      </c>
      <c r="B20" s="197">
        <v>253000</v>
      </c>
      <c r="C20" s="225">
        <v>221923.39</v>
      </c>
      <c r="D20" s="65">
        <f t="shared" si="0"/>
        <v>87.71675494071147</v>
      </c>
      <c r="E20" s="66">
        <f t="shared" si="1"/>
        <v>-31076.609999999986</v>
      </c>
    </row>
    <row r="21" spans="1:5" s="59" customFormat="1" ht="16.5" customHeight="1">
      <c r="A21" s="41" t="s">
        <v>160</v>
      </c>
      <c r="B21" s="197">
        <f>SUM(B22:B23)</f>
        <v>511000</v>
      </c>
      <c r="C21" s="197">
        <f>SUM(C22:C23)</f>
        <v>474120.94999999995</v>
      </c>
      <c r="D21" s="65">
        <f t="shared" si="0"/>
        <v>92.78296477495107</v>
      </c>
      <c r="E21" s="66">
        <f t="shared" si="1"/>
        <v>-36879.05000000005</v>
      </c>
    </row>
    <row r="22" spans="1:5" s="59" customFormat="1" ht="12.75">
      <c r="A22" s="41" t="s">
        <v>161</v>
      </c>
      <c r="B22" s="197">
        <v>206000</v>
      </c>
      <c r="C22" s="225">
        <v>238603.55</v>
      </c>
      <c r="D22" s="65">
        <f t="shared" si="0"/>
        <v>115.82696601941747</v>
      </c>
      <c r="E22" s="66">
        <f t="shared" si="1"/>
        <v>32603.54999999999</v>
      </c>
    </row>
    <row r="23" spans="1:5" s="59" customFormat="1" ht="12.75">
      <c r="A23" s="41" t="s">
        <v>162</v>
      </c>
      <c r="B23" s="197">
        <v>305000</v>
      </c>
      <c r="C23" s="225">
        <v>235517.4</v>
      </c>
      <c r="D23" s="65">
        <f t="shared" si="0"/>
        <v>77.21881967213115</v>
      </c>
      <c r="E23" s="66">
        <f t="shared" si="1"/>
        <v>-69482.6</v>
      </c>
    </row>
    <row r="24" spans="1:5" s="59" customFormat="1" ht="12.75">
      <c r="A24" s="41" t="s">
        <v>196</v>
      </c>
      <c r="B24" s="197">
        <v>2600</v>
      </c>
      <c r="C24" s="225">
        <v>2620</v>
      </c>
      <c r="D24" s="65">
        <f t="shared" si="0"/>
        <v>100.76923076923077</v>
      </c>
      <c r="E24" s="66">
        <f t="shared" si="1"/>
        <v>20</v>
      </c>
    </row>
    <row r="25" spans="1:5" s="59" customFormat="1" ht="19.5" customHeight="1">
      <c r="A25" s="41" t="s">
        <v>88</v>
      </c>
      <c r="B25" s="197">
        <v>0</v>
      </c>
      <c r="C25" s="197">
        <v>0</v>
      </c>
      <c r="D25" s="65" t="str">
        <f t="shared" si="0"/>
        <v>   </v>
      </c>
      <c r="E25" s="66">
        <f t="shared" si="1"/>
        <v>0</v>
      </c>
    </row>
    <row r="26" spans="1:5" s="59" customFormat="1" ht="24.75" customHeight="1">
      <c r="A26" s="41" t="s">
        <v>28</v>
      </c>
      <c r="B26" s="197">
        <f>SUM(B27:B30)</f>
        <v>405320</v>
      </c>
      <c r="C26" s="197">
        <f>SUM(C27:C30)</f>
        <v>432438.89</v>
      </c>
      <c r="D26" s="65">
        <f t="shared" si="0"/>
        <v>106.69073571499064</v>
      </c>
      <c r="E26" s="66">
        <f t="shared" si="1"/>
        <v>27118.890000000014</v>
      </c>
    </row>
    <row r="27" spans="1:5" s="59" customFormat="1" ht="12.75">
      <c r="A27" s="41" t="s">
        <v>152</v>
      </c>
      <c r="B27" s="197">
        <v>387120</v>
      </c>
      <c r="C27" s="225">
        <v>421138.61</v>
      </c>
      <c r="D27" s="65">
        <f t="shared" si="0"/>
        <v>108.78761365984708</v>
      </c>
      <c r="E27" s="66">
        <f t="shared" si="1"/>
        <v>34018.609999999986</v>
      </c>
    </row>
    <row r="28" spans="1:5" s="59" customFormat="1" ht="15.75" customHeight="1">
      <c r="A28" s="41" t="s">
        <v>30</v>
      </c>
      <c r="B28" s="197">
        <v>8500</v>
      </c>
      <c r="C28" s="198">
        <v>8501</v>
      </c>
      <c r="D28" s="65">
        <f t="shared" si="0"/>
        <v>100.01176470588236</v>
      </c>
      <c r="E28" s="66">
        <f t="shared" si="1"/>
        <v>1</v>
      </c>
    </row>
    <row r="29" spans="1:5" s="59" customFormat="1" ht="24.75" customHeight="1">
      <c r="A29" s="16" t="s">
        <v>270</v>
      </c>
      <c r="B29" s="197">
        <v>0</v>
      </c>
      <c r="C29" s="271">
        <v>799.28</v>
      </c>
      <c r="D29" s="65"/>
      <c r="E29" s="66"/>
    </row>
    <row r="30" spans="1:5" s="59" customFormat="1" ht="44.25" customHeight="1">
      <c r="A30" s="16" t="s">
        <v>226</v>
      </c>
      <c r="B30" s="31">
        <v>9700</v>
      </c>
      <c r="C30" s="232">
        <v>2000</v>
      </c>
      <c r="D30" s="65">
        <f t="shared" si="0"/>
        <v>20.618556701030926</v>
      </c>
      <c r="E30" s="66">
        <f t="shared" si="1"/>
        <v>-7700</v>
      </c>
    </row>
    <row r="31" spans="1:5" s="59" customFormat="1" ht="18.75" customHeight="1">
      <c r="A31" s="41" t="s">
        <v>91</v>
      </c>
      <c r="B31" s="196">
        <v>20900</v>
      </c>
      <c r="C31" s="198">
        <v>28823.46</v>
      </c>
      <c r="D31" s="65">
        <f t="shared" si="0"/>
        <v>137.9112918660287</v>
      </c>
      <c r="E31" s="66">
        <f t="shared" si="1"/>
        <v>7923.459999999999</v>
      </c>
    </row>
    <row r="32" spans="1:5" s="59" customFormat="1" ht="16.5" customHeight="1">
      <c r="A32" s="41" t="s">
        <v>78</v>
      </c>
      <c r="B32" s="196">
        <f>B33+B34</f>
        <v>13580</v>
      </c>
      <c r="C32" s="196">
        <f>C33+C34</f>
        <v>13580</v>
      </c>
      <c r="D32" s="65">
        <f t="shared" si="0"/>
        <v>100</v>
      </c>
      <c r="E32" s="66">
        <f t="shared" si="1"/>
        <v>0</v>
      </c>
    </row>
    <row r="33" spans="1:5" s="59" customFormat="1" ht="16.5" customHeight="1">
      <c r="A33" s="41" t="s">
        <v>134</v>
      </c>
      <c r="B33" s="196">
        <v>13580</v>
      </c>
      <c r="C33" s="225">
        <v>13580</v>
      </c>
      <c r="D33" s="65">
        <f t="shared" si="0"/>
        <v>100</v>
      </c>
      <c r="E33" s="66">
        <f t="shared" si="1"/>
        <v>0</v>
      </c>
    </row>
    <row r="34" spans="1:5" s="59" customFormat="1" ht="27.75" customHeight="1">
      <c r="A34" s="41" t="s">
        <v>205</v>
      </c>
      <c r="B34" s="197">
        <v>0</v>
      </c>
      <c r="C34" s="199">
        <v>0</v>
      </c>
      <c r="D34" s="65" t="str">
        <f t="shared" si="0"/>
        <v>   </v>
      </c>
      <c r="E34" s="66">
        <f t="shared" si="1"/>
        <v>0</v>
      </c>
    </row>
    <row r="35" spans="1:5" s="59" customFormat="1" ht="15.75" customHeight="1">
      <c r="A35" s="16" t="s">
        <v>31</v>
      </c>
      <c r="B35" s="197">
        <v>0</v>
      </c>
      <c r="C35" s="199">
        <v>0</v>
      </c>
      <c r="D35" s="65" t="str">
        <f t="shared" si="0"/>
        <v>   </v>
      </c>
      <c r="E35" s="66">
        <f t="shared" si="1"/>
        <v>0</v>
      </c>
    </row>
    <row r="36" spans="1:5" s="59" customFormat="1" ht="15" customHeight="1">
      <c r="A36" s="41" t="s">
        <v>32</v>
      </c>
      <c r="B36" s="197">
        <f>B39+B40</f>
        <v>0</v>
      </c>
      <c r="C36" s="197">
        <f>SUM(C39:C40)</f>
        <v>0.25</v>
      </c>
      <c r="D36" s="65" t="str">
        <f t="shared" si="0"/>
        <v>   </v>
      </c>
      <c r="E36" s="66">
        <f t="shared" si="1"/>
        <v>0.25</v>
      </c>
    </row>
    <row r="37" spans="1:5" s="59" customFormat="1" ht="12.75" customHeight="1" hidden="1">
      <c r="A37" s="69" t="s">
        <v>33</v>
      </c>
      <c r="B37" s="197"/>
      <c r="C37" s="200"/>
      <c r="D37" s="65" t="e">
        <f>IF(#REF!=0,"   ",C37/#REF!)</f>
        <v>#REF!</v>
      </c>
      <c r="E37" s="66" t="e">
        <f>C37-#REF!</f>
        <v>#REF!</v>
      </c>
    </row>
    <row r="38" spans="1:5" s="9" customFormat="1" ht="12.75" customHeight="1" hidden="1">
      <c r="A38" s="69" t="s">
        <v>16</v>
      </c>
      <c r="B38" s="201" t="e">
        <f>SUM(B45,#REF!,#REF!,#REF!)</f>
        <v>#REF!</v>
      </c>
      <c r="C38" s="202" t="e">
        <f>SUM(C45,#REF!,#REF!,#REF!)</f>
        <v>#REF!</v>
      </c>
      <c r="D38" s="65" t="e">
        <f>IF(#REF!=0,"   ",C38/#REF!)</f>
        <v>#REF!</v>
      </c>
      <c r="E38" s="66" t="e">
        <f>C38-#REF!</f>
        <v>#REF!</v>
      </c>
    </row>
    <row r="39" spans="1:5" s="9" customFormat="1" ht="12.75">
      <c r="A39" s="41" t="s">
        <v>133</v>
      </c>
      <c r="B39" s="203">
        <v>0</v>
      </c>
      <c r="C39" s="196">
        <v>0.25</v>
      </c>
      <c r="D39" s="65" t="str">
        <f>IF(B39=0,"   ",C39/B39*100)</f>
        <v>   </v>
      </c>
      <c r="E39" s="66">
        <f>C39-B39</f>
        <v>0.25</v>
      </c>
    </row>
    <row r="40" spans="1:5" s="9" customFormat="1" ht="15" customHeight="1">
      <c r="A40" s="41" t="s">
        <v>108</v>
      </c>
      <c r="B40" s="197">
        <v>0</v>
      </c>
      <c r="C40" s="196">
        <v>0</v>
      </c>
      <c r="D40" s="65" t="str">
        <f>IF(B40=0,"   ",C40/B40*100)</f>
        <v>   </v>
      </c>
      <c r="E40" s="66">
        <f>C40-B40</f>
        <v>0</v>
      </c>
    </row>
    <row r="41" spans="1:5" s="9" customFormat="1" ht="12.75" customHeight="1" hidden="1">
      <c r="A41" s="41" t="s">
        <v>46</v>
      </c>
      <c r="B41" s="201"/>
      <c r="C41" s="196">
        <v>0</v>
      </c>
      <c r="D41" s="65" t="e">
        <f>IF(#REF!=0,"   ",C41/#REF!)</f>
        <v>#REF!</v>
      </c>
      <c r="E41" s="66" t="e">
        <f>C41-#REF!</f>
        <v>#REF!</v>
      </c>
    </row>
    <row r="42" spans="1:5" s="9" customFormat="1" ht="0.75" customHeight="1" hidden="1">
      <c r="A42" s="87" t="s">
        <v>47</v>
      </c>
      <c r="B42" s="204">
        <v>1250</v>
      </c>
      <c r="C42" s="205"/>
      <c r="D42" s="89" t="e">
        <f>IF(#REF!=0,"   ",C42/#REF!)</f>
        <v>#REF!</v>
      </c>
      <c r="E42" s="90" t="e">
        <f>C42-#REF!</f>
        <v>#REF!</v>
      </c>
    </row>
    <row r="43" spans="1:5" s="9" customFormat="1" ht="22.5" customHeight="1">
      <c r="A43" s="185" t="s">
        <v>10</v>
      </c>
      <c r="B43" s="149">
        <f>B7+B16+B19+B25+B26+B31+B32+B36+B14+B35+B24</f>
        <v>1978100</v>
      </c>
      <c r="C43" s="43">
        <f>C7+C16+C19+C25+C26+C31+C32+C36+C14+C35+C24</f>
        <v>1913285.0899999999</v>
      </c>
      <c r="D43" s="140">
        <f aca="true" t="shared" si="2" ref="D43:D59">IF(B43=0,"   ",C43/B43*100)</f>
        <v>96.72337546130125</v>
      </c>
      <c r="E43" s="186">
        <f aca="true" t="shared" si="3" ref="E43:E59">C43-B43</f>
        <v>-64814.91000000015</v>
      </c>
    </row>
    <row r="44" spans="1:5" s="9" customFormat="1" ht="18.75" customHeight="1">
      <c r="A44" s="179" t="s">
        <v>140</v>
      </c>
      <c r="B44" s="207">
        <f>SUM(B45:B48,B51:B54,B59)</f>
        <v>7659254.9799999995</v>
      </c>
      <c r="C44" s="208">
        <f>SUM(C45:C48,C51:C54,C59)</f>
        <v>5201290</v>
      </c>
      <c r="D44" s="65">
        <f t="shared" si="2"/>
        <v>67.90856308585774</v>
      </c>
      <c r="E44" s="68">
        <f t="shared" si="3"/>
        <v>-2457964.9799999995</v>
      </c>
    </row>
    <row r="45" spans="1:5" s="59" customFormat="1" ht="19.5" customHeight="1">
      <c r="A45" s="91" t="s">
        <v>34</v>
      </c>
      <c r="B45" s="208">
        <v>796400</v>
      </c>
      <c r="C45" s="225">
        <v>796400</v>
      </c>
      <c r="D45" s="78">
        <f t="shared" si="2"/>
        <v>100</v>
      </c>
      <c r="E45" s="79">
        <f t="shared" si="3"/>
        <v>0</v>
      </c>
    </row>
    <row r="46" spans="1:5" s="59" customFormat="1" ht="19.5" customHeight="1">
      <c r="A46" s="17" t="s">
        <v>229</v>
      </c>
      <c r="B46" s="208">
        <v>0</v>
      </c>
      <c r="C46" s="225">
        <v>0</v>
      </c>
      <c r="D46" s="78" t="str">
        <f>IF(B46=0,"   ",C46/B46*100)</f>
        <v>   </v>
      </c>
      <c r="E46" s="79">
        <f>C46-B46</f>
        <v>0</v>
      </c>
    </row>
    <row r="47" spans="1:5" s="59" customFormat="1" ht="30" customHeight="1">
      <c r="A47" s="108" t="s">
        <v>51</v>
      </c>
      <c r="B47" s="234">
        <v>99200</v>
      </c>
      <c r="C47" s="232">
        <v>99200</v>
      </c>
      <c r="D47" s="109">
        <f t="shared" si="2"/>
        <v>100</v>
      </c>
      <c r="E47" s="110">
        <f t="shared" si="3"/>
        <v>0</v>
      </c>
    </row>
    <row r="48" spans="1:5" s="59" customFormat="1" ht="30" customHeight="1">
      <c r="A48" s="108" t="s">
        <v>148</v>
      </c>
      <c r="B48" s="234">
        <f>SUM(B49:B50)</f>
        <v>9900</v>
      </c>
      <c r="C48" s="234">
        <f>SUM(C49:C50)</f>
        <v>100</v>
      </c>
      <c r="D48" s="109">
        <f t="shared" si="2"/>
        <v>1.0101010101010102</v>
      </c>
      <c r="E48" s="110">
        <f t="shared" si="3"/>
        <v>-9800</v>
      </c>
    </row>
    <row r="49" spans="1:5" s="59" customFormat="1" ht="18" customHeight="1">
      <c r="A49" s="108" t="s">
        <v>163</v>
      </c>
      <c r="B49" s="234">
        <v>100</v>
      </c>
      <c r="C49" s="234">
        <v>100</v>
      </c>
      <c r="D49" s="109">
        <f t="shared" si="2"/>
        <v>100</v>
      </c>
      <c r="E49" s="110">
        <f t="shared" si="3"/>
        <v>0</v>
      </c>
    </row>
    <row r="50" spans="1:5" s="59" customFormat="1" ht="30" customHeight="1">
      <c r="A50" s="108" t="s">
        <v>164</v>
      </c>
      <c r="B50" s="234">
        <v>9800</v>
      </c>
      <c r="C50" s="234">
        <v>0</v>
      </c>
      <c r="D50" s="109">
        <f t="shared" si="2"/>
        <v>0</v>
      </c>
      <c r="E50" s="110">
        <f t="shared" si="3"/>
        <v>-9800</v>
      </c>
    </row>
    <row r="51" spans="1:5" s="59" customFormat="1" ht="31.5" customHeight="1">
      <c r="A51" s="16" t="s">
        <v>103</v>
      </c>
      <c r="B51" s="234">
        <v>0</v>
      </c>
      <c r="C51" s="234">
        <v>0</v>
      </c>
      <c r="D51" s="109" t="str">
        <f t="shared" si="2"/>
        <v>   </v>
      </c>
      <c r="E51" s="110">
        <f t="shared" si="3"/>
        <v>0</v>
      </c>
    </row>
    <row r="52" spans="1:5" s="59" customFormat="1" ht="30" customHeight="1">
      <c r="A52" s="16" t="s">
        <v>295</v>
      </c>
      <c r="B52" s="234">
        <v>1200000</v>
      </c>
      <c r="C52" s="234">
        <v>1200000</v>
      </c>
      <c r="D52" s="109">
        <f t="shared" si="2"/>
        <v>100</v>
      </c>
      <c r="E52" s="110">
        <f t="shared" si="3"/>
        <v>0</v>
      </c>
    </row>
    <row r="53" spans="1:5" s="59" customFormat="1" ht="41.25" customHeight="1">
      <c r="A53" s="16" t="s">
        <v>238</v>
      </c>
      <c r="B53" s="234">
        <v>562200</v>
      </c>
      <c r="C53" s="234">
        <v>562200</v>
      </c>
      <c r="D53" s="109">
        <f t="shared" si="2"/>
        <v>100</v>
      </c>
      <c r="E53" s="110">
        <f t="shared" si="3"/>
        <v>0</v>
      </c>
    </row>
    <row r="54" spans="1:5" s="59" customFormat="1" ht="18" customHeight="1">
      <c r="A54" s="41" t="s">
        <v>54</v>
      </c>
      <c r="B54" s="31">
        <f>B58+B55+B56+B57</f>
        <v>4863448.18</v>
      </c>
      <c r="C54" s="31">
        <f>C58+C55+C56+C57</f>
        <v>2413390</v>
      </c>
      <c r="D54" s="65">
        <f t="shared" si="2"/>
        <v>49.623022815882045</v>
      </c>
      <c r="E54" s="66">
        <f t="shared" si="3"/>
        <v>-2450058.1799999997</v>
      </c>
    </row>
    <row r="55" spans="1:5" s="59" customFormat="1" ht="18" customHeight="1">
      <c r="A55" s="46" t="s">
        <v>188</v>
      </c>
      <c r="B55" s="31">
        <v>57320.4</v>
      </c>
      <c r="C55" s="31">
        <v>57300</v>
      </c>
      <c r="D55" s="65">
        <f t="shared" si="2"/>
        <v>99.96441057633932</v>
      </c>
      <c r="E55" s="66">
        <f t="shared" si="3"/>
        <v>-20.400000000001455</v>
      </c>
    </row>
    <row r="56" spans="1:5" s="59" customFormat="1" ht="18" customHeight="1">
      <c r="A56" s="46" t="s">
        <v>285</v>
      </c>
      <c r="B56" s="31">
        <v>328217.78</v>
      </c>
      <c r="C56" s="31">
        <v>328200</v>
      </c>
      <c r="D56" s="65">
        <f>IF(B56=0,"   ",C56/B56*100)</f>
        <v>99.99458286507208</v>
      </c>
      <c r="E56" s="66">
        <f>C56-B56</f>
        <v>-17.78000000002794</v>
      </c>
    </row>
    <row r="57" spans="1:5" s="59" customFormat="1" ht="18" customHeight="1">
      <c r="A57" s="46" t="s">
        <v>294</v>
      </c>
      <c r="B57" s="31">
        <v>4108110</v>
      </c>
      <c r="C57" s="31">
        <v>1658090</v>
      </c>
      <c r="D57" s="65">
        <f>IF(B57=0,"   ",C57/B57*100)</f>
        <v>40.36138272831059</v>
      </c>
      <c r="E57" s="66">
        <f>C57-B57</f>
        <v>-2450020</v>
      </c>
    </row>
    <row r="58" spans="1:5" s="59" customFormat="1" ht="20.25" customHeight="1">
      <c r="A58" s="46" t="s">
        <v>109</v>
      </c>
      <c r="B58" s="31">
        <v>369800</v>
      </c>
      <c r="C58" s="31">
        <v>369800</v>
      </c>
      <c r="D58" s="65">
        <f t="shared" si="2"/>
        <v>100</v>
      </c>
      <c r="E58" s="66">
        <f t="shared" si="3"/>
        <v>0</v>
      </c>
    </row>
    <row r="59" spans="1:5" s="59" customFormat="1" ht="24.75" customHeight="1">
      <c r="A59" s="16" t="s">
        <v>199</v>
      </c>
      <c r="B59" s="31">
        <v>128106.8</v>
      </c>
      <c r="C59" s="31">
        <v>130000</v>
      </c>
      <c r="D59" s="65">
        <f t="shared" si="2"/>
        <v>101.47782943606427</v>
      </c>
      <c r="E59" s="66">
        <f t="shared" si="3"/>
        <v>1893.199999999997</v>
      </c>
    </row>
    <row r="60" spans="1:5" s="59" customFormat="1" ht="27" customHeight="1">
      <c r="A60" s="30" t="s">
        <v>11</v>
      </c>
      <c r="B60" s="149">
        <f>B43+B44</f>
        <v>9637354.98</v>
      </c>
      <c r="C60" s="43">
        <f>C43+C44</f>
        <v>7114575.09</v>
      </c>
      <c r="D60" s="140">
        <f aca="true" t="shared" si="4" ref="D60:D91">IF(B60=0,"   ",C60/B60*100)</f>
        <v>73.82290166507906</v>
      </c>
      <c r="E60" s="141">
        <f aca="true" t="shared" si="5" ref="E60:E91">C60-B60</f>
        <v>-2522779.8900000006</v>
      </c>
    </row>
    <row r="61" spans="1:5" s="8" customFormat="1" ht="13.5" thickBot="1">
      <c r="A61" s="105" t="s">
        <v>12</v>
      </c>
      <c r="B61" s="106"/>
      <c r="C61" s="107"/>
      <c r="D61" s="89"/>
      <c r="E61" s="90"/>
    </row>
    <row r="62" spans="1:5" s="59" customFormat="1" ht="18.75" customHeight="1" thickBot="1">
      <c r="A62" s="97" t="s">
        <v>35</v>
      </c>
      <c r="B62" s="98">
        <f>SUM(B63,B66:B67)</f>
        <v>1304568.93</v>
      </c>
      <c r="C62" s="98">
        <f>SUM(C63,C66:C67)</f>
        <v>1299230.74</v>
      </c>
      <c r="D62" s="92">
        <f t="shared" si="4"/>
        <v>99.59080813000813</v>
      </c>
      <c r="E62" s="93">
        <f t="shared" si="5"/>
        <v>-5338.189999999944</v>
      </c>
    </row>
    <row r="63" spans="1:5" s="59" customFormat="1" ht="17.25" customHeight="1" thickBot="1">
      <c r="A63" s="95" t="s">
        <v>36</v>
      </c>
      <c r="B63" s="96">
        <v>1244800</v>
      </c>
      <c r="C63" s="98">
        <v>1240746.19</v>
      </c>
      <c r="D63" s="78">
        <f t="shared" si="4"/>
        <v>99.6743404562982</v>
      </c>
      <c r="E63" s="79">
        <f t="shared" si="5"/>
        <v>-4053.810000000056</v>
      </c>
    </row>
    <row r="64" spans="1:5" s="59" customFormat="1" ht="18" customHeight="1">
      <c r="A64" s="41" t="s">
        <v>120</v>
      </c>
      <c r="B64" s="31">
        <v>856835.23</v>
      </c>
      <c r="C64" s="70">
        <v>856835.23</v>
      </c>
      <c r="D64" s="65">
        <f t="shared" si="4"/>
        <v>100</v>
      </c>
      <c r="E64" s="66">
        <f t="shared" si="5"/>
        <v>0</v>
      </c>
    </row>
    <row r="65" spans="1:5" s="59" customFormat="1" ht="18" customHeight="1">
      <c r="A65" s="41" t="s">
        <v>286</v>
      </c>
      <c r="B65" s="31">
        <v>100</v>
      </c>
      <c r="C65" s="70">
        <v>100</v>
      </c>
      <c r="D65" s="65">
        <f>IF(B65=0,"   ",C65/B65*100)</f>
        <v>100</v>
      </c>
      <c r="E65" s="66">
        <f>C65-B65</f>
        <v>0</v>
      </c>
    </row>
    <row r="66" spans="1:5" s="59" customFormat="1" ht="15.75" customHeight="1">
      <c r="A66" s="41" t="s">
        <v>95</v>
      </c>
      <c r="B66" s="31">
        <v>0</v>
      </c>
      <c r="C66" s="70">
        <v>0</v>
      </c>
      <c r="D66" s="65" t="str">
        <f t="shared" si="4"/>
        <v>   </v>
      </c>
      <c r="E66" s="66">
        <f t="shared" si="5"/>
        <v>0</v>
      </c>
    </row>
    <row r="67" spans="1:5" s="59" customFormat="1" ht="12.75">
      <c r="A67" s="41" t="s">
        <v>52</v>
      </c>
      <c r="B67" s="31">
        <f>SUM(B68:B69)</f>
        <v>59768.93</v>
      </c>
      <c r="C67" s="31">
        <f>SUM(C68:C69)</f>
        <v>58484.55</v>
      </c>
      <c r="D67" s="65">
        <f t="shared" si="4"/>
        <v>97.85109085941475</v>
      </c>
      <c r="E67" s="66">
        <f t="shared" si="5"/>
        <v>-1284.3799999999974</v>
      </c>
    </row>
    <row r="68" spans="1:5" s="59" customFormat="1" ht="28.5" customHeight="1">
      <c r="A68" s="104" t="s">
        <v>246</v>
      </c>
      <c r="B68" s="31">
        <v>1284.38</v>
      </c>
      <c r="C68" s="68">
        <v>0</v>
      </c>
      <c r="D68" s="65">
        <f t="shared" si="4"/>
        <v>0</v>
      </c>
      <c r="E68" s="68">
        <f t="shared" si="5"/>
        <v>-1284.38</v>
      </c>
    </row>
    <row r="69" spans="1:5" s="59" customFormat="1" ht="17.25" customHeight="1" thickBot="1">
      <c r="A69" s="188" t="s">
        <v>222</v>
      </c>
      <c r="B69" s="31">
        <v>58484.55</v>
      </c>
      <c r="C69" s="68">
        <v>58484.55</v>
      </c>
      <c r="D69" s="65">
        <f t="shared" si="4"/>
        <v>100</v>
      </c>
      <c r="E69" s="68">
        <f t="shared" si="5"/>
        <v>0</v>
      </c>
    </row>
    <row r="70" spans="1:5" s="59" customFormat="1" ht="13.5" thickBot="1">
      <c r="A70" s="97" t="s">
        <v>49</v>
      </c>
      <c r="B70" s="189">
        <f>SUM(B71)</f>
        <v>99200</v>
      </c>
      <c r="C70" s="189">
        <f>SUM(C71)</f>
        <v>99200</v>
      </c>
      <c r="D70" s="190">
        <f t="shared" si="4"/>
        <v>100</v>
      </c>
      <c r="E70" s="191">
        <f t="shared" si="5"/>
        <v>0</v>
      </c>
    </row>
    <row r="71" spans="1:5" s="59" customFormat="1" ht="20.25" customHeight="1" thickBot="1">
      <c r="A71" s="75" t="s">
        <v>107</v>
      </c>
      <c r="B71" s="99">
        <v>99200</v>
      </c>
      <c r="C71" s="77">
        <v>99200</v>
      </c>
      <c r="D71" s="101">
        <f t="shared" si="4"/>
        <v>100</v>
      </c>
      <c r="E71" s="102">
        <f t="shared" si="5"/>
        <v>0</v>
      </c>
    </row>
    <row r="72" spans="1:5" s="59" customFormat="1" ht="13.5" thickBot="1">
      <c r="A72" s="97" t="s">
        <v>37</v>
      </c>
      <c r="B72" s="98">
        <f>SUM(B73)</f>
        <v>400</v>
      </c>
      <c r="C72" s="98">
        <f>SUM(C73)</f>
        <v>400</v>
      </c>
      <c r="D72" s="92">
        <f t="shared" si="4"/>
        <v>100</v>
      </c>
      <c r="E72" s="93">
        <f t="shared" si="5"/>
        <v>0</v>
      </c>
    </row>
    <row r="73" spans="1:5" s="59" customFormat="1" ht="13.5" thickBot="1">
      <c r="A73" s="75" t="s">
        <v>128</v>
      </c>
      <c r="B73" s="99">
        <v>400</v>
      </c>
      <c r="C73" s="77">
        <v>400</v>
      </c>
      <c r="D73" s="101">
        <f t="shared" si="4"/>
        <v>100</v>
      </c>
      <c r="E73" s="102">
        <f t="shared" si="5"/>
        <v>0</v>
      </c>
    </row>
    <row r="74" spans="1:5" s="59" customFormat="1" ht="13.5" thickBot="1">
      <c r="A74" s="97" t="s">
        <v>38</v>
      </c>
      <c r="B74" s="98">
        <f>B75+B80+B92+B78</f>
        <v>2142017.48</v>
      </c>
      <c r="C74" s="98">
        <f>C75+C80+C92+C78</f>
        <v>2029816.6300000001</v>
      </c>
      <c r="D74" s="92">
        <f t="shared" si="4"/>
        <v>94.76190782532737</v>
      </c>
      <c r="E74" s="93">
        <f t="shared" si="5"/>
        <v>-112200.84999999986</v>
      </c>
    </row>
    <row r="75" spans="1:5" s="59" customFormat="1" ht="19.5" customHeight="1" thickBot="1">
      <c r="A75" s="75" t="s">
        <v>165</v>
      </c>
      <c r="B75" s="98">
        <f>SUM(B76+B77)</f>
        <v>9800</v>
      </c>
      <c r="C75" s="98">
        <f>SUM(C76+C77)</f>
        <v>0</v>
      </c>
      <c r="D75" s="92">
        <f>IF(B75=0,"   ",C75/B75*100)</f>
        <v>0</v>
      </c>
      <c r="E75" s="93">
        <f>C75-B75</f>
        <v>-9800</v>
      </c>
    </row>
    <row r="76" spans="1:5" s="59" customFormat="1" ht="17.25" customHeight="1" thickBot="1">
      <c r="A76" s="147" t="s">
        <v>166</v>
      </c>
      <c r="B76" s="238">
        <v>9800</v>
      </c>
      <c r="C76" s="98">
        <v>0</v>
      </c>
      <c r="D76" s="92">
        <f>IF(B76=0,"   ",C76/B76*100)</f>
        <v>0</v>
      </c>
      <c r="E76" s="93">
        <f>C76-B76</f>
        <v>-9800</v>
      </c>
    </row>
    <row r="77" spans="1:5" s="59" customFormat="1" ht="17.25" customHeight="1" thickBot="1">
      <c r="A77" s="147" t="s">
        <v>189</v>
      </c>
      <c r="B77" s="99">
        <v>0</v>
      </c>
      <c r="C77" s="98">
        <v>0</v>
      </c>
      <c r="D77" s="92"/>
      <c r="E77" s="93"/>
    </row>
    <row r="78" spans="1:5" s="59" customFormat="1" ht="17.25" customHeight="1" thickBot="1">
      <c r="A78" s="75" t="s">
        <v>231</v>
      </c>
      <c r="B78" s="98">
        <f>SUM(B79)</f>
        <v>62025.62</v>
      </c>
      <c r="C78" s="98">
        <f>SUM(C79)</f>
        <v>62025.62</v>
      </c>
      <c r="D78" s="78">
        <f>IF(B78=0,"   ",C78/B78*100)</f>
        <v>100</v>
      </c>
      <c r="E78" s="79">
        <f>C78-B78</f>
        <v>0</v>
      </c>
    </row>
    <row r="79" spans="1:5" s="59" customFormat="1" ht="17.25" customHeight="1">
      <c r="A79" s="75" t="s">
        <v>232</v>
      </c>
      <c r="B79" s="99">
        <v>62025.62</v>
      </c>
      <c r="C79" s="99">
        <v>62025.62</v>
      </c>
      <c r="D79" s="78">
        <f>IF(B79=0,"   ",C79/B79*100)</f>
        <v>100</v>
      </c>
      <c r="E79" s="79">
        <f>C79-B79</f>
        <v>0</v>
      </c>
    </row>
    <row r="80" spans="1:5" s="59" customFormat="1" ht="18.75" customHeight="1">
      <c r="A80" s="147" t="s">
        <v>131</v>
      </c>
      <c r="B80" s="96">
        <f>SUM(B81:B82,B86:B91)</f>
        <v>2036091.8599999999</v>
      </c>
      <c r="C80" s="96">
        <f>SUM(C81:C82,C86:C91)</f>
        <v>1959600</v>
      </c>
      <c r="D80" s="78">
        <f t="shared" si="4"/>
        <v>96.24320191526134</v>
      </c>
      <c r="E80" s="79">
        <f t="shared" si="5"/>
        <v>-76491.85999999987</v>
      </c>
    </row>
    <row r="81" spans="1:5" s="59" customFormat="1" ht="19.5" customHeight="1">
      <c r="A81" s="75" t="s">
        <v>149</v>
      </c>
      <c r="B81" s="31">
        <v>0</v>
      </c>
      <c r="C81" s="31"/>
      <c r="D81" s="78" t="str">
        <f t="shared" si="4"/>
        <v>   </v>
      </c>
      <c r="E81" s="68">
        <f t="shared" si="5"/>
        <v>0</v>
      </c>
    </row>
    <row r="82" spans="1:5" s="59" customFormat="1" ht="19.5" customHeight="1">
      <c r="A82" s="104" t="s">
        <v>206</v>
      </c>
      <c r="B82" s="31">
        <f>SUM(B83:B85)</f>
        <v>547029.64</v>
      </c>
      <c r="C82" s="31">
        <f>SUM(C83:C85)</f>
        <v>547011.86</v>
      </c>
      <c r="D82" s="78">
        <f>IF(B82=0,"   ",C82/B82*100)</f>
        <v>99.99674971908286</v>
      </c>
      <c r="E82" s="68">
        <f>C82-B82</f>
        <v>-17.78000000002794</v>
      </c>
    </row>
    <row r="83" spans="1:5" s="59" customFormat="1" ht="29.25" customHeight="1">
      <c r="A83" s="104" t="s">
        <v>216</v>
      </c>
      <c r="B83" s="31">
        <v>328217.78</v>
      </c>
      <c r="C83" s="31">
        <v>328200</v>
      </c>
      <c r="D83" s="78">
        <f>IF(B83=0,"   ",C83/B83*100)</f>
        <v>99.99458286507208</v>
      </c>
      <c r="E83" s="68">
        <f>C83-B83</f>
        <v>-17.78000000002794</v>
      </c>
    </row>
    <row r="84" spans="1:5" s="59" customFormat="1" ht="27" customHeight="1">
      <c r="A84" s="104" t="s">
        <v>207</v>
      </c>
      <c r="B84" s="31">
        <v>109811.86</v>
      </c>
      <c r="C84" s="31">
        <v>109811.86</v>
      </c>
      <c r="D84" s="78">
        <f>IF(B84=0,"   ",C84/B84*100)</f>
        <v>100</v>
      </c>
      <c r="E84" s="68">
        <f>C84-B84</f>
        <v>0</v>
      </c>
    </row>
    <row r="85" spans="1:5" s="59" customFormat="1" ht="26.25" customHeight="1">
      <c r="A85" s="104" t="s">
        <v>217</v>
      </c>
      <c r="B85" s="31">
        <v>109000</v>
      </c>
      <c r="C85" s="31">
        <v>109000</v>
      </c>
      <c r="D85" s="78">
        <f>IF(B85=0,"   ",C85/B85*100)</f>
        <v>100</v>
      </c>
      <c r="E85" s="68">
        <f>C85-B85</f>
        <v>0</v>
      </c>
    </row>
    <row r="86" spans="1:5" s="59" customFormat="1" ht="33.75" customHeight="1">
      <c r="A86" s="71" t="s">
        <v>255</v>
      </c>
      <c r="B86" s="31">
        <v>400400</v>
      </c>
      <c r="C86" s="31">
        <v>323925.92</v>
      </c>
      <c r="D86" s="78">
        <f t="shared" si="4"/>
        <v>80.90057942057942</v>
      </c>
      <c r="E86" s="103">
        <f t="shared" si="5"/>
        <v>-76474.08000000002</v>
      </c>
    </row>
    <row r="87" spans="1:5" s="59" customFormat="1" ht="27" customHeight="1">
      <c r="A87" s="71" t="s">
        <v>256</v>
      </c>
      <c r="B87" s="31">
        <v>53062.22</v>
      </c>
      <c r="C87" s="31">
        <v>53062.22</v>
      </c>
      <c r="D87" s="78">
        <f t="shared" si="4"/>
        <v>100</v>
      </c>
      <c r="E87" s="103">
        <f t="shared" si="5"/>
        <v>0</v>
      </c>
    </row>
    <row r="88" spans="1:5" s="59" customFormat="1" ht="27" customHeight="1">
      <c r="A88" s="71" t="s">
        <v>257</v>
      </c>
      <c r="B88" s="31">
        <v>562200</v>
      </c>
      <c r="C88" s="31">
        <v>562200</v>
      </c>
      <c r="D88" s="78">
        <f t="shared" si="4"/>
        <v>100</v>
      </c>
      <c r="E88" s="103">
        <f t="shared" si="5"/>
        <v>0</v>
      </c>
    </row>
    <row r="89" spans="1:5" s="59" customFormat="1" ht="27" customHeight="1">
      <c r="A89" s="71" t="s">
        <v>258</v>
      </c>
      <c r="B89" s="31">
        <v>62500</v>
      </c>
      <c r="C89" s="31">
        <v>62500</v>
      </c>
      <c r="D89" s="78">
        <f t="shared" si="4"/>
        <v>100</v>
      </c>
      <c r="E89" s="103">
        <f t="shared" si="5"/>
        <v>0</v>
      </c>
    </row>
    <row r="90" spans="1:5" s="59" customFormat="1" ht="27" customHeight="1">
      <c r="A90" s="71" t="s">
        <v>259</v>
      </c>
      <c r="B90" s="31">
        <v>369800</v>
      </c>
      <c r="C90" s="31">
        <v>369800</v>
      </c>
      <c r="D90" s="78">
        <f t="shared" si="4"/>
        <v>100</v>
      </c>
      <c r="E90" s="103">
        <f t="shared" si="5"/>
        <v>0</v>
      </c>
    </row>
    <row r="91" spans="1:5" s="59" customFormat="1" ht="26.25">
      <c r="A91" s="71" t="s">
        <v>260</v>
      </c>
      <c r="B91" s="31">
        <v>41100</v>
      </c>
      <c r="C91" s="31">
        <v>41100</v>
      </c>
      <c r="D91" s="65">
        <f t="shared" si="4"/>
        <v>100</v>
      </c>
      <c r="E91" s="68">
        <f t="shared" si="5"/>
        <v>0</v>
      </c>
    </row>
    <row r="92" spans="1:5" s="59" customFormat="1" ht="12.75">
      <c r="A92" s="95" t="s">
        <v>177</v>
      </c>
      <c r="B92" s="31">
        <f>SUM(B93+B94)</f>
        <v>34100</v>
      </c>
      <c r="C92" s="31">
        <f>SUM(C93+C94)</f>
        <v>8191.01</v>
      </c>
      <c r="D92" s="65">
        <f>IF(B92=0,"   ",C92/B92*100)</f>
        <v>24.020557184750736</v>
      </c>
      <c r="E92" s="68">
        <f>C92-B92</f>
        <v>-25908.989999999998</v>
      </c>
    </row>
    <row r="93" spans="1:5" s="59" customFormat="1" ht="26.25">
      <c r="A93" s="104" t="s">
        <v>155</v>
      </c>
      <c r="B93" s="31">
        <v>34100</v>
      </c>
      <c r="C93" s="31">
        <v>8191.01</v>
      </c>
      <c r="D93" s="65">
        <f>IF(B93=0,"   ",C93/B93*100)</f>
        <v>24.020557184750736</v>
      </c>
      <c r="E93" s="68">
        <f>C93-B93</f>
        <v>-25908.989999999998</v>
      </c>
    </row>
    <row r="94" spans="1:5" s="59" customFormat="1" ht="27" thickBot="1">
      <c r="A94" s="75" t="s">
        <v>178</v>
      </c>
      <c r="B94" s="31">
        <v>0</v>
      </c>
      <c r="C94" s="31">
        <v>0</v>
      </c>
      <c r="D94" s="65" t="str">
        <f>IF(B94=0,"   ",C94/B94*100)</f>
        <v>   </v>
      </c>
      <c r="E94" s="68">
        <f>C94-B94</f>
        <v>0</v>
      </c>
    </row>
    <row r="95" spans="1:5" s="59" customFormat="1" ht="13.5" thickBot="1">
      <c r="A95" s="97" t="s">
        <v>13</v>
      </c>
      <c r="B95" s="31">
        <f>B108+B98+B100</f>
        <v>5711434</v>
      </c>
      <c r="C95" s="31">
        <f>C108+C98+C100</f>
        <v>3261393.6</v>
      </c>
      <c r="D95" s="65">
        <f>IF(B95=0,"   ",C95/B95*100)</f>
        <v>57.10288519485649</v>
      </c>
      <c r="E95" s="68">
        <f>C95-B95</f>
        <v>-2450040.4</v>
      </c>
    </row>
    <row r="96" spans="1:5" s="59" customFormat="1" ht="12.75" customHeight="1" hidden="1">
      <c r="A96" s="95" t="s">
        <v>40</v>
      </c>
      <c r="B96" s="96" t="e">
        <f>SUM(#REF!,B108,#REF!)</f>
        <v>#REF!</v>
      </c>
      <c r="C96" s="96" t="e">
        <f>SUM(#REF!,C108,#REF!)</f>
        <v>#REF!</v>
      </c>
      <c r="D96" s="78" t="e">
        <f>IF(#REF!=0,"   ",C96/#REF!)</f>
        <v>#REF!</v>
      </c>
      <c r="E96" s="79" t="e">
        <f>C96-#REF!</f>
        <v>#REF!</v>
      </c>
    </row>
    <row r="97" spans="1:5" s="59" customFormat="1" ht="12.75" customHeight="1" hidden="1">
      <c r="A97" s="41" t="s">
        <v>18</v>
      </c>
      <c r="B97" s="31">
        <v>851563</v>
      </c>
      <c r="C97" s="68">
        <v>851563</v>
      </c>
      <c r="D97" s="65" t="e">
        <f>IF(#REF!=0,"   ",C97/#REF!)</f>
        <v>#REF!</v>
      </c>
      <c r="E97" s="66" t="e">
        <f>C97-#REF!</f>
        <v>#REF!</v>
      </c>
    </row>
    <row r="98" spans="1:5" s="59" customFormat="1" ht="12.75" customHeight="1">
      <c r="A98" s="41" t="s">
        <v>156</v>
      </c>
      <c r="B98" s="31">
        <f>SUM(B99)</f>
        <v>0</v>
      </c>
      <c r="C98" s="31">
        <f>SUM(C99)</f>
        <v>0</v>
      </c>
      <c r="D98" s="65" t="str">
        <f aca="true" t="shared" si="6" ref="D98:D105">IF(B98=0,"   ",C98/B98*100)</f>
        <v>   </v>
      </c>
      <c r="E98" s="68">
        <f aca="true" t="shared" si="7" ref="E98:E107">C98-B98</f>
        <v>0</v>
      </c>
    </row>
    <row r="99" spans="1:5" s="59" customFormat="1" ht="12.75" customHeight="1">
      <c r="A99" s="41" t="s">
        <v>157</v>
      </c>
      <c r="B99" s="31">
        <v>0</v>
      </c>
      <c r="C99" s="31">
        <v>0</v>
      </c>
      <c r="D99" s="65" t="str">
        <f t="shared" si="6"/>
        <v>   </v>
      </c>
      <c r="E99" s="68">
        <f t="shared" si="7"/>
        <v>0</v>
      </c>
    </row>
    <row r="100" spans="1:5" s="59" customFormat="1" ht="12.75" customHeight="1">
      <c r="A100" s="41" t="s">
        <v>150</v>
      </c>
      <c r="B100" s="31">
        <f>SUM(B101+B102)</f>
        <v>4219200</v>
      </c>
      <c r="C100" s="31">
        <f>SUM(C101+C102)</f>
        <v>1769180</v>
      </c>
      <c r="D100" s="65">
        <f t="shared" si="6"/>
        <v>41.93164580963216</v>
      </c>
      <c r="E100" s="68">
        <f t="shared" si="7"/>
        <v>-2450020</v>
      </c>
    </row>
    <row r="101" spans="1:5" s="59" customFormat="1" ht="12.75" customHeight="1">
      <c r="A101" s="16" t="s">
        <v>299</v>
      </c>
      <c r="B101" s="31">
        <v>4108110</v>
      </c>
      <c r="C101" s="31">
        <v>1658090</v>
      </c>
      <c r="D101" s="65">
        <f t="shared" si="6"/>
        <v>40.36138272831059</v>
      </c>
      <c r="E101" s="68">
        <f t="shared" si="7"/>
        <v>-2450020</v>
      </c>
    </row>
    <row r="102" spans="1:5" s="59" customFormat="1" ht="12.75" customHeight="1">
      <c r="A102" s="16" t="s">
        <v>308</v>
      </c>
      <c r="B102" s="96">
        <v>111090</v>
      </c>
      <c r="C102" s="96">
        <v>111090</v>
      </c>
      <c r="D102" s="65">
        <f t="shared" si="6"/>
        <v>100</v>
      </c>
      <c r="E102" s="68">
        <f t="shared" si="7"/>
        <v>0</v>
      </c>
    </row>
    <row r="103" spans="1:5" s="59" customFormat="1" ht="18.75" customHeight="1">
      <c r="A103" s="104" t="s">
        <v>206</v>
      </c>
      <c r="B103" s="117">
        <f>SUM(B104+B105+B106)</f>
        <v>0</v>
      </c>
      <c r="C103" s="117">
        <f>SUM(C104+C105+C106)</f>
        <v>0</v>
      </c>
      <c r="D103" s="65" t="str">
        <f t="shared" si="6"/>
        <v>   </v>
      </c>
      <c r="E103" s="68">
        <f t="shared" si="7"/>
        <v>0</v>
      </c>
    </row>
    <row r="104" spans="1:5" s="59" customFormat="1" ht="22.5" customHeight="1">
      <c r="A104" s="104" t="s">
        <v>187</v>
      </c>
      <c r="B104" s="31">
        <v>0</v>
      </c>
      <c r="C104" s="31">
        <v>0</v>
      </c>
      <c r="D104" s="65" t="str">
        <f t="shared" si="6"/>
        <v>   </v>
      </c>
      <c r="E104" s="68">
        <f t="shared" si="7"/>
        <v>0</v>
      </c>
    </row>
    <row r="105" spans="1:5" s="59" customFormat="1" ht="27" customHeight="1">
      <c r="A105" s="104" t="s">
        <v>207</v>
      </c>
      <c r="B105" s="31">
        <v>0</v>
      </c>
      <c r="C105" s="31">
        <v>0</v>
      </c>
      <c r="D105" s="65" t="str">
        <f t="shared" si="6"/>
        <v>   </v>
      </c>
      <c r="E105" s="68">
        <f t="shared" si="7"/>
        <v>0</v>
      </c>
    </row>
    <row r="106" spans="1:5" s="59" customFormat="1" ht="28.5" customHeight="1">
      <c r="A106" s="104" t="s">
        <v>217</v>
      </c>
      <c r="B106" s="31">
        <v>0</v>
      </c>
      <c r="C106" s="31">
        <v>0</v>
      </c>
      <c r="D106" s="65" t="str">
        <f>IF(B106=0,"   ",C106/B106*100)</f>
        <v>   </v>
      </c>
      <c r="E106" s="68">
        <f t="shared" si="7"/>
        <v>0</v>
      </c>
    </row>
    <row r="107" spans="1:5" s="59" customFormat="1" ht="12.75" customHeight="1">
      <c r="A107" s="16" t="s">
        <v>197</v>
      </c>
      <c r="B107" s="31">
        <v>0</v>
      </c>
      <c r="C107" s="31">
        <v>0</v>
      </c>
      <c r="D107" s="65" t="str">
        <f>IF(B107=0,"   ",C107/B107*100)</f>
        <v>   </v>
      </c>
      <c r="E107" s="68">
        <f t="shared" si="7"/>
        <v>0</v>
      </c>
    </row>
    <row r="108" spans="1:5" s="59" customFormat="1" ht="12.75">
      <c r="A108" s="41" t="s">
        <v>58</v>
      </c>
      <c r="B108" s="31">
        <f>SUM(B109:B113)</f>
        <v>1492234</v>
      </c>
      <c r="C108" s="31">
        <f>SUM(C109:C113)</f>
        <v>1492213.6</v>
      </c>
      <c r="D108" s="65">
        <f aca="true" t="shared" si="8" ref="D108:D121">IF(B108=0,"   ",C108/B108*100)</f>
        <v>99.99863292218245</v>
      </c>
      <c r="E108" s="66">
        <f aca="true" t="shared" si="9" ref="E108:E121">C108-B108</f>
        <v>-20.399999999906868</v>
      </c>
    </row>
    <row r="109" spans="1:5" s="59" customFormat="1" ht="15" customHeight="1">
      <c r="A109" s="41" t="s">
        <v>56</v>
      </c>
      <c r="B109" s="31">
        <v>196700</v>
      </c>
      <c r="C109" s="68">
        <v>196700</v>
      </c>
      <c r="D109" s="65">
        <f t="shared" si="8"/>
        <v>100</v>
      </c>
      <c r="E109" s="66">
        <f t="shared" si="9"/>
        <v>0</v>
      </c>
    </row>
    <row r="110" spans="1:5" s="59" customFormat="1" ht="32.25" customHeight="1">
      <c r="A110" s="104" t="s">
        <v>167</v>
      </c>
      <c r="B110" s="88">
        <v>0</v>
      </c>
      <c r="C110" s="73">
        <v>0</v>
      </c>
      <c r="D110" s="89" t="str">
        <f t="shared" si="8"/>
        <v>   </v>
      </c>
      <c r="E110" s="90">
        <f t="shared" si="9"/>
        <v>0</v>
      </c>
    </row>
    <row r="111" spans="1:5" s="59" customFormat="1" ht="17.25" customHeight="1">
      <c r="A111" s="71" t="s">
        <v>57</v>
      </c>
      <c r="B111" s="31">
        <v>0</v>
      </c>
      <c r="C111" s="70">
        <v>0</v>
      </c>
      <c r="D111" s="89" t="str">
        <f t="shared" si="8"/>
        <v>   </v>
      </c>
      <c r="E111" s="90">
        <f t="shared" si="9"/>
        <v>0</v>
      </c>
    </row>
    <row r="112" spans="1:5" s="59" customFormat="1" ht="17.25" customHeight="1">
      <c r="A112" s="104" t="s">
        <v>300</v>
      </c>
      <c r="B112" s="31">
        <v>1200000</v>
      </c>
      <c r="C112" s="70">
        <v>1200000</v>
      </c>
      <c r="D112" s="89">
        <f t="shared" si="8"/>
        <v>100</v>
      </c>
      <c r="E112" s="68">
        <f t="shared" si="9"/>
        <v>0</v>
      </c>
    </row>
    <row r="113" spans="1:5" s="59" customFormat="1" ht="17.25" customHeight="1">
      <c r="A113" s="104" t="s">
        <v>206</v>
      </c>
      <c r="B113" s="25">
        <f>SUM(B114+B115+B116)</f>
        <v>95534</v>
      </c>
      <c r="C113" s="25">
        <f>SUM(C114+C115+C116)</f>
        <v>95513.6</v>
      </c>
      <c r="D113" s="65">
        <f t="shared" si="8"/>
        <v>99.9786463458036</v>
      </c>
      <c r="E113" s="68">
        <f t="shared" si="9"/>
        <v>-20.39999999999418</v>
      </c>
    </row>
    <row r="114" spans="1:5" s="59" customFormat="1" ht="15.75" customHeight="1">
      <c r="A114" s="104" t="s">
        <v>187</v>
      </c>
      <c r="B114" s="31">
        <v>57320.4</v>
      </c>
      <c r="C114" s="70">
        <v>57300</v>
      </c>
      <c r="D114" s="65">
        <f t="shared" si="8"/>
        <v>99.96441057633932</v>
      </c>
      <c r="E114" s="68">
        <f t="shared" si="9"/>
        <v>-20.400000000001455</v>
      </c>
    </row>
    <row r="115" spans="1:5" s="59" customFormat="1" ht="27.75" customHeight="1">
      <c r="A115" s="104" t="s">
        <v>207</v>
      </c>
      <c r="B115" s="31">
        <v>19106.8</v>
      </c>
      <c r="C115" s="70">
        <v>19106.8</v>
      </c>
      <c r="D115" s="65">
        <f>IF(B115=0,"   ",C115/B115*100)</f>
        <v>100</v>
      </c>
      <c r="E115" s="68">
        <f>C115-B115</f>
        <v>0</v>
      </c>
    </row>
    <row r="116" spans="1:5" s="59" customFormat="1" ht="27" customHeight="1" thickBot="1">
      <c r="A116" s="104" t="s">
        <v>217</v>
      </c>
      <c r="B116" s="31">
        <v>19106.8</v>
      </c>
      <c r="C116" s="70">
        <v>19106.8</v>
      </c>
      <c r="D116" s="65">
        <f t="shared" si="8"/>
        <v>100</v>
      </c>
      <c r="E116" s="68">
        <f t="shared" si="9"/>
        <v>0</v>
      </c>
    </row>
    <row r="117" spans="1:5" s="59" customFormat="1" ht="15" customHeight="1" thickBot="1">
      <c r="A117" s="97" t="s">
        <v>17</v>
      </c>
      <c r="B117" s="189">
        <v>8000</v>
      </c>
      <c r="C117" s="189">
        <v>8000</v>
      </c>
      <c r="D117" s="190">
        <f t="shared" si="8"/>
        <v>100</v>
      </c>
      <c r="E117" s="191">
        <f t="shared" si="9"/>
        <v>0</v>
      </c>
    </row>
    <row r="118" spans="1:5" s="59" customFormat="1" ht="13.5" thickBot="1">
      <c r="A118" s="97" t="s">
        <v>41</v>
      </c>
      <c r="B118" s="180">
        <f>SUM(B119)</f>
        <v>519000</v>
      </c>
      <c r="C118" s="98">
        <f>SUM(C119)</f>
        <v>519000</v>
      </c>
      <c r="D118" s="92">
        <f t="shared" si="8"/>
        <v>100</v>
      </c>
      <c r="E118" s="93">
        <f t="shared" si="9"/>
        <v>0</v>
      </c>
    </row>
    <row r="119" spans="1:5" s="59" customFormat="1" ht="13.5" thickBot="1">
      <c r="A119" s="95" t="s">
        <v>42</v>
      </c>
      <c r="B119" s="96">
        <v>519000</v>
      </c>
      <c r="C119" s="103">
        <v>519000</v>
      </c>
      <c r="D119" s="78">
        <f t="shared" si="8"/>
        <v>100</v>
      </c>
      <c r="E119" s="79">
        <f t="shared" si="9"/>
        <v>0</v>
      </c>
    </row>
    <row r="120" spans="1:5" s="59" customFormat="1" ht="19.5" customHeight="1" thickBot="1">
      <c r="A120" s="97" t="s">
        <v>124</v>
      </c>
      <c r="B120" s="180">
        <f>SUM(B121)</f>
        <v>0</v>
      </c>
      <c r="C120" s="180">
        <f>SUM(C121)</f>
        <v>0</v>
      </c>
      <c r="D120" s="92" t="str">
        <f t="shared" si="8"/>
        <v>   </v>
      </c>
      <c r="E120" s="93">
        <f t="shared" si="9"/>
        <v>0</v>
      </c>
    </row>
    <row r="121" spans="1:5" s="59" customFormat="1" ht="16.5" customHeight="1">
      <c r="A121" s="75" t="s">
        <v>43</v>
      </c>
      <c r="B121" s="99">
        <v>0</v>
      </c>
      <c r="C121" s="100">
        <v>0</v>
      </c>
      <c r="D121" s="101" t="str">
        <f t="shared" si="8"/>
        <v>   </v>
      </c>
      <c r="E121" s="102">
        <f t="shared" si="9"/>
        <v>0</v>
      </c>
    </row>
    <row r="122" spans="1:5" s="59" customFormat="1" ht="16.5" customHeight="1">
      <c r="A122" s="30" t="s">
        <v>15</v>
      </c>
      <c r="B122" s="149">
        <f>SUM(B62,B70,B72,B74,B95,B117,B118,B120,)</f>
        <v>9784620.41</v>
      </c>
      <c r="C122" s="149">
        <f>SUM(C62,C70,C72,C74,C95,C117,C118,C120,)</f>
        <v>7217040.970000001</v>
      </c>
      <c r="D122" s="140">
        <f>IF(B122=0,"   ",C122/B122*100)</f>
        <v>73.75902863461211</v>
      </c>
      <c r="E122" s="141">
        <f>C122-B122</f>
        <v>-2567579.4399999995</v>
      </c>
    </row>
    <row r="123" spans="1:5" s="59" customFormat="1" ht="12.75" customHeight="1" hidden="1">
      <c r="A123" s="75" t="s">
        <v>21</v>
      </c>
      <c r="B123" s="76"/>
      <c r="C123" s="77"/>
      <c r="D123" s="78" t="e">
        <f>IF(#REF!=0,"   ",C123/#REF!)</f>
        <v>#REF!</v>
      </c>
      <c r="E123" s="79" t="e">
        <f>C123-#REF!</f>
        <v>#REF!</v>
      </c>
    </row>
    <row r="124" spans="1:5" s="59" customFormat="1" ht="12.75" customHeight="1" hidden="1">
      <c r="A124" s="71" t="s">
        <v>22</v>
      </c>
      <c r="B124" s="72">
        <v>1122919</v>
      </c>
      <c r="C124" s="73">
        <v>815256</v>
      </c>
      <c r="D124" s="65" t="e">
        <f>IF(#REF!=0,"   ",C124/#REF!)</f>
        <v>#REF!</v>
      </c>
      <c r="E124" s="66" t="e">
        <f>C124-#REF!</f>
        <v>#REF!</v>
      </c>
    </row>
    <row r="125" spans="1:5" s="59" customFormat="1" ht="13.5" customHeight="1" hidden="1" thickBot="1">
      <c r="A125" s="71" t="s">
        <v>23</v>
      </c>
      <c r="B125" s="72">
        <v>1700000</v>
      </c>
      <c r="C125" s="94">
        <v>1700000</v>
      </c>
      <c r="D125" s="89" t="e">
        <f>IF(#REF!=0,"   ",C125/#REF!)</f>
        <v>#REF!</v>
      </c>
      <c r="E125" s="90" t="e">
        <f>C125-#REF!</f>
        <v>#REF!</v>
      </c>
    </row>
    <row r="126" spans="1:5" s="59" customFormat="1" ht="33" customHeight="1">
      <c r="A126" s="80" t="s">
        <v>334</v>
      </c>
      <c r="B126" s="80"/>
      <c r="C126" s="336"/>
      <c r="D126" s="336"/>
      <c r="E126" s="336"/>
    </row>
    <row r="127" spans="1:5" s="59" customFormat="1" ht="25.5" customHeight="1">
      <c r="A127" s="80" t="s">
        <v>154</v>
      </c>
      <c r="B127" s="80"/>
      <c r="C127" s="81" t="s">
        <v>335</v>
      </c>
      <c r="D127" s="82"/>
      <c r="E127" s="83"/>
    </row>
    <row r="128" spans="3:5" s="7" customFormat="1" ht="12.75">
      <c r="C128" s="6"/>
      <c r="E128" s="2"/>
    </row>
    <row r="129" spans="3:5" s="7" customFormat="1" ht="12.75">
      <c r="C129" s="6"/>
      <c r="E129" s="2"/>
    </row>
    <row r="130" spans="3:5" s="7" customFormat="1" ht="12.75">
      <c r="C130" s="6"/>
      <c r="E130" s="2"/>
    </row>
    <row r="131" spans="3:5" s="7" customFormat="1" ht="12.75">
      <c r="C131" s="6"/>
      <c r="E131" s="2"/>
    </row>
    <row r="132" spans="3:5" s="7" customFormat="1" ht="12.75">
      <c r="C132" s="6"/>
      <c r="E132" s="2"/>
    </row>
    <row r="133" spans="3:5" s="7" customFormat="1" ht="12.75">
      <c r="C133" s="6"/>
      <c r="E133" s="2"/>
    </row>
    <row r="134" spans="3:5" s="7" customFormat="1" ht="12.75">
      <c r="C134" s="6"/>
      <c r="E134" s="2"/>
    </row>
    <row r="135" spans="3:5" s="7" customFormat="1" ht="12.75">
      <c r="C135" s="6"/>
      <c r="E135" s="2"/>
    </row>
    <row r="136" spans="3:5" s="7" customFormat="1" ht="12.75">
      <c r="C136" s="6"/>
      <c r="E136" s="2"/>
    </row>
    <row r="137" spans="3:5" s="7" customFormat="1" ht="12.75">
      <c r="C137" s="6"/>
      <c r="E137" s="2"/>
    </row>
  </sheetData>
  <sheetProtection/>
  <mergeCells count="2">
    <mergeCell ref="C126:E126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zoomScalePageLayoutView="0" workbookViewId="0" topLeftCell="A91">
      <selection activeCell="A93" sqref="A93:E94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7.25">
      <c r="A1" s="338" t="s">
        <v>330</v>
      </c>
      <c r="B1" s="338"/>
      <c r="C1" s="338"/>
      <c r="D1" s="338"/>
      <c r="E1" s="338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249</v>
      </c>
      <c r="C4" s="32" t="s">
        <v>323</v>
      </c>
      <c r="D4" s="19" t="s">
        <v>252</v>
      </c>
      <c r="E4" s="36" t="s">
        <v>251</v>
      </c>
    </row>
    <row r="5" spans="1:5" ht="12.75">
      <c r="A5" s="13">
        <v>1</v>
      </c>
      <c r="B5" s="74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48">
        <f>SUM(B8)</f>
        <v>19900</v>
      </c>
      <c r="C7" s="148">
        <f>SUM(C8)</f>
        <v>11864.4</v>
      </c>
      <c r="D7" s="26">
        <f aca="true" t="shared" si="0" ref="D7:D91">IF(B7=0,"   ",C7/B7*100)</f>
        <v>59.620100502512564</v>
      </c>
      <c r="E7" s="42">
        <f aca="true" t="shared" si="1" ref="E7:E92">C7-B7</f>
        <v>-8035.6</v>
      </c>
    </row>
    <row r="8" spans="1:5" ht="12.75">
      <c r="A8" s="16" t="s">
        <v>44</v>
      </c>
      <c r="B8" s="84">
        <v>19900</v>
      </c>
      <c r="C8" s="230">
        <v>11864.4</v>
      </c>
      <c r="D8" s="26">
        <f t="shared" si="0"/>
        <v>59.620100502512564</v>
      </c>
      <c r="E8" s="42">
        <f t="shared" si="1"/>
        <v>-8035.6</v>
      </c>
    </row>
    <row r="9" spans="1:5" ht="16.5" customHeight="1">
      <c r="A9" s="64" t="s">
        <v>137</v>
      </c>
      <c r="B9" s="193">
        <f>SUM(B10)</f>
        <v>515900</v>
      </c>
      <c r="C9" s="193">
        <f>SUM(C10)</f>
        <v>489918.79</v>
      </c>
      <c r="D9" s="26">
        <f t="shared" si="0"/>
        <v>94.96390579569683</v>
      </c>
      <c r="E9" s="42">
        <f t="shared" si="1"/>
        <v>-25981.21000000002</v>
      </c>
    </row>
    <row r="10" spans="1:5" ht="12.75">
      <c r="A10" s="41" t="s">
        <v>138</v>
      </c>
      <c r="B10" s="194">
        <v>515900</v>
      </c>
      <c r="C10" s="230">
        <v>489918.79</v>
      </c>
      <c r="D10" s="26">
        <f t="shared" si="0"/>
        <v>94.96390579569683</v>
      </c>
      <c r="E10" s="42">
        <f t="shared" si="1"/>
        <v>-25981.21000000002</v>
      </c>
    </row>
    <row r="11" spans="1:5" ht="16.5" customHeight="1">
      <c r="A11" s="16" t="s">
        <v>7</v>
      </c>
      <c r="B11" s="194">
        <f>SUM(B12:B12)</f>
        <v>0</v>
      </c>
      <c r="C11" s="194">
        <f>SUM(C12:C12)</f>
        <v>529.5</v>
      </c>
      <c r="D11" s="26" t="str">
        <f t="shared" si="0"/>
        <v>   </v>
      </c>
      <c r="E11" s="42">
        <f t="shared" si="1"/>
        <v>529.5</v>
      </c>
    </row>
    <row r="12" spans="1:5" ht="15" customHeight="1">
      <c r="A12" s="16" t="s">
        <v>26</v>
      </c>
      <c r="B12" s="194">
        <v>0</v>
      </c>
      <c r="C12" s="195">
        <v>529.5</v>
      </c>
      <c r="D12" s="26" t="str">
        <f t="shared" si="0"/>
        <v>   </v>
      </c>
      <c r="E12" s="42">
        <f t="shared" si="1"/>
        <v>529.5</v>
      </c>
    </row>
    <row r="13" spans="1:5" ht="15" customHeight="1">
      <c r="A13" s="16" t="s">
        <v>9</v>
      </c>
      <c r="B13" s="194">
        <f>SUM(B14:B15)</f>
        <v>261000</v>
      </c>
      <c r="C13" s="194">
        <f>SUM(C14:C15)</f>
        <v>215176.51</v>
      </c>
      <c r="D13" s="26">
        <f t="shared" si="0"/>
        <v>82.44310727969349</v>
      </c>
      <c r="E13" s="42">
        <f t="shared" si="1"/>
        <v>-45823.48999999999</v>
      </c>
    </row>
    <row r="14" spans="1:5" ht="15" customHeight="1">
      <c r="A14" s="16" t="s">
        <v>111</v>
      </c>
      <c r="B14" s="194">
        <v>28000</v>
      </c>
      <c r="C14" s="230">
        <v>25830.3</v>
      </c>
      <c r="D14" s="26">
        <f t="shared" si="0"/>
        <v>92.25107142857144</v>
      </c>
      <c r="E14" s="42">
        <f t="shared" si="1"/>
        <v>-2169.7000000000007</v>
      </c>
    </row>
    <row r="15" spans="1:5" ht="15.75" customHeight="1">
      <c r="A15" s="41" t="s">
        <v>160</v>
      </c>
      <c r="B15" s="194">
        <f>SUM(B16:B17)</f>
        <v>233000</v>
      </c>
      <c r="C15" s="194">
        <f>SUM(C16:C17)</f>
        <v>189346.21000000002</v>
      </c>
      <c r="D15" s="26">
        <f t="shared" si="0"/>
        <v>81.26446781115881</v>
      </c>
      <c r="E15" s="42">
        <f t="shared" si="1"/>
        <v>-43653.78999999998</v>
      </c>
    </row>
    <row r="16" spans="1:5" ht="15.75" customHeight="1">
      <c r="A16" s="41" t="s">
        <v>161</v>
      </c>
      <c r="B16" s="194">
        <v>136000</v>
      </c>
      <c r="C16" s="230">
        <v>92153</v>
      </c>
      <c r="D16" s="26">
        <f t="shared" si="0"/>
        <v>67.7595588235294</v>
      </c>
      <c r="E16" s="42">
        <f t="shared" si="1"/>
        <v>-43847</v>
      </c>
    </row>
    <row r="17" spans="1:5" ht="15.75" customHeight="1">
      <c r="A17" s="41" t="s">
        <v>162</v>
      </c>
      <c r="B17" s="194">
        <v>97000</v>
      </c>
      <c r="C17" s="230">
        <v>97193.21</v>
      </c>
      <c r="D17" s="26">
        <f t="shared" si="0"/>
        <v>100.1991855670103</v>
      </c>
      <c r="E17" s="42">
        <f t="shared" si="1"/>
        <v>193.2100000000064</v>
      </c>
    </row>
    <row r="18" spans="1:5" ht="15.75" customHeight="1">
      <c r="A18" s="41" t="s">
        <v>196</v>
      </c>
      <c r="B18" s="194">
        <v>0</v>
      </c>
      <c r="C18" s="195">
        <v>0</v>
      </c>
      <c r="D18" s="26" t="str">
        <f t="shared" si="0"/>
        <v>   </v>
      </c>
      <c r="E18" s="42">
        <f t="shared" si="1"/>
        <v>0</v>
      </c>
    </row>
    <row r="19" spans="1:5" ht="28.5" customHeight="1">
      <c r="A19" s="16" t="s">
        <v>89</v>
      </c>
      <c r="B19" s="194">
        <v>0</v>
      </c>
      <c r="C19" s="194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194">
        <f>SUM(B21:B23)</f>
        <v>230300</v>
      </c>
      <c r="C20" s="194">
        <f>SUM(C21:C23)</f>
        <v>291750.71</v>
      </c>
      <c r="D20" s="26">
        <f t="shared" si="0"/>
        <v>126.68289622231872</v>
      </c>
      <c r="E20" s="42">
        <f t="shared" si="1"/>
        <v>61450.71000000002</v>
      </c>
    </row>
    <row r="21" spans="1:5" ht="12.75">
      <c r="A21" s="16" t="s">
        <v>151</v>
      </c>
      <c r="B21" s="194">
        <v>0</v>
      </c>
      <c r="C21" s="195">
        <v>0</v>
      </c>
      <c r="D21" s="26" t="str">
        <f t="shared" si="0"/>
        <v>   </v>
      </c>
      <c r="E21" s="42">
        <f t="shared" si="1"/>
        <v>0</v>
      </c>
    </row>
    <row r="22" spans="1:5" ht="26.25">
      <c r="A22" s="16" t="s">
        <v>270</v>
      </c>
      <c r="B22" s="194">
        <v>3000</v>
      </c>
      <c r="C22" s="195">
        <v>3068</v>
      </c>
      <c r="D22" s="26">
        <f>IF(B22=0,"   ",C22/B22*100)</f>
        <v>102.26666666666667</v>
      </c>
      <c r="E22" s="42">
        <f>C22-B22</f>
        <v>68</v>
      </c>
    </row>
    <row r="23" spans="1:5" ht="16.5" customHeight="1">
      <c r="A23" s="41" t="s">
        <v>152</v>
      </c>
      <c r="B23" s="194">
        <v>227300</v>
      </c>
      <c r="C23" s="195">
        <v>288682.71</v>
      </c>
      <c r="D23" s="26">
        <f t="shared" si="0"/>
        <v>127.0051517817862</v>
      </c>
      <c r="E23" s="42">
        <f t="shared" si="1"/>
        <v>61382.71000000002</v>
      </c>
    </row>
    <row r="24" spans="1:5" ht="17.25" customHeight="1">
      <c r="A24" s="39" t="s">
        <v>91</v>
      </c>
      <c r="B24" s="194">
        <v>0</v>
      </c>
      <c r="C24" s="195">
        <v>0</v>
      </c>
      <c r="D24" s="26" t="str">
        <f t="shared" si="0"/>
        <v>   </v>
      </c>
      <c r="E24" s="42">
        <f t="shared" si="1"/>
        <v>0</v>
      </c>
    </row>
    <row r="25" spans="1:5" ht="14.25" customHeight="1">
      <c r="A25" s="16" t="s">
        <v>78</v>
      </c>
      <c r="B25" s="194">
        <f>SUM(B26)</f>
        <v>0</v>
      </c>
      <c r="C25" s="194">
        <f>SUM(C26)</f>
        <v>0</v>
      </c>
      <c r="D25" s="26" t="str">
        <f t="shared" si="0"/>
        <v>   </v>
      </c>
      <c r="E25" s="42">
        <f t="shared" si="1"/>
        <v>0</v>
      </c>
    </row>
    <row r="26" spans="1:5" ht="27" customHeight="1">
      <c r="A26" s="16" t="s">
        <v>168</v>
      </c>
      <c r="B26" s="193">
        <v>0</v>
      </c>
      <c r="C26" s="195"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32</v>
      </c>
      <c r="B27" s="194">
        <f>SUM(B29)</f>
        <v>0</v>
      </c>
      <c r="C27" s="194">
        <f>C29+C28</f>
        <v>0</v>
      </c>
      <c r="D27" s="26" t="str">
        <f t="shared" si="0"/>
        <v>   </v>
      </c>
      <c r="E27" s="42">
        <f t="shared" si="1"/>
        <v>0</v>
      </c>
    </row>
    <row r="28" spans="1:5" ht="15.75" customHeight="1">
      <c r="A28" s="16" t="s">
        <v>126</v>
      </c>
      <c r="B28" s="194">
        <v>0</v>
      </c>
      <c r="C28" s="194">
        <v>0</v>
      </c>
      <c r="D28" s="26"/>
      <c r="E28" s="42">
        <f t="shared" si="1"/>
        <v>0</v>
      </c>
    </row>
    <row r="29" spans="1:5" ht="17.25" customHeight="1">
      <c r="A29" s="16" t="s">
        <v>50</v>
      </c>
      <c r="B29" s="194">
        <v>0</v>
      </c>
      <c r="C29" s="195">
        <v>0</v>
      </c>
      <c r="D29" s="26" t="str">
        <f t="shared" si="0"/>
        <v>   </v>
      </c>
      <c r="E29" s="42">
        <f t="shared" si="1"/>
        <v>0</v>
      </c>
    </row>
    <row r="30" spans="1:5" ht="24" customHeight="1">
      <c r="A30" s="171" t="s">
        <v>10</v>
      </c>
      <c r="B30" s="173">
        <f>B7+B11+B13+B20+B24+B25+B27+B9+B19+B18</f>
        <v>1027100</v>
      </c>
      <c r="C30" s="173">
        <f>C7+C11+C13+C20+C24+C25+C27+C9+C19+C18</f>
        <v>1009239.9099999999</v>
      </c>
      <c r="D30" s="140">
        <f t="shared" si="0"/>
        <v>98.26111478921233</v>
      </c>
      <c r="E30" s="141">
        <f t="shared" si="1"/>
        <v>-17860.090000000084</v>
      </c>
    </row>
    <row r="31" spans="1:5" ht="21" customHeight="1">
      <c r="A31" s="179" t="s">
        <v>140</v>
      </c>
      <c r="B31" s="184">
        <f>SUM(B32:B35,B38,B39,B43+B44+B45)</f>
        <v>3500490</v>
      </c>
      <c r="C31" s="184">
        <f>SUM(C32:C35,C38,C39,C43+C44+C45)</f>
        <v>2186800</v>
      </c>
      <c r="D31" s="140">
        <f t="shared" si="0"/>
        <v>62.47125402443658</v>
      </c>
      <c r="E31" s="141">
        <f t="shared" si="1"/>
        <v>-1313690</v>
      </c>
    </row>
    <row r="32" spans="1:5" ht="15.75" customHeight="1">
      <c r="A32" s="17" t="s">
        <v>34</v>
      </c>
      <c r="B32" s="159">
        <v>876800</v>
      </c>
      <c r="C32" s="230">
        <v>876800</v>
      </c>
      <c r="D32" s="26">
        <f t="shared" si="0"/>
        <v>100</v>
      </c>
      <c r="E32" s="42">
        <f t="shared" si="1"/>
        <v>0</v>
      </c>
    </row>
    <row r="33" spans="1:5" ht="15.75" customHeight="1">
      <c r="A33" s="17" t="s">
        <v>229</v>
      </c>
      <c r="B33" s="159">
        <v>0</v>
      </c>
      <c r="C33" s="230">
        <v>0</v>
      </c>
      <c r="D33" s="26" t="str">
        <f>IF(B33=0,"   ",C33/B33*100)</f>
        <v>   </v>
      </c>
      <c r="E33" s="42">
        <f>C33-B33</f>
        <v>0</v>
      </c>
    </row>
    <row r="34" spans="1:5" ht="26.25" customHeight="1">
      <c r="A34" s="133" t="s">
        <v>51</v>
      </c>
      <c r="B34" s="134">
        <v>99200</v>
      </c>
      <c r="C34" s="224">
        <v>99200</v>
      </c>
      <c r="D34" s="135">
        <f t="shared" si="0"/>
        <v>100</v>
      </c>
      <c r="E34" s="136">
        <f t="shared" si="1"/>
        <v>0</v>
      </c>
    </row>
    <row r="35" spans="1:5" ht="29.25" customHeight="1">
      <c r="A35" s="108" t="s">
        <v>148</v>
      </c>
      <c r="B35" s="194">
        <f>SUM(B36:B37)</f>
        <v>6600</v>
      </c>
      <c r="C35" s="194">
        <f>SUM(C36:C37)</f>
        <v>0</v>
      </c>
      <c r="D35" s="26">
        <f t="shared" si="0"/>
        <v>0</v>
      </c>
      <c r="E35" s="42">
        <f t="shared" si="1"/>
        <v>-6600</v>
      </c>
    </row>
    <row r="36" spans="1:5" ht="14.25" customHeight="1">
      <c r="A36" s="108" t="s">
        <v>163</v>
      </c>
      <c r="B36" s="194">
        <v>0</v>
      </c>
      <c r="C36" s="195">
        <v>0</v>
      </c>
      <c r="D36" s="26" t="str">
        <f>IF(B36=0,"   ",C36/B36*100)</f>
        <v>   </v>
      </c>
      <c r="E36" s="42">
        <f>C36-B36</f>
        <v>0</v>
      </c>
    </row>
    <row r="37" spans="1:5" ht="29.25" customHeight="1">
      <c r="A37" s="108" t="s">
        <v>164</v>
      </c>
      <c r="B37" s="194">
        <v>6600</v>
      </c>
      <c r="C37" s="195">
        <v>0</v>
      </c>
      <c r="D37" s="26">
        <f>IF(B37=0,"   ",C37/B37*100)</f>
        <v>0</v>
      </c>
      <c r="E37" s="42">
        <f>C37-B37</f>
        <v>-6600</v>
      </c>
    </row>
    <row r="38" spans="1:5" ht="54.75" customHeight="1">
      <c r="A38" s="16" t="s">
        <v>238</v>
      </c>
      <c r="B38" s="194">
        <v>491300</v>
      </c>
      <c r="C38" s="195">
        <v>491300</v>
      </c>
      <c r="D38" s="26">
        <f>IF(B38=0,"   ",C38/B38*100)</f>
        <v>100</v>
      </c>
      <c r="E38" s="42">
        <f>C38-B38</f>
        <v>0</v>
      </c>
    </row>
    <row r="39" spans="1:5" ht="18" customHeight="1">
      <c r="A39" s="16" t="s">
        <v>82</v>
      </c>
      <c r="B39" s="194">
        <f>B42+B40+B41</f>
        <v>1626590</v>
      </c>
      <c r="C39" s="194">
        <f>C42+C40</f>
        <v>319500</v>
      </c>
      <c r="D39" s="26">
        <f t="shared" si="0"/>
        <v>19.642319207667576</v>
      </c>
      <c r="E39" s="42">
        <f t="shared" si="1"/>
        <v>-1307090</v>
      </c>
    </row>
    <row r="40" spans="1:5" ht="27" customHeight="1">
      <c r="A40" s="46" t="s">
        <v>188</v>
      </c>
      <c r="B40" s="194">
        <v>0</v>
      </c>
      <c r="C40" s="194">
        <v>0</v>
      </c>
      <c r="D40" s="26" t="str">
        <f>IF(B40=0,"   ",C40/B40*100)</f>
        <v>   </v>
      </c>
      <c r="E40" s="42">
        <f>C40-B40</f>
        <v>0</v>
      </c>
    </row>
    <row r="41" spans="1:5" ht="27" customHeight="1">
      <c r="A41" s="46" t="s">
        <v>294</v>
      </c>
      <c r="B41" s="194">
        <v>1307090</v>
      </c>
      <c r="C41" s="194">
        <v>0</v>
      </c>
      <c r="D41" s="26">
        <f>IF(B41=0,"   ",C41/B41*100)</f>
        <v>0</v>
      </c>
      <c r="E41" s="42">
        <f>C41-B41</f>
        <v>-1307090</v>
      </c>
    </row>
    <row r="42" spans="1:5" ht="17.25" customHeight="1">
      <c r="A42" s="16" t="s">
        <v>109</v>
      </c>
      <c r="B42" s="194">
        <v>319500</v>
      </c>
      <c r="C42" s="194">
        <v>319500</v>
      </c>
      <c r="D42" s="26">
        <f t="shared" si="0"/>
        <v>100</v>
      </c>
      <c r="E42" s="42">
        <f t="shared" si="1"/>
        <v>0</v>
      </c>
    </row>
    <row r="43" spans="1:5" ht="30.75" customHeight="1">
      <c r="A43" s="16" t="s">
        <v>296</v>
      </c>
      <c r="B43" s="194">
        <v>400000</v>
      </c>
      <c r="C43" s="194">
        <v>400000</v>
      </c>
      <c r="D43" s="26">
        <f t="shared" si="0"/>
        <v>100</v>
      </c>
      <c r="E43" s="42">
        <f t="shared" si="1"/>
        <v>0</v>
      </c>
    </row>
    <row r="44" spans="1:5" s="7" customFormat="1" ht="42" customHeight="1">
      <c r="A44" s="16" t="s">
        <v>103</v>
      </c>
      <c r="B44" s="194">
        <v>0</v>
      </c>
      <c r="C44" s="195">
        <v>0</v>
      </c>
      <c r="D44" s="26" t="str">
        <f t="shared" si="0"/>
        <v>   </v>
      </c>
      <c r="E44" s="40">
        <f t="shared" si="1"/>
        <v>0</v>
      </c>
    </row>
    <row r="45" spans="1:5" s="7" customFormat="1" ht="21" customHeight="1">
      <c r="A45" s="16" t="s">
        <v>199</v>
      </c>
      <c r="B45" s="194">
        <v>0</v>
      </c>
      <c r="C45" s="195">
        <v>0</v>
      </c>
      <c r="D45" s="26" t="str">
        <f t="shared" si="0"/>
        <v>   </v>
      </c>
      <c r="E45" s="40">
        <f t="shared" si="1"/>
        <v>0</v>
      </c>
    </row>
    <row r="46" spans="1:5" ht="26.25" customHeight="1">
      <c r="A46" s="171" t="s">
        <v>11</v>
      </c>
      <c r="B46" s="149">
        <f>SUM(B30,B31,)</f>
        <v>4527590</v>
      </c>
      <c r="C46" s="149">
        <f>SUM(C30,C31,)</f>
        <v>3196039.91</v>
      </c>
      <c r="D46" s="140">
        <f t="shared" si="0"/>
        <v>70.5903120644758</v>
      </c>
      <c r="E46" s="141">
        <f t="shared" si="1"/>
        <v>-1331550.0899999999</v>
      </c>
    </row>
    <row r="47" spans="1:5" ht="14.25" customHeight="1">
      <c r="A47" s="30"/>
      <c r="B47" s="159"/>
      <c r="C47" s="151"/>
      <c r="D47" s="26" t="str">
        <f t="shared" si="0"/>
        <v>   </v>
      </c>
      <c r="E47" s="42"/>
    </row>
    <row r="48" spans="1:5" ht="12.75">
      <c r="A48" s="22" t="s">
        <v>12</v>
      </c>
      <c r="B48" s="44"/>
      <c r="C48" s="45"/>
      <c r="D48" s="26" t="str">
        <f t="shared" si="0"/>
        <v>   </v>
      </c>
      <c r="E48" s="42"/>
    </row>
    <row r="49" spans="1:5" ht="18.75" customHeight="1">
      <c r="A49" s="16" t="s">
        <v>35</v>
      </c>
      <c r="B49" s="27">
        <f>SUM(B50,B53,B54)</f>
        <v>1129589.48</v>
      </c>
      <c r="C49" s="27">
        <f>SUM(C50,C54)</f>
        <v>1121307.7</v>
      </c>
      <c r="D49" s="26">
        <f t="shared" si="0"/>
        <v>99.26683276122579</v>
      </c>
      <c r="E49" s="42">
        <f t="shared" si="1"/>
        <v>-8281.780000000028</v>
      </c>
    </row>
    <row r="50" spans="1:5" ht="16.5" customHeight="1">
      <c r="A50" s="16" t="s">
        <v>36</v>
      </c>
      <c r="B50" s="25">
        <v>1129589.48</v>
      </c>
      <c r="C50" s="25">
        <v>1121307.7</v>
      </c>
      <c r="D50" s="26">
        <f t="shared" si="0"/>
        <v>99.26683276122579</v>
      </c>
      <c r="E50" s="42">
        <f t="shared" si="1"/>
        <v>-8281.780000000028</v>
      </c>
    </row>
    <row r="51" spans="1:5" ht="12.75">
      <c r="A51" s="85" t="s">
        <v>122</v>
      </c>
      <c r="B51" s="25">
        <v>766851.69</v>
      </c>
      <c r="C51" s="28">
        <v>766851.66</v>
      </c>
      <c r="D51" s="26">
        <f t="shared" si="0"/>
        <v>99.99999608790066</v>
      </c>
      <c r="E51" s="42">
        <f t="shared" si="1"/>
        <v>-0.029999999911524355</v>
      </c>
    </row>
    <row r="52" spans="1:5" ht="12.75">
      <c r="A52" s="85" t="s">
        <v>286</v>
      </c>
      <c r="B52" s="25">
        <v>0</v>
      </c>
      <c r="C52" s="28">
        <v>0</v>
      </c>
      <c r="D52" s="26" t="str">
        <f>IF(B52=0,"   ",C52/B52*100)</f>
        <v>   </v>
      </c>
      <c r="E52" s="42">
        <f>C52-B52</f>
        <v>0</v>
      </c>
    </row>
    <row r="53" spans="1:5" ht="12.75">
      <c r="A53" s="16" t="s">
        <v>102</v>
      </c>
      <c r="B53" s="25">
        <v>0</v>
      </c>
      <c r="C53" s="27">
        <v>0</v>
      </c>
      <c r="D53" s="26" t="str">
        <f t="shared" si="0"/>
        <v>   </v>
      </c>
      <c r="E53" s="42">
        <f t="shared" si="1"/>
        <v>0</v>
      </c>
    </row>
    <row r="54" spans="1:5" ht="12.75">
      <c r="A54" s="16" t="s">
        <v>52</v>
      </c>
      <c r="B54" s="27">
        <f>SUM(B55)</f>
        <v>0</v>
      </c>
      <c r="C54" s="27">
        <f>SUM(C55)</f>
        <v>0</v>
      </c>
      <c r="D54" s="26" t="str">
        <f t="shared" si="0"/>
        <v>   </v>
      </c>
      <c r="E54" s="42">
        <f t="shared" si="1"/>
        <v>0</v>
      </c>
    </row>
    <row r="55" spans="1:5" ht="26.25">
      <c r="A55" s="104" t="s">
        <v>244</v>
      </c>
      <c r="B55" s="25">
        <v>0</v>
      </c>
      <c r="C55" s="27">
        <v>0</v>
      </c>
      <c r="D55" s="26" t="str">
        <f t="shared" si="0"/>
        <v>   </v>
      </c>
      <c r="E55" s="42">
        <f t="shared" si="1"/>
        <v>0</v>
      </c>
    </row>
    <row r="56" spans="1:5" ht="19.5" customHeight="1">
      <c r="A56" s="16" t="s">
        <v>49</v>
      </c>
      <c r="B56" s="27">
        <f>SUM(B57)</f>
        <v>99200</v>
      </c>
      <c r="C56" s="27">
        <f>SUM(C57)</f>
        <v>99200</v>
      </c>
      <c r="D56" s="26">
        <f t="shared" si="0"/>
        <v>100</v>
      </c>
      <c r="E56" s="42">
        <f t="shared" si="1"/>
        <v>0</v>
      </c>
    </row>
    <row r="57" spans="1:5" ht="19.5" customHeight="1">
      <c r="A57" s="16" t="s">
        <v>107</v>
      </c>
      <c r="B57" s="25">
        <v>99200</v>
      </c>
      <c r="C57" s="27">
        <v>99200</v>
      </c>
      <c r="D57" s="26">
        <f t="shared" si="0"/>
        <v>100</v>
      </c>
      <c r="E57" s="42">
        <f t="shared" si="1"/>
        <v>0</v>
      </c>
    </row>
    <row r="58" spans="1:5" ht="16.5" customHeight="1">
      <c r="A58" s="16" t="s">
        <v>37</v>
      </c>
      <c r="B58" s="25">
        <f>SUM(B59)</f>
        <v>1000</v>
      </c>
      <c r="C58" s="27">
        <f>SUM(C59)</f>
        <v>1000</v>
      </c>
      <c r="D58" s="26">
        <f t="shared" si="0"/>
        <v>100</v>
      </c>
      <c r="E58" s="42">
        <f t="shared" si="1"/>
        <v>0</v>
      </c>
    </row>
    <row r="59" spans="1:5" ht="15" customHeight="1">
      <c r="A59" s="41" t="s">
        <v>128</v>
      </c>
      <c r="B59" s="25">
        <v>1000</v>
      </c>
      <c r="C59" s="27">
        <v>1000</v>
      </c>
      <c r="D59" s="26">
        <f t="shared" si="0"/>
        <v>100</v>
      </c>
      <c r="E59" s="42">
        <f t="shared" si="1"/>
        <v>0</v>
      </c>
    </row>
    <row r="60" spans="1:5" ht="19.5" customHeight="1">
      <c r="A60" s="16" t="s">
        <v>38</v>
      </c>
      <c r="B60" s="25">
        <f>B64+B61+B72</f>
        <v>1443651.05</v>
      </c>
      <c r="C60" s="25">
        <f>C64+C61+C72</f>
        <v>1368009.5</v>
      </c>
      <c r="D60" s="26">
        <f t="shared" si="0"/>
        <v>94.76039933611379</v>
      </c>
      <c r="E60" s="42">
        <f t="shared" si="1"/>
        <v>-75641.55000000005</v>
      </c>
    </row>
    <row r="61" spans="1:5" ht="19.5" customHeight="1">
      <c r="A61" s="75" t="s">
        <v>165</v>
      </c>
      <c r="B61" s="25">
        <f>SUM(B63,B62)</f>
        <v>12009.5</v>
      </c>
      <c r="C61" s="25">
        <f>SUM(C63,C62)</f>
        <v>5409.5</v>
      </c>
      <c r="D61" s="26">
        <f>IF(B61=0,"   ",C61/B61*100)</f>
        <v>45.0435072234481</v>
      </c>
      <c r="E61" s="42">
        <f>C61-B61</f>
        <v>-6600</v>
      </c>
    </row>
    <row r="62" spans="1:5" ht="15" customHeight="1">
      <c r="A62" s="75" t="s">
        <v>169</v>
      </c>
      <c r="B62" s="25">
        <v>5409.5</v>
      </c>
      <c r="C62" s="25">
        <v>5409.5</v>
      </c>
      <c r="D62" s="26">
        <f>IF(B62=0,"   ",C62/B62*100)</f>
        <v>100</v>
      </c>
      <c r="E62" s="42">
        <f>C62-B62</f>
        <v>0</v>
      </c>
    </row>
    <row r="63" spans="1:5" ht="13.5" customHeight="1">
      <c r="A63" s="75" t="s">
        <v>166</v>
      </c>
      <c r="B63" s="25">
        <v>6600</v>
      </c>
      <c r="C63" s="25">
        <v>0</v>
      </c>
      <c r="D63" s="26">
        <f>IF(B63=0,"   ",C63/B63*100)</f>
        <v>0</v>
      </c>
      <c r="E63" s="42">
        <f>C63-B63</f>
        <v>-6600</v>
      </c>
    </row>
    <row r="64" spans="1:5" ht="12.75">
      <c r="A64" s="95" t="s">
        <v>131</v>
      </c>
      <c r="B64" s="25">
        <f>SUM(B65:B71)</f>
        <v>1391741.55</v>
      </c>
      <c r="C64" s="25">
        <f>SUM(C65:C71)</f>
        <v>1322700</v>
      </c>
      <c r="D64" s="26">
        <f t="shared" si="0"/>
        <v>95.03919747168574</v>
      </c>
      <c r="E64" s="42">
        <f t="shared" si="1"/>
        <v>-69041.55000000005</v>
      </c>
    </row>
    <row r="65" spans="1:5" ht="19.5" customHeight="1">
      <c r="A65" s="75" t="s">
        <v>149</v>
      </c>
      <c r="B65" s="25">
        <v>0</v>
      </c>
      <c r="C65" s="25">
        <v>0</v>
      </c>
      <c r="D65" s="26" t="str">
        <f t="shared" si="0"/>
        <v>   </v>
      </c>
      <c r="E65" s="42">
        <f t="shared" si="1"/>
        <v>0</v>
      </c>
    </row>
    <row r="66" spans="1:5" ht="25.5" customHeight="1">
      <c r="A66" s="71" t="s">
        <v>255</v>
      </c>
      <c r="B66" s="25">
        <v>442341.55</v>
      </c>
      <c r="C66" s="25">
        <v>373300</v>
      </c>
      <c r="D66" s="26">
        <f t="shared" si="0"/>
        <v>84.39180086066978</v>
      </c>
      <c r="E66" s="42">
        <f t="shared" si="1"/>
        <v>-69041.54999999999</v>
      </c>
    </row>
    <row r="67" spans="1:5" ht="27.75" customHeight="1">
      <c r="A67" s="71" t="s">
        <v>256</v>
      </c>
      <c r="B67" s="25">
        <v>48500</v>
      </c>
      <c r="C67" s="25">
        <v>48500</v>
      </c>
      <c r="D67" s="26">
        <f t="shared" si="0"/>
        <v>100</v>
      </c>
      <c r="E67" s="42">
        <f t="shared" si="1"/>
        <v>0</v>
      </c>
    </row>
    <row r="68" spans="1:5" ht="31.5" customHeight="1">
      <c r="A68" s="71" t="s">
        <v>257</v>
      </c>
      <c r="B68" s="25">
        <v>491300</v>
      </c>
      <c r="C68" s="25">
        <v>491300</v>
      </c>
      <c r="D68" s="26">
        <f t="shared" si="0"/>
        <v>100</v>
      </c>
      <c r="E68" s="42">
        <f t="shared" si="1"/>
        <v>0</v>
      </c>
    </row>
    <row r="69" spans="1:5" ht="27.75" customHeight="1">
      <c r="A69" s="71" t="s">
        <v>258</v>
      </c>
      <c r="B69" s="25">
        <v>54600</v>
      </c>
      <c r="C69" s="25">
        <v>54600</v>
      </c>
      <c r="D69" s="26">
        <f t="shared" si="0"/>
        <v>100</v>
      </c>
      <c r="E69" s="42">
        <f t="shared" si="1"/>
        <v>0</v>
      </c>
    </row>
    <row r="70" spans="1:5" ht="28.5" customHeight="1">
      <c r="A70" s="71" t="s">
        <v>259</v>
      </c>
      <c r="B70" s="25">
        <v>319500</v>
      </c>
      <c r="C70" s="25">
        <v>319500</v>
      </c>
      <c r="D70" s="26">
        <f t="shared" si="0"/>
        <v>100</v>
      </c>
      <c r="E70" s="42">
        <f t="shared" si="1"/>
        <v>0</v>
      </c>
    </row>
    <row r="71" spans="1:5" ht="30" customHeight="1">
      <c r="A71" s="71" t="s">
        <v>260</v>
      </c>
      <c r="B71" s="25">
        <v>35500</v>
      </c>
      <c r="C71" s="25">
        <v>35500</v>
      </c>
      <c r="D71" s="26">
        <f t="shared" si="0"/>
        <v>100</v>
      </c>
      <c r="E71" s="42">
        <f t="shared" si="1"/>
        <v>0</v>
      </c>
    </row>
    <row r="72" spans="1:5" ht="24" customHeight="1">
      <c r="A72" s="95" t="s">
        <v>177</v>
      </c>
      <c r="B72" s="25">
        <f>SUM(B73)</f>
        <v>39900</v>
      </c>
      <c r="C72" s="25">
        <f>SUM(C73)</f>
        <v>39900</v>
      </c>
      <c r="D72" s="26">
        <f>IF(B72=0,"   ",C72/B72*100)</f>
        <v>100</v>
      </c>
      <c r="E72" s="42">
        <f>C72-B72</f>
        <v>0</v>
      </c>
    </row>
    <row r="73" spans="1:5" ht="30" customHeight="1">
      <c r="A73" s="75" t="s">
        <v>178</v>
      </c>
      <c r="B73" s="25">
        <v>39900</v>
      </c>
      <c r="C73" s="25">
        <v>39900</v>
      </c>
      <c r="D73" s="26">
        <f>IF(B73=0,"   ",C73/B73*100)</f>
        <v>100</v>
      </c>
      <c r="E73" s="42">
        <f>C73-B73</f>
        <v>0</v>
      </c>
    </row>
    <row r="74" spans="1:5" ht="15" customHeight="1">
      <c r="A74" s="16" t="s">
        <v>13</v>
      </c>
      <c r="B74" s="25">
        <f>SUM(B77,B75)</f>
        <v>1870590</v>
      </c>
      <c r="C74" s="25">
        <f>SUM(C77,C75)</f>
        <v>563500</v>
      </c>
      <c r="D74" s="26">
        <f t="shared" si="0"/>
        <v>30.12418541743514</v>
      </c>
      <c r="E74" s="42">
        <f t="shared" si="1"/>
        <v>-1307090</v>
      </c>
    </row>
    <row r="75" spans="1:5" ht="15.75" customHeight="1">
      <c r="A75" s="16" t="s">
        <v>90</v>
      </c>
      <c r="B75" s="25">
        <f>B76</f>
        <v>1307090</v>
      </c>
      <c r="C75" s="25">
        <f>C76</f>
        <v>0</v>
      </c>
      <c r="D75" s="26">
        <f>IF(B75=0,"   ",C75/B75*100)</f>
        <v>0</v>
      </c>
      <c r="E75" s="42">
        <f>C75-B75</f>
        <v>-1307090</v>
      </c>
    </row>
    <row r="76" spans="1:5" ht="25.5" customHeight="1">
      <c r="A76" s="16" t="s">
        <v>299</v>
      </c>
      <c r="B76" s="25">
        <v>1307090</v>
      </c>
      <c r="C76" s="25">
        <v>0</v>
      </c>
      <c r="D76" s="26">
        <f>IF(B76=0,"   ",C76/B76*100)</f>
        <v>0</v>
      </c>
      <c r="E76" s="42">
        <f>C76-B76</f>
        <v>-1307090</v>
      </c>
    </row>
    <row r="77" spans="1:5" ht="12.75">
      <c r="A77" s="16" t="s">
        <v>58</v>
      </c>
      <c r="B77" s="25">
        <f>B78+B80+B79+B81</f>
        <v>563500</v>
      </c>
      <c r="C77" s="25">
        <f>C78+C80+C79+C81</f>
        <v>563500</v>
      </c>
      <c r="D77" s="26">
        <f t="shared" si="0"/>
        <v>100</v>
      </c>
      <c r="E77" s="42">
        <f t="shared" si="1"/>
        <v>0</v>
      </c>
    </row>
    <row r="78" spans="1:5" ht="12.75">
      <c r="A78" s="16" t="s">
        <v>60</v>
      </c>
      <c r="B78" s="25">
        <v>140000</v>
      </c>
      <c r="C78" s="27">
        <v>140000</v>
      </c>
      <c r="D78" s="26">
        <f t="shared" si="0"/>
        <v>100</v>
      </c>
      <c r="E78" s="42">
        <f t="shared" si="1"/>
        <v>0</v>
      </c>
    </row>
    <row r="79" spans="1:5" ht="26.25">
      <c r="A79" s="104" t="s">
        <v>300</v>
      </c>
      <c r="B79" s="25">
        <v>400000</v>
      </c>
      <c r="C79" s="27">
        <v>400000</v>
      </c>
      <c r="D79" s="26">
        <f t="shared" si="0"/>
        <v>100</v>
      </c>
      <c r="E79" s="42">
        <f t="shared" si="1"/>
        <v>0</v>
      </c>
    </row>
    <row r="80" spans="1:5" ht="12.75">
      <c r="A80" s="16" t="s">
        <v>59</v>
      </c>
      <c r="B80" s="25">
        <v>23500</v>
      </c>
      <c r="C80" s="27">
        <v>23500</v>
      </c>
      <c r="D80" s="26">
        <f t="shared" si="0"/>
        <v>100</v>
      </c>
      <c r="E80" s="42">
        <f t="shared" si="1"/>
        <v>0</v>
      </c>
    </row>
    <row r="81" spans="1:5" ht="26.25">
      <c r="A81" s="104" t="s">
        <v>206</v>
      </c>
      <c r="B81" s="25">
        <f>B82+B83+B84</f>
        <v>0</v>
      </c>
      <c r="C81" s="25">
        <f>C82+C83+C84</f>
        <v>0</v>
      </c>
      <c r="D81" s="26" t="str">
        <f>IF(B81=0,"   ",C81/B81*100)</f>
        <v>   </v>
      </c>
      <c r="E81" s="42">
        <f>C81-B81</f>
        <v>0</v>
      </c>
    </row>
    <row r="82" spans="1:5" ht="26.25">
      <c r="A82" s="104" t="s">
        <v>187</v>
      </c>
      <c r="B82" s="25">
        <v>0</v>
      </c>
      <c r="C82" s="27">
        <v>0</v>
      </c>
      <c r="D82" s="26" t="str">
        <f>IF(B82=0,"   ",C82/B82*100)</f>
        <v>   </v>
      </c>
      <c r="E82" s="42">
        <f>C82-B82</f>
        <v>0</v>
      </c>
    </row>
    <row r="83" spans="1:5" ht="26.25">
      <c r="A83" s="104" t="s">
        <v>200</v>
      </c>
      <c r="B83" s="25">
        <v>0</v>
      </c>
      <c r="C83" s="27">
        <v>0</v>
      </c>
      <c r="D83" s="26" t="str">
        <f>IF(B83=0,"   ",C83/B83*100)</f>
        <v>   </v>
      </c>
      <c r="E83" s="42">
        <f>C83-B83</f>
        <v>0</v>
      </c>
    </row>
    <row r="84" spans="1:5" ht="24.75" customHeight="1">
      <c r="A84" s="104" t="s">
        <v>212</v>
      </c>
      <c r="B84" s="31">
        <v>0</v>
      </c>
      <c r="C84" s="31">
        <v>0</v>
      </c>
      <c r="D84" s="26" t="str">
        <f t="shared" si="0"/>
        <v>   </v>
      </c>
      <c r="E84" s="42">
        <f t="shared" si="1"/>
        <v>0</v>
      </c>
    </row>
    <row r="85" spans="1:5" ht="24.75" customHeight="1">
      <c r="A85" s="18" t="s">
        <v>17</v>
      </c>
      <c r="B85" s="31">
        <v>0</v>
      </c>
      <c r="C85" s="31">
        <v>0</v>
      </c>
      <c r="D85" s="26" t="str">
        <f t="shared" si="0"/>
        <v>   </v>
      </c>
      <c r="E85" s="42">
        <f t="shared" si="1"/>
        <v>0</v>
      </c>
    </row>
    <row r="86" spans="1:5" ht="15" customHeight="1">
      <c r="A86" s="16" t="s">
        <v>41</v>
      </c>
      <c r="B86" s="24">
        <f>SUM(B87,)</f>
        <v>50000</v>
      </c>
      <c r="C86" s="24">
        <f>SUM(C87,)</f>
        <v>50000</v>
      </c>
      <c r="D86" s="26">
        <f t="shared" si="0"/>
        <v>100</v>
      </c>
      <c r="E86" s="42">
        <f t="shared" si="1"/>
        <v>0</v>
      </c>
    </row>
    <row r="87" spans="1:5" ht="12.75">
      <c r="A87" s="16" t="s">
        <v>42</v>
      </c>
      <c r="B87" s="25">
        <v>50000</v>
      </c>
      <c r="C87" s="27">
        <v>50000</v>
      </c>
      <c r="D87" s="26">
        <f t="shared" si="0"/>
        <v>100</v>
      </c>
      <c r="E87" s="42">
        <f t="shared" si="1"/>
        <v>0</v>
      </c>
    </row>
    <row r="88" spans="1:5" ht="12.75">
      <c r="A88" s="16" t="s">
        <v>233</v>
      </c>
      <c r="B88" s="24">
        <f>SUM(B89,)</f>
        <v>1219.77</v>
      </c>
      <c r="C88" s="24">
        <f>SUM(C89,)</f>
        <v>1219.77</v>
      </c>
      <c r="D88" s="26">
        <f>IF(B88=0,"   ",C88/B88*100)</f>
        <v>100</v>
      </c>
      <c r="E88" s="42">
        <f>C88-B88</f>
        <v>0</v>
      </c>
    </row>
    <row r="89" spans="1:5" ht="12.75">
      <c r="A89" s="16" t="s">
        <v>234</v>
      </c>
      <c r="B89" s="25">
        <v>1219.77</v>
      </c>
      <c r="C89" s="27">
        <v>1219.77</v>
      </c>
      <c r="D89" s="26">
        <f>IF(B89=0,"   ",C89/B89*100)</f>
        <v>100</v>
      </c>
      <c r="E89" s="42">
        <f>C89-B89</f>
        <v>0</v>
      </c>
    </row>
    <row r="90" spans="1:5" ht="18" customHeight="1">
      <c r="A90" s="16" t="s">
        <v>124</v>
      </c>
      <c r="B90" s="24">
        <f>SUM(B91,)</f>
        <v>0</v>
      </c>
      <c r="C90" s="24">
        <f>SUM(C91,)</f>
        <v>0</v>
      </c>
      <c r="D90" s="26" t="str">
        <f t="shared" si="0"/>
        <v>   </v>
      </c>
      <c r="E90" s="42">
        <f t="shared" si="1"/>
        <v>0</v>
      </c>
    </row>
    <row r="91" spans="1:5" ht="12.75">
      <c r="A91" s="16" t="s">
        <v>43</v>
      </c>
      <c r="B91" s="192">
        <v>0</v>
      </c>
      <c r="C91" s="28">
        <v>0</v>
      </c>
      <c r="D91" s="26" t="str">
        <f t="shared" si="0"/>
        <v>   </v>
      </c>
      <c r="E91" s="42">
        <f t="shared" si="1"/>
        <v>0</v>
      </c>
    </row>
    <row r="92" spans="1:5" ht="21" customHeight="1">
      <c r="A92" s="171" t="s">
        <v>15</v>
      </c>
      <c r="B92" s="149">
        <f>SUM(B49,B56,B58,B60,B74,B85,B86,B88,B90,)</f>
        <v>4595250.3</v>
      </c>
      <c r="C92" s="149">
        <f>SUM(C49,C56,C58,C60,C74,C85,C86,C88,C90,)</f>
        <v>3204236.97</v>
      </c>
      <c r="D92" s="140">
        <f>IF(B92=0,"   ",C92/B92*100)</f>
        <v>69.72932399351566</v>
      </c>
      <c r="E92" s="141">
        <f t="shared" si="1"/>
        <v>-1391013.3299999996</v>
      </c>
    </row>
    <row r="93" spans="1:5" s="59" customFormat="1" ht="31.5" customHeight="1">
      <c r="A93" s="80" t="s">
        <v>334</v>
      </c>
      <c r="B93" s="80"/>
      <c r="C93" s="336"/>
      <c r="D93" s="336"/>
      <c r="E93" s="336"/>
    </row>
    <row r="94" spans="1:5" s="59" customFormat="1" ht="12" customHeight="1">
      <c r="A94" s="80" t="s">
        <v>154</v>
      </c>
      <c r="B94" s="80"/>
      <c r="C94" s="81" t="s">
        <v>335</v>
      </c>
      <c r="D94" s="82"/>
      <c r="E94" s="83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</sheetData>
  <sheetProtection/>
  <mergeCells count="2">
    <mergeCell ref="A1:E1"/>
    <mergeCell ref="C93:E93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zoomScalePageLayoutView="0" workbookViewId="0" topLeftCell="A188">
      <selection activeCell="B13" sqref="B13"/>
    </sheetView>
  </sheetViews>
  <sheetFormatPr defaultColWidth="9.00390625" defaultRowHeight="12.75"/>
  <cols>
    <col min="1" max="1" width="64.5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3.5">
      <c r="A1" s="339" t="s">
        <v>331</v>
      </c>
      <c r="B1" s="339"/>
      <c r="C1" s="339"/>
      <c r="D1" s="339"/>
      <c r="E1" s="339"/>
    </row>
    <row r="2" spans="1:5" ht="9.75" customHeight="1" thickBot="1">
      <c r="A2" s="286"/>
      <c r="B2" s="286"/>
      <c r="C2" s="287"/>
      <c r="D2" s="286"/>
      <c r="E2" s="286" t="s">
        <v>0</v>
      </c>
    </row>
    <row r="3" spans="1:5" ht="108" customHeight="1">
      <c r="A3" s="288" t="s">
        <v>1</v>
      </c>
      <c r="B3" s="289" t="s">
        <v>249</v>
      </c>
      <c r="C3" s="290" t="s">
        <v>332</v>
      </c>
      <c r="D3" s="289" t="s">
        <v>250</v>
      </c>
      <c r="E3" s="291" t="s">
        <v>251</v>
      </c>
    </row>
    <row r="4" spans="1:5" ht="13.5">
      <c r="A4" s="292">
        <v>1</v>
      </c>
      <c r="B4" s="293">
        <v>2</v>
      </c>
      <c r="C4" s="294">
        <v>3</v>
      </c>
      <c r="D4" s="295">
        <v>4</v>
      </c>
      <c r="E4" s="296">
        <v>5</v>
      </c>
    </row>
    <row r="5" spans="1:5" ht="15.75" customHeight="1">
      <c r="A5" s="297" t="s">
        <v>2</v>
      </c>
      <c r="B5" s="298"/>
      <c r="C5" s="299"/>
      <c r="D5" s="300"/>
      <c r="E5" s="301"/>
    </row>
    <row r="6" spans="1:5" ht="13.5">
      <c r="A6" s="302" t="s">
        <v>45</v>
      </c>
      <c r="B6" s="303">
        <f>SUM(B7)</f>
        <v>11138900</v>
      </c>
      <c r="C6" s="303">
        <f>SUM(C7)</f>
        <v>11791981.090000002</v>
      </c>
      <c r="D6" s="304">
        <f aca="true" t="shared" si="0" ref="D6:D34">IF(B6=0,"   ",C6/B6*100)</f>
        <v>105.86306628123066</v>
      </c>
      <c r="E6" s="305">
        <f aca="true" t="shared" si="1" ref="E6:E63">C6-B6</f>
        <v>653081.0900000017</v>
      </c>
    </row>
    <row r="7" spans="1:5" ht="13.5">
      <c r="A7" s="285" t="s">
        <v>44</v>
      </c>
      <c r="B7" s="306">
        <f>Лист1!B9+Лист2!B7+Лист3!B7+Лист4!B8+Лист5!B8+Лист6!B8+Лист7!B8+Лист8!B8+Лист9!B8+Лист10!B8</f>
        <v>11138900</v>
      </c>
      <c r="C7" s="306">
        <f>Лист1!C9+Лист2!C7+Лист3!C7+Лист4!C8+Лист5!C8+Лист6!C8+Лист7!C8+Лист8!C8+Лист9!C8+Лист10!C8</f>
        <v>11791981.090000002</v>
      </c>
      <c r="D7" s="304">
        <f t="shared" si="0"/>
        <v>105.86306628123066</v>
      </c>
      <c r="E7" s="305">
        <f t="shared" si="1"/>
        <v>653081.0900000017</v>
      </c>
    </row>
    <row r="8" spans="1:5" ht="31.5" customHeight="1">
      <c r="A8" s="302" t="s">
        <v>137</v>
      </c>
      <c r="B8" s="303">
        <f>SUM(B9)</f>
        <v>7469300</v>
      </c>
      <c r="C8" s="303">
        <f>SUM(C9)</f>
        <v>7092962.0200000005</v>
      </c>
      <c r="D8" s="304">
        <f t="shared" si="0"/>
        <v>94.96153615465974</v>
      </c>
      <c r="E8" s="305">
        <f t="shared" si="1"/>
        <v>-376337.9799999995</v>
      </c>
    </row>
    <row r="9" spans="1:5" ht="27">
      <c r="A9" s="285" t="s">
        <v>138</v>
      </c>
      <c r="B9" s="306">
        <f>Лист1!B15+Лист2!B9+Лист3!B9+Лист4!B10+Лист5!B10+Лист6!B10+Лист7!B10+Лист8!B10+Лист9!B10+Лист10!B10</f>
        <v>7469300</v>
      </c>
      <c r="C9" s="306">
        <f>Лист1!C15+Лист2!C9+Лист3!C9+Лист4!C10+Лист5!C10+Лист6!C10+Лист7!C10+Лист8!C10+Лист9!C10+Лист10!C10</f>
        <v>7092962.0200000005</v>
      </c>
      <c r="D9" s="304">
        <f t="shared" si="0"/>
        <v>94.96153615465974</v>
      </c>
      <c r="E9" s="305">
        <f t="shared" si="1"/>
        <v>-376337.9799999995</v>
      </c>
    </row>
    <row r="10" spans="1:5" ht="13.5">
      <c r="A10" s="285" t="s">
        <v>7</v>
      </c>
      <c r="B10" s="306">
        <f>B11</f>
        <v>307800</v>
      </c>
      <c r="C10" s="306">
        <f>SUM(C11:C11)</f>
        <v>314748.5</v>
      </c>
      <c r="D10" s="304">
        <f t="shared" si="0"/>
        <v>102.25747238466536</v>
      </c>
      <c r="E10" s="305">
        <f t="shared" si="1"/>
        <v>6948.5</v>
      </c>
    </row>
    <row r="11" spans="1:5" ht="13.5">
      <c r="A11" s="285" t="s">
        <v>26</v>
      </c>
      <c r="B11" s="306">
        <f>Лист1!B18+Лист2!B11+Лист3!B11+Лист4!B12+Лист5!B12+Лист6!B12+Лист7!B12+Лист8!B12+Лист9!B12+Лист10!B12</f>
        <v>307800</v>
      </c>
      <c r="C11" s="306">
        <f>Лист1!C18+Лист2!C11+Лист3!C11+Лист4!C12+Лист5!C12+Лист6!C12+Лист7!C12+Лист8!C12+Лист9!C12+Лист10!C12</f>
        <v>314748.5</v>
      </c>
      <c r="D11" s="304">
        <f t="shared" si="0"/>
        <v>102.25747238466536</v>
      </c>
      <c r="E11" s="305">
        <f t="shared" si="1"/>
        <v>6948.5</v>
      </c>
    </row>
    <row r="12" spans="1:5" ht="13.5">
      <c r="A12" s="285" t="s">
        <v>9</v>
      </c>
      <c r="B12" s="306">
        <f>SUM(B13:B14)</f>
        <v>9454300</v>
      </c>
      <c r="C12" s="306">
        <f>SUM(C13:C14)</f>
        <v>9673724.11</v>
      </c>
      <c r="D12" s="304">
        <f t="shared" si="0"/>
        <v>102.32089218662408</v>
      </c>
      <c r="E12" s="305">
        <f t="shared" si="1"/>
        <v>219424.1099999994</v>
      </c>
    </row>
    <row r="13" spans="1:5" ht="13.5">
      <c r="A13" s="285" t="s">
        <v>27</v>
      </c>
      <c r="B13" s="306">
        <f>Лист1!B20+Лист2!B13+Лист3!B13+Лист4!B14+Лист5!B14+Лист6!B14+Лист7!B14+Лист8!B14+Лист9!B14+Лист10!B14</f>
        <v>4664600</v>
      </c>
      <c r="C13" s="306">
        <f>Лист1!C20+Лист2!C13+Лист3!C13+Лист4!C14+Лист5!C14+Лист6!C14+Лист7!C14+Лист8!C14+Лист9!C14+Лист10!C14</f>
        <v>4846351.92</v>
      </c>
      <c r="D13" s="304">
        <f t="shared" si="0"/>
        <v>103.89640955280196</v>
      </c>
      <c r="E13" s="305">
        <f t="shared" si="1"/>
        <v>181751.91999999993</v>
      </c>
    </row>
    <row r="14" spans="1:5" ht="13.5">
      <c r="A14" s="285" t="s">
        <v>160</v>
      </c>
      <c r="B14" s="306">
        <f>Лист1!B21+Лист2!B14+Лист3!B14+Лист4!B15+Лист5!B15+Лист6!B15+Лист7!B15+Лист8!B15+Лист9!B15+Лист10!B15</f>
        <v>4789700</v>
      </c>
      <c r="C14" s="306">
        <f>Лист1!C21+Лист2!C14+Лист3!C14+Лист4!C15+Лист5!C15+Лист6!C15+Лист7!C15+Лист8!C15+Лист9!C15+Лист10!C15</f>
        <v>4827372.19</v>
      </c>
      <c r="D14" s="304">
        <f t="shared" si="0"/>
        <v>100.78652504332213</v>
      </c>
      <c r="E14" s="305">
        <f t="shared" si="1"/>
        <v>37672.19000000041</v>
      </c>
    </row>
    <row r="15" spans="1:5" ht="13.5">
      <c r="A15" s="285" t="s">
        <v>161</v>
      </c>
      <c r="B15" s="306">
        <f>Лист1!B22+Лист2!B15+Лист3!B15+Лист4!B16+Лист5!B16+Лист6!B16+Лист7!B16+Лист8!B16+Лист9!B16+Лист10!B16</f>
        <v>1676100</v>
      </c>
      <c r="C15" s="306">
        <f>Лист1!C22+Лист2!C15+Лист3!C15+Лист4!C16+Лист5!C16+Лист6!C16+Лист7!C16+Лист8!C16+Лист9!C16+Лист10!C16</f>
        <v>1682041.1199999999</v>
      </c>
      <c r="D15" s="304">
        <f t="shared" si="0"/>
        <v>100.35446095101723</v>
      </c>
      <c r="E15" s="305">
        <f t="shared" si="1"/>
        <v>5941.119999999879</v>
      </c>
    </row>
    <row r="16" spans="1:5" ht="13.5">
      <c r="A16" s="285" t="s">
        <v>162</v>
      </c>
      <c r="B16" s="306">
        <f>Лист1!B23+Лист2!B16+Лист3!B16+Лист4!B17+Лист5!B17+Лист6!B17+Лист7!B17+Лист8!B17+Лист9!B17+Лист10!B17</f>
        <v>3113600</v>
      </c>
      <c r="C16" s="306">
        <f>Лист1!C23+Лист2!C16+Лист3!C16+Лист4!C17+Лист5!C17+Лист6!C17+Лист7!C17+Лист8!C17+Лист9!C17+Лист10!C17</f>
        <v>3145331.07</v>
      </c>
      <c r="D16" s="304">
        <f t="shared" si="0"/>
        <v>101.01911196043164</v>
      </c>
      <c r="E16" s="305">
        <f t="shared" si="1"/>
        <v>31731.069999999832</v>
      </c>
    </row>
    <row r="17" spans="1:5" ht="13.5">
      <c r="A17" s="285" t="s">
        <v>196</v>
      </c>
      <c r="B17" s="307">
        <f>Лист8!B18+Лист5!B18+Лист9!B18+Лист3!B17+Лист4!B18+Лист2!B17+Лист10!B18+Лист1!B24+Лист6!B18</f>
        <v>9800</v>
      </c>
      <c r="C17" s="307">
        <f>Лист8!C18+Лист5!C18+Лист9!C18+Лист3!C17+Лист4!C18+Лист2!C17+Лист10!C18+Лист1!C24+Лист6!C18</f>
        <v>16263</v>
      </c>
      <c r="D17" s="304">
        <f>IF(B17=0,"   ",C17/B17*100)</f>
        <v>165.94897959183675</v>
      </c>
      <c r="E17" s="305">
        <f>C17-B17</f>
        <v>6463</v>
      </c>
    </row>
    <row r="18" spans="1:5" ht="28.5" customHeight="1">
      <c r="A18" s="285" t="s">
        <v>93</v>
      </c>
      <c r="B18" s="307">
        <f>Лист1!B25+Лист2!B18+Лист3!B18+Лист4!B19+Лист5!B19+Лист6!B19+Лист7!B18+Лист8!B19+Лист9!B19+Лист10!B19</f>
        <v>0</v>
      </c>
      <c r="C18" s="307">
        <f>Лист1!C25+Лист2!C18+Лист3!C18+Лист4!C19+Лист5!C19+Лист6!C19+Лист7!C18+Лист8!C19+Лист9!C19+Лист10!C19</f>
        <v>0</v>
      </c>
      <c r="D18" s="304" t="str">
        <f t="shared" si="0"/>
        <v>   </v>
      </c>
      <c r="E18" s="305">
        <f t="shared" si="1"/>
        <v>0</v>
      </c>
    </row>
    <row r="19" spans="1:5" ht="30" customHeight="1">
      <c r="A19" s="285" t="s">
        <v>28</v>
      </c>
      <c r="B19" s="306">
        <f>SUM(B20:B25)</f>
        <v>3159720</v>
      </c>
      <c r="C19" s="306">
        <f>SUM(C20:C25)</f>
        <v>2326808.92</v>
      </c>
      <c r="D19" s="304">
        <f t="shared" si="0"/>
        <v>73.63971870925272</v>
      </c>
      <c r="E19" s="305">
        <f t="shared" si="1"/>
        <v>-832911.0800000001</v>
      </c>
    </row>
    <row r="20" spans="1:5" ht="13.5">
      <c r="A20" s="285" t="s">
        <v>153</v>
      </c>
      <c r="B20" s="306">
        <f>Лист7!B20</f>
        <v>1180000</v>
      </c>
      <c r="C20" s="306">
        <f>Лист7!C20</f>
        <v>672019.3</v>
      </c>
      <c r="D20" s="304">
        <f t="shared" si="0"/>
        <v>56.95078813559322</v>
      </c>
      <c r="E20" s="305">
        <f t="shared" si="1"/>
        <v>-507980.69999999995</v>
      </c>
    </row>
    <row r="21" spans="1:5" ht="13.5">
      <c r="A21" s="285" t="s">
        <v>139</v>
      </c>
      <c r="B21" s="306">
        <f>Лист1!B27+Лист2!B23+Лист3!B20+Лист4!B21+Лист5!B21+Лист6!B21+Лист7!B21+Лист8!B21+Лист9!B22+Лист10!B23</f>
        <v>1252520</v>
      </c>
      <c r="C21" s="306">
        <f>Лист1!C27+Лист2!C23+Лист3!C20+Лист4!C21+Лист5!C21+Лист6!C21+Лист7!C21+Лист8!C21+Лист9!C22+Лист10!C23</f>
        <v>1309927.53</v>
      </c>
      <c r="D21" s="304">
        <f t="shared" si="0"/>
        <v>104.5833623415195</v>
      </c>
      <c r="E21" s="305">
        <f t="shared" si="1"/>
        <v>57407.53000000003</v>
      </c>
    </row>
    <row r="22" spans="1:5" ht="33" customHeight="1">
      <c r="A22" s="285" t="s">
        <v>30</v>
      </c>
      <c r="B22" s="306">
        <f>Лист1!B28+Лист2!B24+Лист3!B21+Лист4!B22+Лист5!B22+Лист6!B22+Лист7!B22+Лист8!B22+Лист9!B23+Лист10!B21</f>
        <v>189200</v>
      </c>
      <c r="C22" s="306">
        <f>Лист1!C28+Лист2!C24+Лист3!C21+Лист4!C22+Лист5!C22+Лист6!C22+Лист7!C22+Лист8!C22+Лист9!C23+Лист10!C21</f>
        <v>204585.09999999998</v>
      </c>
      <c r="D22" s="304">
        <f t="shared" si="0"/>
        <v>108.1316596194503</v>
      </c>
      <c r="E22" s="305">
        <f t="shared" si="1"/>
        <v>15385.099999999977</v>
      </c>
    </row>
    <row r="23" spans="1:5" ht="33" customHeight="1">
      <c r="A23" s="285" t="s">
        <v>270</v>
      </c>
      <c r="B23" s="306">
        <f>Лист8!B23+Лист10!B22+Лист1!B29</f>
        <v>6600</v>
      </c>
      <c r="C23" s="306">
        <f>Лист8!C23+Лист10!C22+Лист1!C29</f>
        <v>7457.88</v>
      </c>
      <c r="D23" s="304">
        <f>IF(B23=0,"   ",C23/B23*100)</f>
        <v>112.99818181818182</v>
      </c>
      <c r="E23" s="305">
        <f>C23-B23</f>
        <v>857.8800000000001</v>
      </c>
    </row>
    <row r="24" spans="1:5" ht="73.5" customHeight="1">
      <c r="A24" s="285" t="s">
        <v>201</v>
      </c>
      <c r="B24" s="306">
        <f>Лист7!B23</f>
        <v>485700</v>
      </c>
      <c r="C24" s="306">
        <f>Лист7!C23</f>
        <v>72995.51</v>
      </c>
      <c r="D24" s="304">
        <f>IF(B24=0,"   ",C24/B24*100)</f>
        <v>15.02892938027589</v>
      </c>
      <c r="E24" s="305">
        <f>C24-B24</f>
        <v>-412704.49</v>
      </c>
    </row>
    <row r="25" spans="1:5" ht="72" customHeight="1">
      <c r="A25" s="285" t="s">
        <v>226</v>
      </c>
      <c r="B25" s="306">
        <f>Лист1!B30+Лист9!B24</f>
        <v>45700</v>
      </c>
      <c r="C25" s="306">
        <f>Лист1!C30+Лист9!C24</f>
        <v>59823.6</v>
      </c>
      <c r="D25" s="304">
        <f>IF(B25=0,"   ",C25/B25*100)</f>
        <v>130.9050328227571</v>
      </c>
      <c r="E25" s="305">
        <f>C25-B25</f>
        <v>14123.599999999999</v>
      </c>
    </row>
    <row r="26" spans="1:5" ht="30.75" customHeight="1">
      <c r="A26" s="285" t="s">
        <v>83</v>
      </c>
      <c r="B26" s="306">
        <f>SUM(B28,B27)</f>
        <v>67000</v>
      </c>
      <c r="C26" s="306">
        <f>SUM(C28,C27)</f>
        <v>83714.17</v>
      </c>
      <c r="D26" s="304">
        <f t="shared" si="0"/>
        <v>124.9465223880597</v>
      </c>
      <c r="E26" s="305">
        <f t="shared" si="1"/>
        <v>16714.17</v>
      </c>
    </row>
    <row r="27" spans="1:5" ht="16.5" customHeight="1">
      <c r="A27" s="285" t="s">
        <v>175</v>
      </c>
      <c r="B27" s="306">
        <f>Лист2!B26</f>
        <v>0</v>
      </c>
      <c r="C27" s="306">
        <f>Лист2!C26</f>
        <v>0</v>
      </c>
      <c r="D27" s="304"/>
      <c r="E27" s="305">
        <f t="shared" si="1"/>
        <v>0</v>
      </c>
    </row>
    <row r="28" spans="1:5" ht="44.25" customHeight="1">
      <c r="A28" s="285" t="s">
        <v>84</v>
      </c>
      <c r="B28" s="306">
        <f>Лист4!B23+Лист9!B25+Лист7!B24+Лист1!B31</f>
        <v>67000</v>
      </c>
      <c r="C28" s="306">
        <f>Лист4!C23+Лист9!C25+Лист7!C24+Лист1!C31</f>
        <v>83714.17</v>
      </c>
      <c r="D28" s="304">
        <f t="shared" si="0"/>
        <v>124.9465223880597</v>
      </c>
      <c r="E28" s="305">
        <f t="shared" si="1"/>
        <v>16714.17</v>
      </c>
    </row>
    <row r="29" spans="1:5" ht="31.5" customHeight="1">
      <c r="A29" s="285" t="s">
        <v>76</v>
      </c>
      <c r="B29" s="306">
        <f>SUM(B31+B30+B32)</f>
        <v>2592335.37</v>
      </c>
      <c r="C29" s="306">
        <f>SUM(C31+C30+C32)</f>
        <v>502811.26</v>
      </c>
      <c r="D29" s="304">
        <f t="shared" si="0"/>
        <v>19.396072970296277</v>
      </c>
      <c r="E29" s="305">
        <f t="shared" si="1"/>
        <v>-2089524.11</v>
      </c>
    </row>
    <row r="30" spans="1:5" ht="30.75" customHeight="1">
      <c r="A30" s="285" t="s">
        <v>134</v>
      </c>
      <c r="B30" s="306">
        <f>Лист7!B26+Лист1!B33+Лист9!B27</f>
        <v>2139535.37</v>
      </c>
      <c r="C30" s="306">
        <f>Лист7!C26+Лист1!C33+Лист9!C27</f>
        <v>24848</v>
      </c>
      <c r="D30" s="304">
        <f t="shared" si="0"/>
        <v>1.1613736490834456</v>
      </c>
      <c r="E30" s="305">
        <f t="shared" si="1"/>
        <v>-2114687.37</v>
      </c>
    </row>
    <row r="31" spans="1:5" ht="42" customHeight="1">
      <c r="A31" s="285" t="s">
        <v>227</v>
      </c>
      <c r="B31" s="306">
        <f>Лист7!B27</f>
        <v>440000</v>
      </c>
      <c r="C31" s="306">
        <f>Лист7!C27</f>
        <v>461225.26</v>
      </c>
      <c r="D31" s="304">
        <f t="shared" si="0"/>
        <v>104.82392272727272</v>
      </c>
      <c r="E31" s="305">
        <f t="shared" si="1"/>
        <v>21225.26000000001</v>
      </c>
    </row>
    <row r="32" spans="1:5" ht="39" customHeight="1">
      <c r="A32" s="285" t="s">
        <v>228</v>
      </c>
      <c r="B32" s="306">
        <f>Лист2!B21</f>
        <v>12800</v>
      </c>
      <c r="C32" s="306">
        <f>Лист1!C34+Лист2!C21+Лист3!C24+Лист4!C25+Лист6!C25+Лист8!C26+Лист9!C28+Лист10!C26</f>
        <v>16738</v>
      </c>
      <c r="D32" s="304">
        <f t="shared" si="0"/>
        <v>130.765625</v>
      </c>
      <c r="E32" s="305">
        <f t="shared" si="1"/>
        <v>3938</v>
      </c>
    </row>
    <row r="33" spans="1:5" ht="13.5">
      <c r="A33" s="285" t="s">
        <v>31</v>
      </c>
      <c r="B33" s="306">
        <f>Лист1!B35+Лист2!B27+Лист5!B28+Лист7!B28+Лист6!B26+Лист3!B26</f>
        <v>0</v>
      </c>
      <c r="C33" s="306">
        <f>Лист1!C35+Лист2!C27+Лист5!C28+Лист7!C28+Лист6!C26+Лист3!C26</f>
        <v>14856.85</v>
      </c>
      <c r="D33" s="304" t="str">
        <f t="shared" si="0"/>
        <v>   </v>
      </c>
      <c r="E33" s="305">
        <f t="shared" si="1"/>
        <v>14856.85</v>
      </c>
    </row>
    <row r="34" spans="1:5" ht="13.5">
      <c r="A34" s="285" t="s">
        <v>32</v>
      </c>
      <c r="B34" s="306">
        <f>B35+B36</f>
        <v>0</v>
      </c>
      <c r="C34" s="306">
        <f>C35+C36</f>
        <v>-46902.64</v>
      </c>
      <c r="D34" s="304" t="str">
        <f t="shared" si="0"/>
        <v>   </v>
      </c>
      <c r="E34" s="305">
        <f t="shared" si="1"/>
        <v>-46902.64</v>
      </c>
    </row>
    <row r="35" spans="1:5" ht="13.5">
      <c r="A35" s="285" t="s">
        <v>46</v>
      </c>
      <c r="B35" s="306">
        <v>0</v>
      </c>
      <c r="C35" s="306">
        <f>Лист1!C39+Лист2!C29+Лист4!C27+Лист6!C28+Лист7!C30+Лист8!C28+Лист9!C31+Лист3!C28+Лист10!C28+Лист5!C27</f>
        <v>-46902.64</v>
      </c>
      <c r="D35" s="304"/>
      <c r="E35" s="305">
        <f t="shared" si="1"/>
        <v>-46902.64</v>
      </c>
    </row>
    <row r="36" spans="1:5" ht="13.5">
      <c r="A36" s="285" t="s">
        <v>50</v>
      </c>
      <c r="B36" s="306">
        <f>Лист1!B40+Лист2!B30+Лист3!B29+Лист4!B28+Лист5!B27+Лист6!B29+Лист7!B31+Лист8!B29+Лист9!B32+Лист10!B29</f>
        <v>0</v>
      </c>
      <c r="C36" s="306">
        <f>Лист1!C40+Лист2!C30+Лист3!C29+Лист4!C28+Лист6!C29+Лист7!C31+Лист8!C29+Лист9!C32+Лист10!C29</f>
        <v>0</v>
      </c>
      <c r="D36" s="304" t="str">
        <f>IF(B36=0,"   ",C36/B36*100)</f>
        <v>   </v>
      </c>
      <c r="E36" s="305">
        <f t="shared" si="1"/>
        <v>0</v>
      </c>
    </row>
    <row r="37" spans="1:5" ht="18" customHeight="1">
      <c r="A37" s="308" t="s">
        <v>10</v>
      </c>
      <c r="B37" s="309">
        <f>SUM(B6,B8,B10,B12,B18,B19,B26,B29,B34,+B33+B17)</f>
        <v>34199155.37</v>
      </c>
      <c r="C37" s="309">
        <f>SUM(C6,C8,C10,C12,C18,C19,C26,C29,C34,+C33+C17)</f>
        <v>31770967.280000005</v>
      </c>
      <c r="D37" s="310">
        <f>IF(B37=0,"   ",C37/B37*100)</f>
        <v>92.89985947392714</v>
      </c>
      <c r="E37" s="311">
        <f t="shared" si="1"/>
        <v>-2428188.0899999924</v>
      </c>
    </row>
    <row r="38" spans="1:5" ht="33" customHeight="1">
      <c r="A38" s="302" t="s">
        <v>34</v>
      </c>
      <c r="B38" s="303">
        <f>Лист1!B45+Лист2!B33+Лист3!B33+Лист4!B32+Лист5!B31+Лист6!B32+Лист7!B34+Лист8!B33+Лист9!B35+Лист10!B32</f>
        <v>16806300</v>
      </c>
      <c r="C38" s="303">
        <f>Лист1!C45+Лист2!C33+Лист3!C33+Лист4!C32+Лист5!C31+Лист6!C32+Лист7!C34+Лист8!C33+Лист9!C35+Лист10!C32</f>
        <v>16806300</v>
      </c>
      <c r="D38" s="304">
        <f>IF(B38=0,"   ",C38/B38*100)</f>
        <v>100</v>
      </c>
      <c r="E38" s="305">
        <f t="shared" si="1"/>
        <v>0</v>
      </c>
    </row>
    <row r="39" spans="1:5" ht="33" customHeight="1">
      <c r="A39" s="302" t="s">
        <v>229</v>
      </c>
      <c r="B39" s="303">
        <f>Лист1!B46+Лист2!B34+Лист3!B34+Лист4!B33+Лист5!B32+Лист6!B33+Лист7!B35+Лист8!B34+Лист9!B36+Лист10!B33</f>
        <v>0</v>
      </c>
      <c r="C39" s="303">
        <f>Лист1!C46+Лист2!C34+Лист3!C34+Лист4!C33+Лист5!C32+Лист6!C33+Лист7!C35+Лист8!C34+Лист9!C36+Лист10!C33</f>
        <v>0</v>
      </c>
      <c r="D39" s="304" t="str">
        <f>IF(B39=0,"   ",C39/B39*100)</f>
        <v>   </v>
      </c>
      <c r="E39" s="305">
        <f>C39-B39</f>
        <v>0</v>
      </c>
    </row>
    <row r="40" spans="1:5" ht="13.5">
      <c r="A40" s="312" t="s">
        <v>115</v>
      </c>
      <c r="B40" s="303">
        <f>SUM(B42:B49)</f>
        <v>104010690.47</v>
      </c>
      <c r="C40" s="303">
        <f>SUM(C42:C49)</f>
        <v>67221514.84</v>
      </c>
      <c r="D40" s="304">
        <f>IF(B40=0,"   ",C40/B40*100)</f>
        <v>64.62942850993652</v>
      </c>
      <c r="E40" s="305">
        <f t="shared" si="1"/>
        <v>-36789175.629999995</v>
      </c>
    </row>
    <row r="41" spans="1:5" ht="13.5">
      <c r="A41" s="302" t="s">
        <v>116</v>
      </c>
      <c r="B41" s="303"/>
      <c r="C41" s="303"/>
      <c r="D41" s="304"/>
      <c r="E41" s="305"/>
    </row>
    <row r="42" spans="1:5" ht="33" customHeight="1">
      <c r="A42" s="285" t="s">
        <v>239</v>
      </c>
      <c r="B42" s="306">
        <v>0</v>
      </c>
      <c r="C42" s="306">
        <f>Лист2!C43</f>
        <v>0</v>
      </c>
      <c r="D42" s="304" t="str">
        <f>IF(B42=0,"   ",C42/B42*100)</f>
        <v>   </v>
      </c>
      <c r="E42" s="305">
        <f aca="true" t="shared" si="2" ref="E42:E49">C42-B42</f>
        <v>0</v>
      </c>
    </row>
    <row r="43" spans="1:5" ht="45" customHeight="1">
      <c r="A43" s="285" t="s">
        <v>179</v>
      </c>
      <c r="B43" s="313">
        <v>0</v>
      </c>
      <c r="C43" s="313">
        <v>0</v>
      </c>
      <c r="D43" s="314" t="str">
        <f>IF(B43=0,"   ",C43/B43)</f>
        <v>   </v>
      </c>
      <c r="E43" s="315">
        <f t="shared" si="2"/>
        <v>0</v>
      </c>
    </row>
    <row r="44" spans="1:5" ht="90" customHeight="1">
      <c r="A44" s="285" t="s">
        <v>238</v>
      </c>
      <c r="B44" s="306">
        <f>Лист1!B53+Лист2!B42+Лист3!B41+Лист4!B40+Лист5!B37+Лист6!B38+Лист7!B44+Лист8!B41+Лист9!B41+Лист10!B38</f>
        <v>10669000</v>
      </c>
      <c r="C44" s="306">
        <f>Лист1!C53+Лист2!C42+Лист3!C41+Лист4!C40+Лист5!C37+Лист6!C38+Лист7!C44+Лист8!C41+Лист9!C41+Лист10!C38</f>
        <v>10669000</v>
      </c>
      <c r="D44" s="304">
        <f aca="true" t="shared" si="3" ref="D44:D49">IF(B44=0,"   ",C44/B44*100)</f>
        <v>100</v>
      </c>
      <c r="E44" s="305">
        <f t="shared" si="2"/>
        <v>0</v>
      </c>
    </row>
    <row r="45" spans="1:5" ht="96" customHeight="1">
      <c r="A45" s="285" t="s">
        <v>240</v>
      </c>
      <c r="B45" s="306">
        <f>Лист7!B45</f>
        <v>1612800</v>
      </c>
      <c r="C45" s="306">
        <f>Лист7!C45</f>
        <v>1612800</v>
      </c>
      <c r="D45" s="304">
        <f t="shared" si="3"/>
        <v>100</v>
      </c>
      <c r="E45" s="305">
        <f t="shared" si="2"/>
        <v>0</v>
      </c>
    </row>
    <row r="46" spans="1:5" ht="60" customHeight="1">
      <c r="A46" s="285" t="s">
        <v>264</v>
      </c>
      <c r="B46" s="306">
        <v>0</v>
      </c>
      <c r="C46" s="306">
        <v>0</v>
      </c>
      <c r="D46" s="304" t="str">
        <f t="shared" si="3"/>
        <v>   </v>
      </c>
      <c r="E46" s="305">
        <f t="shared" si="2"/>
        <v>0</v>
      </c>
    </row>
    <row r="47" spans="1:5" ht="49.5" customHeight="1">
      <c r="A47" s="285" t="s">
        <v>277</v>
      </c>
      <c r="B47" s="306">
        <f>Лист2!B43+Лист4!B41+Лист9!B42</f>
        <v>0</v>
      </c>
      <c r="C47" s="306">
        <f>Лист2!C43+Лист4!C41+Лист9!C42</f>
        <v>0</v>
      </c>
      <c r="D47" s="304" t="str">
        <f t="shared" si="3"/>
        <v>   </v>
      </c>
      <c r="E47" s="305">
        <f t="shared" si="2"/>
        <v>0</v>
      </c>
    </row>
    <row r="48" spans="1:5" ht="49.5" customHeight="1">
      <c r="A48" s="285" t="s">
        <v>311</v>
      </c>
      <c r="B48" s="306">
        <f>Лист6!B39</f>
        <v>940000</v>
      </c>
      <c r="C48" s="306">
        <f>Лист6!C39</f>
        <v>940000</v>
      </c>
      <c r="D48" s="304">
        <f t="shared" si="3"/>
        <v>100</v>
      </c>
      <c r="E48" s="305">
        <f>C48-B48</f>
        <v>0</v>
      </c>
    </row>
    <row r="49" spans="1:5" ht="13.5">
      <c r="A49" s="285" t="s">
        <v>106</v>
      </c>
      <c r="B49" s="306">
        <f>SUM(B51:B56)</f>
        <v>90788890.47</v>
      </c>
      <c r="C49" s="306">
        <f>SUM(C51:C56)</f>
        <v>53999714.84</v>
      </c>
      <c r="D49" s="304">
        <f t="shared" si="3"/>
        <v>59.478328857695985</v>
      </c>
      <c r="E49" s="305">
        <f t="shared" si="2"/>
        <v>-36789175.629999995</v>
      </c>
    </row>
    <row r="50" spans="1:5" ht="13.5">
      <c r="A50" s="285" t="s">
        <v>117</v>
      </c>
      <c r="B50" s="306"/>
      <c r="C50" s="306"/>
      <c r="D50" s="304"/>
      <c r="E50" s="305"/>
    </row>
    <row r="51" spans="1:5" ht="27">
      <c r="A51" s="285" t="s">
        <v>221</v>
      </c>
      <c r="B51" s="306">
        <f>Лист1!B56</f>
        <v>328217.78</v>
      </c>
      <c r="C51" s="306">
        <f>Лист1!C56</f>
        <v>328200</v>
      </c>
      <c r="D51" s="304">
        <f>IF(B51=0,"   ",C51/B51*100)</f>
        <v>99.99458286507208</v>
      </c>
      <c r="E51" s="305">
        <f>C51-B51</f>
        <v>-17.78000000002794</v>
      </c>
    </row>
    <row r="52" spans="1:5" ht="27" customHeight="1">
      <c r="A52" s="285" t="s">
        <v>220</v>
      </c>
      <c r="B52" s="306">
        <f>Лист1!B55+Лист2!B45+Лист3!B43+Лист4!B43+Лист5!B41+Лист6!B43+Лист7!B48+Лист8!B43+Лист9!B44+Лист10!B40</f>
        <v>2144882.22</v>
      </c>
      <c r="C52" s="306">
        <f>Лист1!C55+Лист2!C45+Лист3!C43+Лист4!C43+Лист5!C41+Лист6!C43+Лист7!C48+Лист8!C43+Лист9!C44+Лист10!C40</f>
        <v>1486901.3499999999</v>
      </c>
      <c r="D52" s="306">
        <f>Лист7!D48</f>
        <v>59.266637598026925</v>
      </c>
      <c r="E52" s="305">
        <f>C52-B52</f>
        <v>-657980.8700000003</v>
      </c>
    </row>
    <row r="53" spans="1:5" ht="23.25" customHeight="1">
      <c r="A53" s="285" t="s">
        <v>279</v>
      </c>
      <c r="B53" s="306">
        <f>Лист7!B49</f>
        <v>38928450.47</v>
      </c>
      <c r="C53" s="306">
        <f>Лист7!C49</f>
        <v>38928450.47</v>
      </c>
      <c r="D53" s="306">
        <f>Лист7!D49</f>
        <v>100</v>
      </c>
      <c r="E53" s="306">
        <f>Лист7!E49</f>
        <v>0</v>
      </c>
    </row>
    <row r="54" spans="1:5" ht="23.25" customHeight="1">
      <c r="A54" s="285" t="s">
        <v>313</v>
      </c>
      <c r="B54" s="306">
        <f>Лист7!B50</f>
        <v>26191000</v>
      </c>
      <c r="C54" s="306">
        <f>Лист7!C50</f>
        <v>0</v>
      </c>
      <c r="D54" s="306">
        <f>Лист7!D50</f>
        <v>0</v>
      </c>
      <c r="E54" s="306">
        <f>Лист7!E50</f>
        <v>-26191000</v>
      </c>
    </row>
    <row r="55" spans="1:5" ht="32.25" customHeight="1">
      <c r="A55" s="285" t="s">
        <v>298</v>
      </c>
      <c r="B55" s="306">
        <f>Лист1!B57+Лист2!B46+Лист3!B44+Лист5!B40+Лист6!B42+Лист7!B51+Лист8!B44+Лист9!B45+Лист10!B41</f>
        <v>18013890</v>
      </c>
      <c r="C55" s="306">
        <f>Лист1!C57+Лист2!C46+Лист3!C44+Лист5!C40+Лист6!C42+Лист7!C51+Лист8!C44+Лист9!C45+Лист10!C41</f>
        <v>8073713.02</v>
      </c>
      <c r="D55" s="306">
        <f>Лист7!D51</f>
        <v>0</v>
      </c>
      <c r="E55" s="305">
        <f>C55-B55</f>
        <v>-9940176.98</v>
      </c>
    </row>
    <row r="56" spans="1:5" s="59" customFormat="1" ht="48" customHeight="1">
      <c r="A56" s="285" t="s">
        <v>118</v>
      </c>
      <c r="B56" s="306">
        <f>Лист1!B58+Лист2!B47+Лист3!B45+Лист4!B44+Лист5!B39+Лист6!B41+Лист7!B52+Лист8!B45+Лист9!B46+Лист10!B42</f>
        <v>5182450</v>
      </c>
      <c r="C56" s="306">
        <f>Лист1!C58+Лист2!C47+Лист3!C45+Лист4!C44+Лист5!C39+Лист6!C41+Лист7!C52+Лист8!C45+Лист9!C46+Лист10!C42</f>
        <v>5182450</v>
      </c>
      <c r="D56" s="304">
        <f>IF(B56=0,"   ",C56/B56*100)</f>
        <v>100</v>
      </c>
      <c r="E56" s="305">
        <f>C56-B56</f>
        <v>0</v>
      </c>
    </row>
    <row r="57" spans="1:5" s="59" customFormat="1" ht="13.5">
      <c r="A57" s="312" t="s">
        <v>19</v>
      </c>
      <c r="B57" s="306">
        <f>B59+B60</f>
        <v>1514900</v>
      </c>
      <c r="C57" s="306">
        <f>C59+C60</f>
        <v>1390000</v>
      </c>
      <c r="D57" s="304">
        <f>IF(B57=0,"   ",C57/B57*100)</f>
        <v>91.75523136840715</v>
      </c>
      <c r="E57" s="305">
        <f>C57-B57</f>
        <v>-124900</v>
      </c>
    </row>
    <row r="58" spans="1:5" ht="13.5">
      <c r="A58" s="302" t="s">
        <v>116</v>
      </c>
      <c r="B58" s="303"/>
      <c r="C58" s="303"/>
      <c r="D58" s="304"/>
      <c r="E58" s="305"/>
    </row>
    <row r="59" spans="1:5" ht="48.75" customHeight="1">
      <c r="A59" s="316" t="s">
        <v>51</v>
      </c>
      <c r="B59" s="317">
        <f>Лист1!B47+Лист2!B36+Лист3!B35+Лист4!B34+Лист5!B33+Лист6!B34+Лист7!B36+Лист8!B35+Лист9!B37+Лист10!B34</f>
        <v>1388600</v>
      </c>
      <c r="C59" s="317">
        <f>Лист1!C47+Лист2!C36+Лист3!C35+Лист4!C34+Лист5!C33+Лист6!C34+Лист7!C36+Лист8!C35+Лист9!C37+Лист10!C34</f>
        <v>1388600</v>
      </c>
      <c r="D59" s="318">
        <f>IF(B59=0,"   ",C59/B59*100)</f>
        <v>100</v>
      </c>
      <c r="E59" s="319">
        <f>C59-B59</f>
        <v>0</v>
      </c>
    </row>
    <row r="60" spans="1:5" ht="45" customHeight="1">
      <c r="A60" s="316" t="s">
        <v>148</v>
      </c>
      <c r="B60" s="317">
        <f>Лист1!B48+Лист2!B37+Лист3!B36+Лист4!B35+Лист5!B34+Лист6!B35+Лист7!B37+Лист8!B36+Лист9!B38+Лист10!B35</f>
        <v>126300</v>
      </c>
      <c r="C60" s="317">
        <f>Лист1!C48+Лист2!C37+Лист3!C36+Лист4!C35+Лист5!C34+Лист6!C35+Лист7!C37+Лист8!C36+Лист9!C38+Лист10!C35</f>
        <v>1400</v>
      </c>
      <c r="D60" s="318">
        <f>IF(B60=0,"   ",C60/B60*100)</f>
        <v>1.1084718923198733</v>
      </c>
      <c r="E60" s="319">
        <f>C60-B60</f>
        <v>-124900</v>
      </c>
    </row>
    <row r="61" spans="1:5" ht="27.75" customHeight="1">
      <c r="A61" s="316" t="s">
        <v>163</v>
      </c>
      <c r="B61" s="317">
        <f>Лист1!B49+Лист2!B38+Лист3!B37+Лист4!B36+Лист5!B35+Лист6!B36+Лист7!B38+Лист8!B37+Лист9!B39+Лист10!B36</f>
        <v>1400</v>
      </c>
      <c r="C61" s="317">
        <f>Лист1!C49+Лист2!C38+Лист3!C37+Лист4!C36+Лист5!C35+Лист6!C36+Лист7!C38+Лист8!C37+Лист9!C39+Лист10!C36</f>
        <v>1400</v>
      </c>
      <c r="D61" s="318">
        <f>IF(B61=0,"   ",C61/B61*100)</f>
        <v>100</v>
      </c>
      <c r="E61" s="319">
        <f>C61-B61</f>
        <v>0</v>
      </c>
    </row>
    <row r="62" spans="1:5" ht="47.25" customHeight="1">
      <c r="A62" s="316" t="s">
        <v>164</v>
      </c>
      <c r="B62" s="317">
        <f>Лист1!B50+Лист2!B39+Лист3!B38+Лист4!B37+Лист5!B36+Лист6!B37+Лист7!B39+Лист8!B38+Лист9!B40+Лист10!B37</f>
        <v>124900</v>
      </c>
      <c r="C62" s="317">
        <f>Лист1!C50+Лист2!C39+Лист3!C38+Лист4!C37+Лист5!C36+Лист6!C37+Лист7!C39+Лист8!C38+Лист9!C40+Лист10!C37</f>
        <v>0</v>
      </c>
      <c r="D62" s="318">
        <f>IF(B62=0,"   ",C62/B62*100)</f>
        <v>0</v>
      </c>
      <c r="E62" s="319">
        <f>C62-B62</f>
        <v>-124900</v>
      </c>
    </row>
    <row r="63" spans="1:5" ht="13.5">
      <c r="A63" s="312" t="s">
        <v>119</v>
      </c>
      <c r="B63" s="306">
        <f>B65+B69+B66+B68+B67</f>
        <v>22217969.23</v>
      </c>
      <c r="C63" s="306">
        <f>C65+C69+C66+C68+C67</f>
        <v>22210969.23</v>
      </c>
      <c r="D63" s="304">
        <f>IF(B63=0,"   ",C63/B63*100)</f>
        <v>99.96849397022952</v>
      </c>
      <c r="E63" s="305">
        <f t="shared" si="1"/>
        <v>-7000</v>
      </c>
    </row>
    <row r="64" spans="1:5" ht="13.5">
      <c r="A64" s="302" t="s">
        <v>116</v>
      </c>
      <c r="B64" s="303"/>
      <c r="C64" s="303"/>
      <c r="D64" s="304"/>
      <c r="E64" s="305"/>
    </row>
    <row r="65" spans="1:5" ht="89.25" customHeight="1">
      <c r="A65" s="285" t="s">
        <v>269</v>
      </c>
      <c r="B65" s="306">
        <f>Лист7!B46</f>
        <v>6082988.39</v>
      </c>
      <c r="C65" s="306">
        <f>Лист7!C46</f>
        <v>6082988.39</v>
      </c>
      <c r="D65" s="304">
        <f aca="true" t="shared" si="4" ref="D65:D98">IF(B65=0,"   ",C65/B65*100)</f>
        <v>100</v>
      </c>
      <c r="E65" s="305">
        <f aca="true" t="shared" si="5" ref="E65:E70">C65-B65</f>
        <v>0</v>
      </c>
    </row>
    <row r="66" spans="1:5" ht="85.5" customHeight="1">
      <c r="A66" s="285" t="s">
        <v>268</v>
      </c>
      <c r="B66" s="313">
        <f>Лист7!B43</f>
        <v>6213445.9</v>
      </c>
      <c r="C66" s="313">
        <f>Лист7!C43</f>
        <v>6213445.9</v>
      </c>
      <c r="D66" s="304">
        <f>IF(B66=0,"   ",C66/B66*100)</f>
        <v>100</v>
      </c>
      <c r="E66" s="305">
        <f t="shared" si="5"/>
        <v>0</v>
      </c>
    </row>
    <row r="67" spans="1:5" ht="63" customHeight="1">
      <c r="A67" s="285" t="s">
        <v>302</v>
      </c>
      <c r="B67" s="317">
        <f>Лист2!B40+Лист4!B38+Лист9!B47</f>
        <v>1541534.94</v>
      </c>
      <c r="C67" s="317">
        <f>Лист2!C40+Лист4!C38+Лист9!C47</f>
        <v>1541534.94</v>
      </c>
      <c r="D67" s="304">
        <f>IF(B67=0,"   ",C67/B67*100)</f>
        <v>100</v>
      </c>
      <c r="E67" s="305">
        <f t="shared" si="5"/>
        <v>0</v>
      </c>
    </row>
    <row r="68" spans="1:5" ht="50.25" customHeight="1">
      <c r="A68" s="285" t="s">
        <v>297</v>
      </c>
      <c r="B68" s="313">
        <f>Лист7!B42</f>
        <v>280000</v>
      </c>
      <c r="C68" s="313">
        <f>Лист7!C42</f>
        <v>280000</v>
      </c>
      <c r="D68" s="304">
        <f>IF(B68=0,"   ",C68/B68*100)</f>
        <v>100</v>
      </c>
      <c r="E68" s="305">
        <f t="shared" si="5"/>
        <v>0</v>
      </c>
    </row>
    <row r="69" spans="1:5" ht="33" customHeight="1">
      <c r="A69" s="285" t="s">
        <v>170</v>
      </c>
      <c r="B69" s="317">
        <f>Лист1!B52+Лист2!B41+Лист3!B40+Лист6!B44+Лист8!B40+Лист10!B43+Лист4!B39+Лист5!B43+Лист7!B41+Лист9!B48</f>
        <v>8100000</v>
      </c>
      <c r="C69" s="317">
        <f>Лист1!C52+Лист2!C41+Лист3!C40+Лист6!C44+Лист8!C40+Лист10!C43+Лист4!C39+Лист5!C43+Лист7!C41+Лист9!C48</f>
        <v>8093000</v>
      </c>
      <c r="D69" s="304">
        <f t="shared" si="4"/>
        <v>99.91358024691358</v>
      </c>
      <c r="E69" s="305">
        <f t="shared" si="5"/>
        <v>-7000</v>
      </c>
    </row>
    <row r="70" spans="1:5" ht="21" customHeight="1">
      <c r="A70" s="308" t="s">
        <v>186</v>
      </c>
      <c r="B70" s="306">
        <f>Лист1!B59+Лист2!B48+Лист3!B46+Лист4!B45+Лист5!B44+Лист6!B46+Лист7!B53+Лист8!B46+Лист9!B49+Лист10!B45</f>
        <v>1148472.77</v>
      </c>
      <c r="C70" s="306">
        <f>Лист1!C59+Лист2!C48+Лист3!C46+Лист4!C45+Лист5!C44+Лист6!C46+Лист7!C53+Лист8!C46+Лист9!C49+Лист10!C45</f>
        <v>1181666.1</v>
      </c>
      <c r="D70" s="304">
        <f>IF(B70=0,"   ",C70/B70*100)</f>
        <v>102.89021480239361</v>
      </c>
      <c r="E70" s="305">
        <f t="shared" si="5"/>
        <v>33193.330000000075</v>
      </c>
    </row>
    <row r="71" spans="1:5" ht="13.5">
      <c r="A71" s="308" t="s">
        <v>104</v>
      </c>
      <c r="B71" s="309">
        <f>B38+B40+B57+B63+B70+B39</f>
        <v>145698332.47</v>
      </c>
      <c r="C71" s="309">
        <f>C38+C40+C57+C63+C70+C39</f>
        <v>108810450.17</v>
      </c>
      <c r="D71" s="310">
        <f t="shared" si="4"/>
        <v>74.68201476664437</v>
      </c>
      <c r="E71" s="311">
        <f aca="true" t="shared" si="6" ref="E71:E114">C71-B71</f>
        <v>-36887882.3</v>
      </c>
    </row>
    <row r="72" spans="1:5" ht="23.25" customHeight="1">
      <c r="A72" s="308" t="s">
        <v>11</v>
      </c>
      <c r="B72" s="309">
        <f>B37+B71</f>
        <v>179897487.84</v>
      </c>
      <c r="C72" s="309">
        <f>C37+C71</f>
        <v>140581417.45000002</v>
      </c>
      <c r="D72" s="310">
        <f t="shared" si="4"/>
        <v>78.14529215384735</v>
      </c>
      <c r="E72" s="311">
        <f t="shared" si="6"/>
        <v>-39316070.389999986</v>
      </c>
    </row>
    <row r="73" spans="1:5" ht="13.5" hidden="1">
      <c r="A73" s="308" t="s">
        <v>48</v>
      </c>
      <c r="B73" s="306"/>
      <c r="C73" s="306"/>
      <c r="D73" s="304" t="str">
        <f t="shared" si="4"/>
        <v>   </v>
      </c>
      <c r="E73" s="305">
        <f t="shared" si="6"/>
        <v>0</v>
      </c>
    </row>
    <row r="74" spans="1:5" ht="14.25">
      <c r="A74" s="320" t="s">
        <v>12</v>
      </c>
      <c r="B74" s="321"/>
      <c r="C74" s="322"/>
      <c r="D74" s="304" t="str">
        <f t="shared" si="4"/>
        <v>   </v>
      </c>
      <c r="E74" s="305"/>
    </row>
    <row r="75" spans="1:5" ht="13.5">
      <c r="A75" s="285" t="s">
        <v>35</v>
      </c>
      <c r="B75" s="306">
        <f>Лист1!B62+Лист2!B52+Лист3!B49+Лист4!B48+Лист5!B48+Лист6!B49+Лист7!B57+Лист8!B49+Лист9!B52+Лист10!B49</f>
        <v>14760734.83</v>
      </c>
      <c r="C75" s="306">
        <f>Лист1!C62+Лист2!C52+Лист3!C49+Лист4!C48+Лист5!C48+Лист6!C49+Лист7!C57+Лист8!C49+Лист9!C52+Лист10!C49</f>
        <v>14410460.010000002</v>
      </c>
      <c r="D75" s="304">
        <f t="shared" si="4"/>
        <v>97.62698250436628</v>
      </c>
      <c r="E75" s="305">
        <f t="shared" si="6"/>
        <v>-350274.81999999844</v>
      </c>
    </row>
    <row r="76" spans="1:5" ht="13.5" customHeight="1">
      <c r="A76" s="285" t="s">
        <v>36</v>
      </c>
      <c r="B76" s="306">
        <f>Лист1!B63+Лист2!B53+Лист3!B50+Лист4!B49+Лист5!B49+Лист6!B50+Лист7!B58+Лист8!B50+Лист9!B53+Лист10!B50</f>
        <v>14495769.9</v>
      </c>
      <c r="C76" s="306">
        <f>Лист1!C63+Лист2!C53+Лист3!C50+Лист4!C49+Лист5!C49+Лист6!C50+Лист7!C58+Лист8!C50+Лист9!C53+Лист10!C50</f>
        <v>14173760.16</v>
      </c>
      <c r="D76" s="304">
        <f t="shared" si="4"/>
        <v>97.77859511967006</v>
      </c>
      <c r="E76" s="305">
        <f t="shared" si="6"/>
        <v>-322009.7400000002</v>
      </c>
    </row>
    <row r="77" spans="1:5" ht="13.5">
      <c r="A77" s="285" t="s">
        <v>121</v>
      </c>
      <c r="B77" s="306">
        <f>Лист1!B64+Лист2!B54+Лист3!B51+Лист4!B50+Лист5!B50+Лист6!B51+Лист7!B59+Лист8!B51+Лист9!B54+Лист10!B51</f>
        <v>9303704.76</v>
      </c>
      <c r="C77" s="306">
        <f>Лист1!C64+Лист2!C54+Лист3!C51+Лист4!C50+Лист5!C50+Лист6!C51+Лист7!C59+Лист8!C51+Лист9!C54+Лист10!C51</f>
        <v>9241777.350000001</v>
      </c>
      <c r="D77" s="304">
        <f t="shared" si="4"/>
        <v>99.3343790285968</v>
      </c>
      <c r="E77" s="305">
        <f t="shared" si="6"/>
        <v>-61927.40999999829</v>
      </c>
    </row>
    <row r="78" spans="1:5" ht="13.5">
      <c r="A78" s="285" t="s">
        <v>286</v>
      </c>
      <c r="B78" s="306">
        <f>Лист1!B65+Лист2!B55+Лист3!B52+Лист4!B51+Лист5!B51+Лист6!B52+Лист7!B60+Лист8!B52+Лист9!B55+Лист10!B52</f>
        <v>1400</v>
      </c>
      <c r="C78" s="306">
        <f>Лист1!C65+Лист2!C55+Лист3!C52+Лист4!C51+Лист5!C51+Лист6!C52+Лист7!C60+Лист8!C52+Лист9!C55+Лист10!C52</f>
        <v>1400</v>
      </c>
      <c r="D78" s="304">
        <f>IF(B78=0,"   ",C78/B78*100)</f>
        <v>100</v>
      </c>
      <c r="E78" s="305">
        <f>C78-B78</f>
        <v>0</v>
      </c>
    </row>
    <row r="79" spans="1:5" ht="13.5">
      <c r="A79" s="285" t="s">
        <v>95</v>
      </c>
      <c r="B79" s="306">
        <f>Лист1!B66+Лист2!B56+Лист3!B53+Лист4!B52+Лист5!B52+Лист6!B53+Лист7!B61+Лист8!B53+Лист9!B56+Лист10!B53</f>
        <v>1500</v>
      </c>
      <c r="C79" s="306">
        <f>Лист1!C66+Лист2!C56+Лист3!C53+Лист4!C52+Лист5!C52+Лист6!C53+Лист7!C61+Лист8!C53+Лист9!C56+Лист10!C53</f>
        <v>0</v>
      </c>
      <c r="D79" s="304">
        <f t="shared" si="4"/>
        <v>0</v>
      </c>
      <c r="E79" s="305">
        <f t="shared" si="6"/>
        <v>-1500</v>
      </c>
    </row>
    <row r="80" spans="1:5" ht="13.5">
      <c r="A80" s="285" t="s">
        <v>52</v>
      </c>
      <c r="B80" s="307">
        <f>SUM(B81:B85)</f>
        <v>263464.93</v>
      </c>
      <c r="C80" s="307">
        <f>SUM(C81:C85)</f>
        <v>236699.85</v>
      </c>
      <c r="D80" s="304">
        <f t="shared" si="4"/>
        <v>89.8411223080051</v>
      </c>
      <c r="E80" s="305">
        <f t="shared" si="6"/>
        <v>-26765.079999999987</v>
      </c>
    </row>
    <row r="81" spans="1:5" ht="27">
      <c r="A81" s="188" t="s">
        <v>243</v>
      </c>
      <c r="B81" s="306">
        <f>Лист7!B64</f>
        <v>2000</v>
      </c>
      <c r="C81" s="306">
        <f>Лист7!C64</f>
        <v>2000</v>
      </c>
      <c r="D81" s="304">
        <f>IF(B81=0,"   ",C81/B81*100)</f>
        <v>100</v>
      </c>
      <c r="E81" s="305">
        <f>C81-B81</f>
        <v>0</v>
      </c>
    </row>
    <row r="82" spans="1:5" ht="47.25" customHeight="1">
      <c r="A82" s="188" t="s">
        <v>244</v>
      </c>
      <c r="B82" s="306">
        <f>Лист3!B55+Лист7!B63+Лист1!B68+Лист2!B58+Лист4!B55+Лист5!B54+Лист6!B55+Лист8!B55+Лист9!B59+Лист10!B55</f>
        <v>150570.38</v>
      </c>
      <c r="C82" s="306">
        <f>Лист3!C55+Лист7!C63+Лист1!C68+Лист2!C58+Лист4!C55+Лист5!C54+Лист6!C55+Лист8!C55+Лист9!C59+Лист10!C55</f>
        <v>126215.3</v>
      </c>
      <c r="D82" s="304">
        <f>IF(B82=0,"   ",C82/B82*100)</f>
        <v>83.82478678741462</v>
      </c>
      <c r="E82" s="305">
        <f>C82-B82</f>
        <v>-24355.08</v>
      </c>
    </row>
    <row r="83" spans="1:5" ht="26.25" customHeight="1">
      <c r="A83" s="188" t="s">
        <v>304</v>
      </c>
      <c r="B83" s="306">
        <f>Лист3!B56</f>
        <v>0</v>
      </c>
      <c r="C83" s="306">
        <f>Лист3!C56</f>
        <v>0</v>
      </c>
      <c r="D83" s="304" t="str">
        <f t="shared" si="4"/>
        <v>   </v>
      </c>
      <c r="E83" s="305">
        <f>C83-B83</f>
        <v>0</v>
      </c>
    </row>
    <row r="84" spans="1:5" ht="22.5" customHeight="1">
      <c r="A84" s="188" t="s">
        <v>223</v>
      </c>
      <c r="B84" s="306">
        <f>Лист4!B54+Лист7!B66+Лист5!B55+Лист1!B69</f>
        <v>110894.55</v>
      </c>
      <c r="C84" s="306">
        <f>Лист4!C54+Лист7!C66+Лист5!C55+Лист1!C69</f>
        <v>108484.55</v>
      </c>
      <c r="D84" s="304">
        <f>IF(B84=0,"   ",C84/B84*100)</f>
        <v>97.82676425487095</v>
      </c>
      <c r="E84" s="305">
        <f>C84-B84</f>
        <v>-2410</v>
      </c>
    </row>
    <row r="85" spans="1:5" ht="33" customHeight="1">
      <c r="A85" s="188" t="s">
        <v>247</v>
      </c>
      <c r="B85" s="306">
        <f>Лист7!B65</f>
        <v>0</v>
      </c>
      <c r="C85" s="306">
        <f>Лист7!C65</f>
        <v>0</v>
      </c>
      <c r="D85" s="306" t="str">
        <f>Лист7!D65</f>
        <v>   </v>
      </c>
      <c r="E85" s="306">
        <f>Лист7!E65</f>
        <v>0</v>
      </c>
    </row>
    <row r="86" spans="1:5" ht="13.5">
      <c r="A86" s="285" t="s">
        <v>49</v>
      </c>
      <c r="B86" s="307">
        <f>SUM(B87)</f>
        <v>1388600</v>
      </c>
      <c r="C86" s="307">
        <f>SUM(C87)</f>
        <v>1388600</v>
      </c>
      <c r="D86" s="304">
        <f t="shared" si="4"/>
        <v>100</v>
      </c>
      <c r="E86" s="305">
        <f t="shared" si="6"/>
        <v>0</v>
      </c>
    </row>
    <row r="87" spans="1:5" ht="33" customHeight="1">
      <c r="A87" s="285" t="s">
        <v>107</v>
      </c>
      <c r="B87" s="306">
        <f>Лист1!B71+Лист2!B60+Лист3!B58+Лист4!B57+Лист5!B57+Лист6!B57+Лист7!B68+Лист8!B57+Лист9!B61+Лист10!B57</f>
        <v>1388600</v>
      </c>
      <c r="C87" s="306">
        <f>Лист1!C71+Лист2!C60+Лист3!C58+Лист4!C57+Лист5!C57+Лист6!C57+Лист7!C68+Лист8!C57+Лист9!C61+Лист10!C57</f>
        <v>1388600</v>
      </c>
      <c r="D87" s="304">
        <f t="shared" si="4"/>
        <v>100</v>
      </c>
      <c r="E87" s="305">
        <f t="shared" si="6"/>
        <v>0</v>
      </c>
    </row>
    <row r="88" spans="1:5" ht="27">
      <c r="A88" s="285" t="s">
        <v>37</v>
      </c>
      <c r="B88" s="306">
        <f>Лист1!B72+Лист2!B61+Лист3!B59+Лист4!B58+Лист5!B58+Лист6!B58+Лист7!B69+Лист8!B58+Лист9!B62+Лист10!B58</f>
        <v>789600</v>
      </c>
      <c r="C88" s="306">
        <f>Лист1!C72+Лист2!C61+Лист3!C59+Лист4!C58+Лист5!C58+Лист6!C58+Лист7!C69+Лист8!C58+Лист9!C62+Лист10!C58</f>
        <v>789597.75</v>
      </c>
      <c r="D88" s="304">
        <f t="shared" si="4"/>
        <v>99.99971504559271</v>
      </c>
      <c r="E88" s="305">
        <f t="shared" si="6"/>
        <v>-2.25</v>
      </c>
    </row>
    <row r="89" spans="1:5" ht="45" customHeight="1">
      <c r="A89" s="285" t="s">
        <v>87</v>
      </c>
      <c r="B89" s="307">
        <f>Лист7!B70</f>
        <v>778400</v>
      </c>
      <c r="C89" s="307">
        <f>Лист7!C70</f>
        <v>778397.75</v>
      </c>
      <c r="D89" s="304">
        <f t="shared" si="4"/>
        <v>99.99971094552929</v>
      </c>
      <c r="E89" s="305">
        <f t="shared" si="6"/>
        <v>-2.25</v>
      </c>
    </row>
    <row r="90" spans="1:5" ht="18.75" customHeight="1">
      <c r="A90" s="285" t="s">
        <v>96</v>
      </c>
      <c r="B90" s="306">
        <f>Лист7!B71</f>
        <v>778400</v>
      </c>
      <c r="C90" s="306">
        <f>Лист7!C71</f>
        <v>778397.75</v>
      </c>
      <c r="D90" s="304">
        <f t="shared" si="4"/>
        <v>99.99971094552929</v>
      </c>
      <c r="E90" s="305">
        <f t="shared" si="6"/>
        <v>-2.25</v>
      </c>
    </row>
    <row r="91" spans="1:5" ht="15.75" customHeight="1">
      <c r="A91" s="285" t="s">
        <v>121</v>
      </c>
      <c r="B91" s="306">
        <f>Лист7!B72</f>
        <v>687711</v>
      </c>
      <c r="C91" s="306">
        <f>Лист7!C72</f>
        <v>513396.2</v>
      </c>
      <c r="D91" s="304">
        <f t="shared" si="4"/>
        <v>74.65289925564663</v>
      </c>
      <c r="E91" s="305">
        <f t="shared" si="6"/>
        <v>-174314.8</v>
      </c>
    </row>
    <row r="92" spans="1:5" ht="13.5">
      <c r="A92" s="285" t="s">
        <v>97</v>
      </c>
      <c r="B92" s="306">
        <f>Лист1!B73+Лист2!B62+Лист3!B60+Лист4!B59+Лист5!B59+Лист6!B59+Лист7!B73+Лист8!B59+Лист9!B63+Лист10!B59</f>
        <v>11200</v>
      </c>
      <c r="C92" s="306">
        <f>Лист1!C73+Лист2!C62+Лист3!C60+Лист4!C59+Лист5!C59+Лист6!C59+Лист7!C73+Лист8!C59+Лист9!C63+Лист10!C59</f>
        <v>11200</v>
      </c>
      <c r="D92" s="304">
        <f t="shared" si="4"/>
        <v>100</v>
      </c>
      <c r="E92" s="305">
        <f t="shared" si="6"/>
        <v>0</v>
      </c>
    </row>
    <row r="93" spans="1:5" ht="13.5">
      <c r="A93" s="285" t="s">
        <v>38</v>
      </c>
      <c r="B93" s="307">
        <f>B101+B96+B116+B99+B94</f>
        <v>27260236.089999996</v>
      </c>
      <c r="C93" s="307">
        <f>C101+C96+C116+C99+C94</f>
        <v>26105562.529999997</v>
      </c>
      <c r="D93" s="304">
        <f t="shared" si="4"/>
        <v>95.76425693384375</v>
      </c>
      <c r="E93" s="305">
        <f t="shared" si="6"/>
        <v>-1154673.5599999987</v>
      </c>
    </row>
    <row r="94" spans="1:5" ht="13.5">
      <c r="A94" s="323" t="s">
        <v>241</v>
      </c>
      <c r="B94" s="307">
        <f>B95</f>
        <v>108600</v>
      </c>
      <c r="C94" s="307">
        <f>C95</f>
        <v>98798.73</v>
      </c>
      <c r="D94" s="304">
        <f>IF(B94=0,"   ",C94/B94*100)</f>
        <v>90.97488950276242</v>
      </c>
      <c r="E94" s="305">
        <f t="shared" si="6"/>
        <v>-9801.270000000004</v>
      </c>
    </row>
    <row r="95" spans="1:5" ht="27">
      <c r="A95" s="324" t="s">
        <v>242</v>
      </c>
      <c r="B95" s="307">
        <f>Лист7!B76</f>
        <v>108600</v>
      </c>
      <c r="C95" s="307">
        <f>Лист7!C76</f>
        <v>98798.73</v>
      </c>
      <c r="D95" s="304">
        <f>IF(B95=0,"   ",C95/B95*100)</f>
        <v>90.97488950276242</v>
      </c>
      <c r="E95" s="305">
        <f t="shared" si="6"/>
        <v>-9801.270000000004</v>
      </c>
    </row>
    <row r="96" spans="1:5" ht="15.75" customHeight="1">
      <c r="A96" s="325" t="s">
        <v>173</v>
      </c>
      <c r="B96" s="307">
        <f>B98+B97</f>
        <v>131279.9</v>
      </c>
      <c r="C96" s="307">
        <f>C98+C97</f>
        <v>6379.9</v>
      </c>
      <c r="D96" s="304">
        <f t="shared" si="4"/>
        <v>4.859769088794248</v>
      </c>
      <c r="E96" s="305">
        <f>C96-B96</f>
        <v>-124900</v>
      </c>
    </row>
    <row r="97" spans="1:5" ht="30" customHeight="1">
      <c r="A97" s="324" t="s">
        <v>169</v>
      </c>
      <c r="B97" s="307">
        <f>Лист10!B62+Лист7!B78+Лист2!B66+Лист6!B63+Лист1!B77+Лист3!B64+Лист4!B63+Лист5!B63+Лист8!B63+Лист9!B67</f>
        <v>6379.9</v>
      </c>
      <c r="C97" s="307">
        <f>Лист10!C62+Лист7!C78+Лист2!C66+Лист6!C63+Лист1!C77+Лист3!C64+Лист4!C63+Лист5!C63+Лист8!C63+Лист9!C67</f>
        <v>6379.9</v>
      </c>
      <c r="D97" s="304">
        <f t="shared" si="4"/>
        <v>100</v>
      </c>
      <c r="E97" s="305">
        <f>C97-B97</f>
        <v>0</v>
      </c>
    </row>
    <row r="98" spans="1:5" ht="27">
      <c r="A98" s="326" t="s">
        <v>166</v>
      </c>
      <c r="B98" s="307">
        <f>Лист1!B76+Лист2!B65+Лист3!B63+Лист4!B62+Лист5!B62+Лист6!B62+Лист7!B79+Лист8!B62+Лист9!B66+Лист10!B63</f>
        <v>124900</v>
      </c>
      <c r="C98" s="307">
        <f>Лист1!C76+Лист2!C65+Лист3!C63+Лист4!C62+Лист5!C62+Лист6!C62+Лист7!C79+Лист8!C62+Лист9!C66+Лист10!C63</f>
        <v>0</v>
      </c>
      <c r="D98" s="304">
        <f t="shared" si="4"/>
        <v>0</v>
      </c>
      <c r="E98" s="305">
        <f>C98-B98</f>
        <v>-124900</v>
      </c>
    </row>
    <row r="99" spans="1:5" ht="13.5">
      <c r="A99" s="323" t="s">
        <v>235</v>
      </c>
      <c r="B99" s="307">
        <f>B100</f>
        <v>274286.77</v>
      </c>
      <c r="C99" s="307">
        <f>C100</f>
        <v>176206.95</v>
      </c>
      <c r="D99" s="304">
        <f>IF(B99=0,"   ",C99/B99*100)</f>
        <v>64.24186992321941</v>
      </c>
      <c r="E99" s="305">
        <f>C99-B99</f>
        <v>-98079.82</v>
      </c>
    </row>
    <row r="100" spans="1:5" ht="27">
      <c r="A100" s="324" t="s">
        <v>232</v>
      </c>
      <c r="B100" s="307">
        <f>Лист7!B81+Лист2!B68+Лист1!B79+Лист6!B65+Лист8!B65</f>
        <v>274286.77</v>
      </c>
      <c r="C100" s="307">
        <f>Лист7!C81+Лист2!C68+Лист1!C79+Лист6!C65+Лист8!C65</f>
        <v>176206.95</v>
      </c>
      <c r="D100" s="304">
        <f>IF(B100=0,"   ",C100/B100*100)</f>
        <v>64.24186992321941</v>
      </c>
      <c r="E100" s="305">
        <f>C100-B100</f>
        <v>-98079.82</v>
      </c>
    </row>
    <row r="101" spans="1:5" ht="13.5">
      <c r="A101" s="327" t="s">
        <v>131</v>
      </c>
      <c r="B101" s="307">
        <f>SUM(B102,B106:B115)</f>
        <v>26350172.13</v>
      </c>
      <c r="C101" s="307">
        <f>SUM(C102,C106:C115)</f>
        <v>25491585.939999998</v>
      </c>
      <c r="D101" s="304">
        <f aca="true" t="shared" si="7" ref="D101:D122">IF(B101=0,"   ",C101/B101*100)</f>
        <v>96.74162967223091</v>
      </c>
      <c r="E101" s="305">
        <f t="shared" si="6"/>
        <v>-858586.1900000013</v>
      </c>
    </row>
    <row r="102" spans="1:5" ht="27">
      <c r="A102" s="188" t="s">
        <v>206</v>
      </c>
      <c r="B102" s="307">
        <f>Лист1!B82</f>
        <v>547029.64</v>
      </c>
      <c r="C102" s="307">
        <f>Лист1!C82</f>
        <v>547011.86</v>
      </c>
      <c r="D102" s="304">
        <f t="shared" si="7"/>
        <v>99.99674971908286</v>
      </c>
      <c r="E102" s="305">
        <f t="shared" si="6"/>
        <v>-17.78000000002794</v>
      </c>
    </row>
    <row r="103" spans="1:5" ht="41.25">
      <c r="A103" s="188" t="s">
        <v>216</v>
      </c>
      <c r="B103" s="307">
        <f>Лист1!B83</f>
        <v>328217.78</v>
      </c>
      <c r="C103" s="307">
        <f>Лист1!C83</f>
        <v>328200</v>
      </c>
      <c r="D103" s="304">
        <f t="shared" si="7"/>
        <v>99.99458286507208</v>
      </c>
      <c r="E103" s="305">
        <f t="shared" si="6"/>
        <v>-17.78000000002794</v>
      </c>
    </row>
    <row r="104" spans="1:5" ht="41.25">
      <c r="A104" s="188" t="s">
        <v>207</v>
      </c>
      <c r="B104" s="307">
        <f>Лист1!B84</f>
        <v>109811.86</v>
      </c>
      <c r="C104" s="307">
        <f>Лист1!C84</f>
        <v>109811.86</v>
      </c>
      <c r="D104" s="304">
        <f t="shared" si="7"/>
        <v>100</v>
      </c>
      <c r="E104" s="305">
        <f t="shared" si="6"/>
        <v>0</v>
      </c>
    </row>
    <row r="105" spans="1:5" ht="41.25">
      <c r="A105" s="188" t="s">
        <v>217</v>
      </c>
      <c r="B105" s="307">
        <f>Лист1!B85</f>
        <v>109000</v>
      </c>
      <c r="C105" s="307">
        <f>Лист1!C85</f>
        <v>109000</v>
      </c>
      <c r="D105" s="304">
        <f t="shared" si="7"/>
        <v>100</v>
      </c>
      <c r="E105" s="305">
        <f t="shared" si="6"/>
        <v>0</v>
      </c>
    </row>
    <row r="106" spans="1:5" ht="13.5">
      <c r="A106" s="326" t="s">
        <v>280</v>
      </c>
      <c r="B106" s="307">
        <f>Лист1!B81+Лист2!B70+Лист3!B66+Лист4!B65+Лист5!B65+Лист6!B67+Лист7!B83+Лист8!B67+Лист9!B69+Лист10!B65</f>
        <v>508251</v>
      </c>
      <c r="C106" s="307">
        <f>Лист1!C81+Лист2!C70+Лист3!C66+Лист4!C65+Лист5!C65+Лист6!C67+Лист7!C83+Лист8!C67+Лист9!C69+Лист10!C65</f>
        <v>364893.03</v>
      </c>
      <c r="D106" s="304">
        <f>IF(B106=0,"   ",C106/B106*100)</f>
        <v>71.79386366185211</v>
      </c>
      <c r="E106" s="305">
        <f>C106-B106</f>
        <v>-143357.96999999997</v>
      </c>
    </row>
    <row r="107" spans="1:5" ht="27">
      <c r="A107" s="324" t="s">
        <v>267</v>
      </c>
      <c r="B107" s="307">
        <f>Лист7!B90</f>
        <v>130000</v>
      </c>
      <c r="C107" s="307">
        <f>Лист7!C90</f>
        <v>130000</v>
      </c>
      <c r="D107" s="304">
        <f>IF(B107=0,"   ",C107/B107*100)</f>
        <v>100</v>
      </c>
      <c r="E107" s="305">
        <f>C107-B107</f>
        <v>0</v>
      </c>
    </row>
    <row r="108" spans="1:5" ht="42.75" customHeight="1">
      <c r="A108" s="188" t="s">
        <v>255</v>
      </c>
      <c r="B108" s="307">
        <f>Лист1!B86+Лист2!B71+Лист3!B67+Лист4!B66+Лист5!B66+Лист6!B68+Лист7!B84+Лист8!B68+Лист9!B70+Лист10!B66</f>
        <v>4329422.449999999</v>
      </c>
      <c r="C108" s="307">
        <f>Лист1!C86+Лист2!C71+Лист3!C67+Лист4!C66+Лист5!C66+Лист6!C68+Лист7!C84+Лист8!C68+Лист9!C70+Лист10!C66</f>
        <v>3827700.08</v>
      </c>
      <c r="D108" s="304">
        <f>IF(B108=0,"   ",C108/B108*100)</f>
        <v>88.41133255545438</v>
      </c>
      <c r="E108" s="305">
        <f>C108-B108</f>
        <v>-501722.3699999992</v>
      </c>
    </row>
    <row r="109" spans="1:5" ht="45" customHeight="1">
      <c r="A109" s="188" t="s">
        <v>256</v>
      </c>
      <c r="B109" s="307">
        <f>Лист1!B87+Лист2!B72+Лист3!B68+Лист4!B67+Лист5!B67+Лист6!B69+Лист7!B85+Лист8!B69+Лист9!B71+Лист10!B67</f>
        <v>1524376.04</v>
      </c>
      <c r="C109" s="307">
        <f>Лист1!C87+Лист2!C72+Лист3!C68+Лист4!C67+Лист5!C67+Лист6!C69+Лист7!C85+Лист8!C69+Лист9!C71+Лист10!C67</f>
        <v>1310950.97</v>
      </c>
      <c r="D109" s="304">
        <f t="shared" si="7"/>
        <v>85.99918495176557</v>
      </c>
      <c r="E109" s="305">
        <f t="shared" si="6"/>
        <v>-213425.07000000007</v>
      </c>
    </row>
    <row r="110" spans="1:5" ht="44.25" customHeight="1">
      <c r="A110" s="188" t="s">
        <v>257</v>
      </c>
      <c r="B110" s="307">
        <f>Лист1!B88+Лист2!B73+Лист3!B69+Лист4!B68+Лист5!B68+Лист6!B70+Лист7!B86+Лист8!B70+Лист9!B72+Лист10!B68</f>
        <v>10669000</v>
      </c>
      <c r="C110" s="307">
        <f>Лист1!C88+Лист2!C73+Лист3!C69+Лист4!C68+Лист5!C68+Лист6!C70+Лист7!C86+Лист8!C70+Лист9!C72+Лист10!C68</f>
        <v>10669000</v>
      </c>
      <c r="D110" s="304">
        <f t="shared" si="7"/>
        <v>100</v>
      </c>
      <c r="E110" s="305">
        <f t="shared" si="6"/>
        <v>0</v>
      </c>
    </row>
    <row r="111" spans="1:5" ht="48" customHeight="1">
      <c r="A111" s="188" t="s">
        <v>258</v>
      </c>
      <c r="B111" s="307">
        <f>Лист1!B89+Лист2!B74+Лист3!B70+Лист4!B69+Лист5!B69+Лист6!B71+Лист7!B87+Лист8!B71+Лист9!B73+Лист10!B69</f>
        <v>1185693</v>
      </c>
      <c r="C111" s="307">
        <f>Лист1!C89+Лист2!C74+Лист3!C70+Лист4!C69+Лист5!C69+Лист6!C71+Лист7!C87+Лист8!C71+Лист9!C73+Лист10!C69</f>
        <v>1185630</v>
      </c>
      <c r="D111" s="304">
        <f t="shared" si="7"/>
        <v>99.99468665160374</v>
      </c>
      <c r="E111" s="305">
        <f t="shared" si="6"/>
        <v>-63</v>
      </c>
    </row>
    <row r="112" spans="1:5" ht="48" customHeight="1">
      <c r="A112" s="188" t="s">
        <v>259</v>
      </c>
      <c r="B112" s="307">
        <f>Лист1!B90+Лист2!B75+Лист3!B71+Лист4!B70+Лист5!B70+Лист6!B72+Лист7!B88+Лист8!B72+Лист9!B74+Лист10!B70</f>
        <v>5182450</v>
      </c>
      <c r="C112" s="307">
        <f>Лист1!C90+Лист2!C75+Лист3!C71+Лист4!C70+Лист5!C70+Лист6!C72+Лист7!C88+Лист8!C72+Лист9!C74+Лист10!C70</f>
        <v>5182450</v>
      </c>
      <c r="D112" s="304">
        <f t="shared" si="7"/>
        <v>100</v>
      </c>
      <c r="E112" s="305">
        <f>C112-B112</f>
        <v>0</v>
      </c>
    </row>
    <row r="113" spans="1:5" ht="46.5" customHeight="1">
      <c r="A113" s="188" t="s">
        <v>260</v>
      </c>
      <c r="B113" s="307">
        <f>Лист1!B91+Лист2!B76+Лист3!B72+Лист4!B71+Лист5!B71+Лист6!B73+Лист7!B89+Лист8!B73+Лист9!B75+Лист10!B71</f>
        <v>576250</v>
      </c>
      <c r="C113" s="307">
        <f>Лист1!C91+Лист2!C76+Лист3!C72+Лист4!C71+Лист5!C71+Лист6!C73+Лист7!C89+Лист8!C73+Лист9!C75+Лист10!C71</f>
        <v>576250</v>
      </c>
      <c r="D113" s="304">
        <f t="shared" si="7"/>
        <v>100</v>
      </c>
      <c r="E113" s="305">
        <f t="shared" si="6"/>
        <v>0</v>
      </c>
    </row>
    <row r="114" spans="1:5" ht="45" customHeight="1">
      <c r="A114" s="188" t="s">
        <v>141</v>
      </c>
      <c r="B114" s="307">
        <f>Лист7!B91</f>
        <v>1612800</v>
      </c>
      <c r="C114" s="307">
        <f>Лист7!C91</f>
        <v>1612800</v>
      </c>
      <c r="D114" s="304">
        <f t="shared" si="7"/>
        <v>100</v>
      </c>
      <c r="E114" s="305">
        <f t="shared" si="6"/>
        <v>0</v>
      </c>
    </row>
    <row r="115" spans="1:5" ht="36" customHeight="1">
      <c r="A115" s="188" t="s">
        <v>245</v>
      </c>
      <c r="B115" s="307">
        <f>Лист7!B92</f>
        <v>84900</v>
      </c>
      <c r="C115" s="307">
        <f>Лист7!C92</f>
        <v>84900</v>
      </c>
      <c r="D115" s="304">
        <f>IF(B115=0,"   ",C115/B115*100)</f>
        <v>100</v>
      </c>
      <c r="E115" s="305">
        <f aca="true" t="shared" si="8" ref="E115:E142">C115-B115</f>
        <v>0</v>
      </c>
    </row>
    <row r="116" spans="1:5" ht="18.75" customHeight="1">
      <c r="A116" s="327" t="s">
        <v>177</v>
      </c>
      <c r="B116" s="307">
        <f>B117+B118</f>
        <v>395897.29000000004</v>
      </c>
      <c r="C116" s="307">
        <f>C117+C118</f>
        <v>332591.01</v>
      </c>
      <c r="D116" s="304">
        <f t="shared" si="7"/>
        <v>84.009418200362</v>
      </c>
      <c r="E116" s="305">
        <f t="shared" si="8"/>
        <v>-63306.28000000003</v>
      </c>
    </row>
    <row r="117" spans="1:5" ht="45" customHeight="1">
      <c r="A117" s="188" t="s">
        <v>155</v>
      </c>
      <c r="B117" s="307">
        <f>Лист1!B93+Лист2!B78+Лист7!B94+Лист9!B77</f>
        <v>175997.29</v>
      </c>
      <c r="C117" s="307">
        <f>Лист1!C93+Лист2!C78+Лист7!C94+Лист9!C77</f>
        <v>148191.01</v>
      </c>
      <c r="D117" s="304">
        <f t="shared" si="7"/>
        <v>84.2007339999383</v>
      </c>
      <c r="E117" s="305">
        <f t="shared" si="8"/>
        <v>-27806.28</v>
      </c>
    </row>
    <row r="118" spans="1:5" ht="44.25" customHeight="1">
      <c r="A118" s="324" t="s">
        <v>178</v>
      </c>
      <c r="B118" s="307">
        <f>Лист1!B94+Лист2!B79+Лист3!B74+Лист4!B73+Лист5!B73+Лист6!B75+Лист7!B95+Лист8!B75+Лист9!B78+Лист10!B73</f>
        <v>219900</v>
      </c>
      <c r="C118" s="307">
        <f>Лист1!C94+Лист2!C79+Лист3!C74+Лист4!C73+Лист5!C73+Лист6!C75+Лист7!C95+Лист8!C75+Лист9!C78+Лист10!C73</f>
        <v>184400</v>
      </c>
      <c r="D118" s="304">
        <f>IF(B118=0,"   ",C118/B118*100)</f>
        <v>83.85629831741701</v>
      </c>
      <c r="E118" s="305">
        <f t="shared" si="8"/>
        <v>-35500</v>
      </c>
    </row>
    <row r="119" spans="1:5" ht="15.75" customHeight="1">
      <c r="A119" s="285" t="s">
        <v>13</v>
      </c>
      <c r="B119" s="306">
        <f>SUM(B120,B123,B134,)</f>
        <v>115161266.17</v>
      </c>
      <c r="C119" s="306">
        <f>SUM(C120,C123,C134,)</f>
        <v>78098562.98</v>
      </c>
      <c r="D119" s="304">
        <f t="shared" si="7"/>
        <v>67.81669356145461</v>
      </c>
      <c r="E119" s="305">
        <f t="shared" si="8"/>
        <v>-37062703.19</v>
      </c>
    </row>
    <row r="120" spans="1:5" ht="14.25" customHeight="1">
      <c r="A120" s="285" t="s">
        <v>14</v>
      </c>
      <c r="B120" s="306">
        <f>SUM(B121:B122)</f>
        <v>236053.5</v>
      </c>
      <c r="C120" s="306">
        <f>SUM(C121:C122)</f>
        <v>236052.98</v>
      </c>
      <c r="D120" s="304">
        <f t="shared" si="7"/>
        <v>99.99977971095537</v>
      </c>
      <c r="E120" s="305">
        <f t="shared" si="8"/>
        <v>-0.5199999999895226</v>
      </c>
    </row>
    <row r="121" spans="1:5" ht="14.25" customHeight="1">
      <c r="A121" s="285" t="s">
        <v>92</v>
      </c>
      <c r="B121" s="306">
        <f>Лист7!B98+Лист9!B81+Лист1!B99</f>
        <v>193263</v>
      </c>
      <c r="C121" s="306">
        <f>Лист7!C98+Лист9!C81+Лист1!C99</f>
        <v>193262.48</v>
      </c>
      <c r="D121" s="304">
        <f t="shared" si="7"/>
        <v>99.99973093659935</v>
      </c>
      <c r="E121" s="305">
        <f t="shared" si="8"/>
        <v>-0.5199999999895226</v>
      </c>
    </row>
    <row r="122" spans="1:5" ht="21.75" customHeight="1">
      <c r="A122" s="285" t="s">
        <v>183</v>
      </c>
      <c r="B122" s="306">
        <f>Лист7!B99</f>
        <v>42790.5</v>
      </c>
      <c r="C122" s="306">
        <f>Лист7!C99</f>
        <v>42790.5</v>
      </c>
      <c r="D122" s="304">
        <f t="shared" si="7"/>
        <v>100</v>
      </c>
      <c r="E122" s="305">
        <f t="shared" si="8"/>
        <v>0</v>
      </c>
    </row>
    <row r="123" spans="1:5" ht="14.25" customHeight="1">
      <c r="A123" s="285" t="s">
        <v>70</v>
      </c>
      <c r="B123" s="306">
        <f>SUM(B124:B127:B129,B130)</f>
        <v>19814309.56</v>
      </c>
      <c r="C123" s="306">
        <f>SUM(C124:C127:C129,C130)</f>
        <v>9587858.58</v>
      </c>
      <c r="D123" s="304">
        <f aca="true" t="shared" si="9" ref="D123:D151">IF(B123=0,"   ",C123/B123*100)</f>
        <v>48.38855752690684</v>
      </c>
      <c r="E123" s="305">
        <f t="shared" si="8"/>
        <v>-10226450.979999999</v>
      </c>
    </row>
    <row r="124" spans="1:5" ht="13.5">
      <c r="A124" s="285" t="s">
        <v>71</v>
      </c>
      <c r="B124" s="306">
        <f>Лист7!B108</f>
        <v>300000</v>
      </c>
      <c r="C124" s="306">
        <f>Лист7!C108</f>
        <v>300000</v>
      </c>
      <c r="D124" s="304">
        <f t="shared" si="9"/>
        <v>100</v>
      </c>
      <c r="E124" s="305">
        <f t="shared" si="8"/>
        <v>0</v>
      </c>
    </row>
    <row r="125" spans="1:5" ht="27">
      <c r="A125" s="285" t="s">
        <v>299</v>
      </c>
      <c r="B125" s="306">
        <f>Лист1!B101+Лист2!B83+Лист3!B77+Лист5!B76+Лист6!B80+Лист7!B107+Лист8!B81+Лист9!B83+Лист10!B76</f>
        <v>18013890</v>
      </c>
      <c r="C125" s="306">
        <f>Лист1!C101+Лист2!C83+Лист3!C77+Лист5!C76+Лист6!C80+Лист7!C107+Лист8!C81+Лист9!C83+Лист10!C76</f>
        <v>8073713.02</v>
      </c>
      <c r="D125" s="304">
        <f t="shared" si="9"/>
        <v>44.819375604047764</v>
      </c>
      <c r="E125" s="305">
        <f t="shared" si="8"/>
        <v>-9940176.98</v>
      </c>
    </row>
    <row r="126" spans="1:5" ht="16.5" customHeight="1">
      <c r="A126" s="285" t="s">
        <v>303</v>
      </c>
      <c r="B126" s="306">
        <f>Лист3!B78+Лист6!B81+Лист9!B84+Лист1!B102+Лист5!B77+Лист8!B82</f>
        <v>614362</v>
      </c>
      <c r="C126" s="306">
        <f>Лист3!C78+Лист6!C81+Лист9!C84+Лист1!C102+Лист5!C77+Лист8!C82</f>
        <v>534138.6</v>
      </c>
      <c r="D126" s="304">
        <f>IF(B126=0,"   ",C126/B126*100)</f>
        <v>86.94199836578433</v>
      </c>
      <c r="E126" s="305">
        <f t="shared" si="8"/>
        <v>-80223.40000000002</v>
      </c>
    </row>
    <row r="127" spans="1:5" ht="41.25">
      <c r="A127" s="285" t="s">
        <v>195</v>
      </c>
      <c r="B127" s="306">
        <f>Лист8!B80+Лист7!B101+Лист6!B78+Лист2!B82</f>
        <v>163220.36</v>
      </c>
      <c r="C127" s="306">
        <f>Лист8!C80+Лист7!C101+Лист6!C78+Лист2!C82</f>
        <v>72468.31</v>
      </c>
      <c r="D127" s="304">
        <f t="shared" si="9"/>
        <v>44.39906271497012</v>
      </c>
      <c r="E127" s="305">
        <f t="shared" si="8"/>
        <v>-90752.04999999999</v>
      </c>
    </row>
    <row r="128" spans="1:5" ht="27">
      <c r="A128" s="302" t="s">
        <v>225</v>
      </c>
      <c r="B128" s="306">
        <f>Лист4!B75</f>
        <v>0</v>
      </c>
      <c r="C128" s="306">
        <f>Лист4!C75</f>
        <v>0</v>
      </c>
      <c r="D128" s="304" t="str">
        <f t="shared" si="9"/>
        <v>   </v>
      </c>
      <c r="E128" s="305">
        <f t="shared" si="8"/>
        <v>0</v>
      </c>
    </row>
    <row r="129" spans="1:5" ht="17.25" customHeight="1">
      <c r="A129" s="302" t="s">
        <v>159</v>
      </c>
      <c r="B129" s="306">
        <f>Лист7!B102+Лист6!B79</f>
        <v>210400</v>
      </c>
      <c r="C129" s="306">
        <f>Лист7!C102+Лист6!C79</f>
        <v>210400</v>
      </c>
      <c r="D129" s="304">
        <f t="shared" si="9"/>
        <v>100</v>
      </c>
      <c r="E129" s="305">
        <f t="shared" si="8"/>
        <v>0</v>
      </c>
    </row>
    <row r="130" spans="1:5" ht="33" customHeight="1">
      <c r="A130" s="188" t="s">
        <v>206</v>
      </c>
      <c r="B130" s="306">
        <f>SUM(B131:B133)</f>
        <v>512437.2</v>
      </c>
      <c r="C130" s="306">
        <f>SUM(C131:C133)</f>
        <v>397138.64999999997</v>
      </c>
      <c r="D130" s="304">
        <f t="shared" si="9"/>
        <v>77.49996487374452</v>
      </c>
      <c r="E130" s="305">
        <f t="shared" si="8"/>
        <v>-115298.55000000005</v>
      </c>
    </row>
    <row r="131" spans="1:5" ht="50.25" customHeight="1">
      <c r="A131" s="188" t="s">
        <v>187</v>
      </c>
      <c r="B131" s="306">
        <f>Лист1!B104+Лист9!B86</f>
        <v>307462.32</v>
      </c>
      <c r="C131" s="306">
        <f>Лист1!C104+Лист9!C86</f>
        <v>238283.19</v>
      </c>
      <c r="D131" s="304">
        <f t="shared" si="9"/>
        <v>77.49996487374453</v>
      </c>
      <c r="E131" s="305">
        <f t="shared" si="8"/>
        <v>-69179.13</v>
      </c>
    </row>
    <row r="132" spans="1:5" ht="44.25" customHeight="1">
      <c r="A132" s="188" t="s">
        <v>200</v>
      </c>
      <c r="B132" s="306">
        <f>Лист1!B105+Лист9!B87</f>
        <v>102487.44</v>
      </c>
      <c r="C132" s="306">
        <f>Лист1!C105+Лист9!C87</f>
        <v>79427.73</v>
      </c>
      <c r="D132" s="304">
        <f t="shared" si="9"/>
        <v>77.49996487374452</v>
      </c>
      <c r="E132" s="305">
        <f t="shared" si="8"/>
        <v>-23059.710000000006</v>
      </c>
    </row>
    <row r="133" spans="1:5" ht="26.25" customHeight="1">
      <c r="A133" s="188" t="s">
        <v>212</v>
      </c>
      <c r="B133" s="306">
        <f>Лист1!B106+Лист9!B88</f>
        <v>102487.44</v>
      </c>
      <c r="C133" s="306">
        <f>Лист1!C106+Лист9!C88</f>
        <v>79427.73</v>
      </c>
      <c r="D133" s="304">
        <f t="shared" si="9"/>
        <v>77.49996487374452</v>
      </c>
      <c r="E133" s="305">
        <f t="shared" si="8"/>
        <v>-23059.710000000006</v>
      </c>
    </row>
    <row r="134" spans="1:5" ht="13.5">
      <c r="A134" s="285" t="s">
        <v>72</v>
      </c>
      <c r="B134" s="306">
        <f>B135+B139+B140+B141+B157+B147+B136+B138+B143+B153+B142+B137+B152</f>
        <v>95110903.11</v>
      </c>
      <c r="C134" s="306">
        <f>C135+C139+C140+C141+C157+C147+C136+C138+C143+C153+C142+C137</f>
        <v>68274651.42</v>
      </c>
      <c r="D134" s="304">
        <f t="shared" si="9"/>
        <v>71.7842531061211</v>
      </c>
      <c r="E134" s="305">
        <f t="shared" si="8"/>
        <v>-26836251.689999998</v>
      </c>
    </row>
    <row r="135" spans="1:5" ht="13.5">
      <c r="A135" s="285" t="s">
        <v>60</v>
      </c>
      <c r="B135" s="306">
        <f>Лист1!B109+Лист2!B90+Лист3!B80+Лист4!B77+Лист5!B83+Лист6!B87+Лист7!B110+Лист8!B84+Лист9!B90+Лист10!B78</f>
        <v>6961242.58</v>
      </c>
      <c r="C135" s="306">
        <f>Лист1!C109+Лист2!C90+Лист3!C80+Лист4!C77+Лист5!C83+Лист6!C87+Лист7!C110+Лист8!C84+Лист9!C90+Лист10!C78</f>
        <v>6960942.58</v>
      </c>
      <c r="D135" s="304">
        <f t="shared" si="9"/>
        <v>99.99569042456785</v>
      </c>
      <c r="E135" s="305">
        <f t="shared" si="8"/>
        <v>-300</v>
      </c>
    </row>
    <row r="136" spans="1:5" ht="27" customHeight="1">
      <c r="A136" s="285" t="s">
        <v>218</v>
      </c>
      <c r="B136" s="306">
        <f>Лист7!B111</f>
        <v>0</v>
      </c>
      <c r="C136" s="306">
        <f>Лист7!C111</f>
        <v>0</v>
      </c>
      <c r="D136" s="304" t="str">
        <f t="shared" si="9"/>
        <v>   </v>
      </c>
      <c r="E136" s="305">
        <f t="shared" si="8"/>
        <v>0</v>
      </c>
    </row>
    <row r="137" spans="1:5" ht="27" customHeight="1">
      <c r="A137" s="188" t="s">
        <v>301</v>
      </c>
      <c r="B137" s="306">
        <f>Лист7!B116</f>
        <v>280000</v>
      </c>
      <c r="C137" s="306">
        <f>Лист7!C116</f>
        <v>280000</v>
      </c>
      <c r="D137" s="304">
        <f>IF(B137=0,"   ",C137/B137*100)</f>
        <v>100</v>
      </c>
      <c r="E137" s="305">
        <f t="shared" si="8"/>
        <v>0</v>
      </c>
    </row>
    <row r="138" spans="1:5" ht="23.25" customHeight="1">
      <c r="A138" s="188" t="s">
        <v>248</v>
      </c>
      <c r="B138" s="306">
        <f>Лист7!B125</f>
        <v>841200</v>
      </c>
      <c r="C138" s="306">
        <f>Лист7!C125</f>
        <v>841200</v>
      </c>
      <c r="D138" s="304">
        <f t="shared" si="9"/>
        <v>100</v>
      </c>
      <c r="E138" s="305">
        <f t="shared" si="8"/>
        <v>0</v>
      </c>
    </row>
    <row r="139" spans="1:5" ht="13.5">
      <c r="A139" s="285" t="s">
        <v>73</v>
      </c>
      <c r="B139" s="306">
        <f>Лист7!B112</f>
        <v>247900</v>
      </c>
      <c r="C139" s="306">
        <f>Лист7!C112</f>
        <v>247900</v>
      </c>
      <c r="D139" s="304">
        <f t="shared" si="9"/>
        <v>100</v>
      </c>
      <c r="E139" s="305">
        <f t="shared" si="8"/>
        <v>0</v>
      </c>
    </row>
    <row r="140" spans="1:5" ht="13.5">
      <c r="A140" s="285" t="s">
        <v>74</v>
      </c>
      <c r="B140" s="306">
        <f>Лист7!B113</f>
        <v>29028</v>
      </c>
      <c r="C140" s="306">
        <f>Лист7!C113</f>
        <v>29028</v>
      </c>
      <c r="D140" s="304">
        <f t="shared" si="9"/>
        <v>100</v>
      </c>
      <c r="E140" s="305">
        <f t="shared" si="8"/>
        <v>0</v>
      </c>
    </row>
    <row r="141" spans="1:5" ht="13.5">
      <c r="A141" s="285" t="s">
        <v>75</v>
      </c>
      <c r="B141" s="306">
        <f>Лист1!B111+Лист3!B81+Лист4!B78+Лист5!B84+Лист7!B114+Лист8!B86+Лист9!B91+Лист10!B80+Лист6!B88+Лист2!B100</f>
        <v>1643295.35</v>
      </c>
      <c r="C141" s="306">
        <f>Лист1!C111+Лист3!C81+Лист4!C78+Лист5!C84+Лист7!C114+Лист8!C86+Лист9!C91+Лист10!C80+Лист6!C88+Лист2!C100</f>
        <v>1594145.4</v>
      </c>
      <c r="D141" s="304">
        <f t="shared" si="9"/>
        <v>97.00906170032063</v>
      </c>
      <c r="E141" s="305">
        <f t="shared" si="8"/>
        <v>-49149.950000000186</v>
      </c>
    </row>
    <row r="142" spans="1:5" ht="27">
      <c r="A142" s="188" t="s">
        <v>300</v>
      </c>
      <c r="B142" s="306">
        <f>Лист1!B112+Лист3!B87+Лист4!B83+Лист5!B90+Лист7!B115+Лист8!B85+Лист9!B92+Лист10!B79+Лист6!B93+Лист2!B101</f>
        <v>8100000</v>
      </c>
      <c r="C142" s="306">
        <f>Лист1!C112+Лист3!C87+Лист4!C83+Лист5!C90+Лист7!C115+Лист8!C85+Лист9!C92+Лист10!C79+Лист6!C93+Лист2!C101</f>
        <v>8093000</v>
      </c>
      <c r="D142" s="304">
        <f>IF(B142=0,"   ",C142/B142*100)</f>
        <v>99.91358024691358</v>
      </c>
      <c r="E142" s="305">
        <f t="shared" si="8"/>
        <v>-7000</v>
      </c>
    </row>
    <row r="143" spans="1:5" ht="27">
      <c r="A143" s="188" t="s">
        <v>206</v>
      </c>
      <c r="B143" s="306">
        <f>SUM(B144:B146)</f>
        <v>2669846.1</v>
      </c>
      <c r="C143" s="306">
        <f>SUM(C144:C146)</f>
        <v>2081044.3599999999</v>
      </c>
      <c r="D143" s="304">
        <f>IF(B143=0,"   ",C143/B143*100)</f>
        <v>77.94622918527025</v>
      </c>
      <c r="E143" s="305">
        <f aca="true" t="shared" si="10" ref="E143:E148">C143-B143</f>
        <v>-588801.7400000002</v>
      </c>
    </row>
    <row r="144" spans="1:5" ht="41.25">
      <c r="A144" s="188" t="s">
        <v>213</v>
      </c>
      <c r="B144" s="306">
        <f>Лист1!B114+Лист2!B92+Лист4!B80+Лист6!B90+Лист9!B94+Лист10!B82+Лист5!B87+Лист7!B122</f>
        <v>1837419.9000000001</v>
      </c>
      <c r="C144" s="306">
        <f>Лист1!C114+Лист2!C92+Лист4!C80+Лист6!C90+Лист9!C94+Лист10!C82+Лист5!C87+Лист7!C122</f>
        <v>1248618.1600000001</v>
      </c>
      <c r="D144" s="304">
        <f>IF(B144=0,"   ",C144/B144*100)</f>
        <v>67.95497098948367</v>
      </c>
      <c r="E144" s="305">
        <f t="shared" si="10"/>
        <v>-588801.74</v>
      </c>
    </row>
    <row r="145" spans="1:5" ht="41.25">
      <c r="A145" s="188" t="s">
        <v>214</v>
      </c>
      <c r="B145" s="306">
        <f>Лист1!B115+Лист2!B93+Лист4!B81+Лист6!B91+Лист9!B95+Лист10!B83+Лист5!B88+Лист7!B123</f>
        <v>581366.59</v>
      </c>
      <c r="C145" s="306">
        <f>Лист1!C115+Лист2!C93+Лист4!C81+Лист6!C91+Лист9!C95+Лист10!C83+Лист5!C88+Лист7!C123</f>
        <v>581366.59</v>
      </c>
      <c r="D145" s="304">
        <f>IF(B145=0,"   ",C145/B145*100)</f>
        <v>100</v>
      </c>
      <c r="E145" s="305">
        <f t="shared" si="10"/>
        <v>0</v>
      </c>
    </row>
    <row r="146" spans="1:5" ht="24.75" customHeight="1">
      <c r="A146" s="188" t="s">
        <v>215</v>
      </c>
      <c r="B146" s="306">
        <f>Лист1!B116+Лист2!B94+Лист4!B82+Лист6!B92+Лист9!B96+Лист10!B84+Лист5!B89+Лист7!B124</f>
        <v>251059.61</v>
      </c>
      <c r="C146" s="306">
        <f>Лист1!C116+Лист2!C94+Лист4!C82+Лист6!C92+Лист9!C96+Лист10!C84+Лист5!C89+Лист7!C124</f>
        <v>251059.61</v>
      </c>
      <c r="D146" s="304">
        <f>IF(B146=0,"   ",C146/B146*100)</f>
        <v>100</v>
      </c>
      <c r="E146" s="305">
        <f t="shared" si="10"/>
        <v>0</v>
      </c>
    </row>
    <row r="147" spans="1:5" ht="13.5">
      <c r="A147" s="188" t="s">
        <v>272</v>
      </c>
      <c r="B147" s="306">
        <f>SUM(B148:B151)</f>
        <v>520700</v>
      </c>
      <c r="C147" s="306">
        <f>SUM(C148:C151)</f>
        <v>520700</v>
      </c>
      <c r="D147" s="304">
        <f t="shared" si="9"/>
        <v>100</v>
      </c>
      <c r="E147" s="305">
        <f t="shared" si="10"/>
        <v>0</v>
      </c>
    </row>
    <row r="148" spans="1:5" ht="13.5">
      <c r="A148" s="188" t="s">
        <v>273</v>
      </c>
      <c r="B148" s="306">
        <f>Лист2!B96+Лист9!B98</f>
        <v>360889.06</v>
      </c>
      <c r="C148" s="306">
        <f>Лист2!C96+Лист9!C98</f>
        <v>360889.06</v>
      </c>
      <c r="D148" s="304">
        <f t="shared" si="9"/>
        <v>100</v>
      </c>
      <c r="E148" s="305">
        <f t="shared" si="10"/>
        <v>0</v>
      </c>
    </row>
    <row r="149" spans="1:5" ht="13.5">
      <c r="A149" s="188" t="s">
        <v>274</v>
      </c>
      <c r="B149" s="306">
        <f>Лист2!B97+Лист9!B99</f>
        <v>3645.34</v>
      </c>
      <c r="C149" s="306">
        <f>Лист2!C97+Лист9!C99</f>
        <v>3645.34</v>
      </c>
      <c r="D149" s="304">
        <f t="shared" si="9"/>
        <v>100</v>
      </c>
      <c r="E149" s="305">
        <f aca="true" t="shared" si="11" ref="E149:E171">C149-B149</f>
        <v>0</v>
      </c>
    </row>
    <row r="150" spans="1:5" ht="13.5">
      <c r="A150" s="188" t="s">
        <v>275</v>
      </c>
      <c r="B150" s="306">
        <f>Лист2!B98+Лист9!B100</f>
        <v>78116.05</v>
      </c>
      <c r="C150" s="306">
        <f>Лист2!C98+Лист9!C100</f>
        <v>78116.05</v>
      </c>
      <c r="D150" s="304">
        <f t="shared" si="9"/>
        <v>100</v>
      </c>
      <c r="E150" s="305">
        <f t="shared" si="11"/>
        <v>0</v>
      </c>
    </row>
    <row r="151" spans="1:5" ht="13.5">
      <c r="A151" s="188" t="s">
        <v>276</v>
      </c>
      <c r="B151" s="306">
        <f>Лист2!B99+Лист9!B101</f>
        <v>78049.54999999999</v>
      </c>
      <c r="C151" s="306">
        <f>Лист2!C99+Лист9!C101</f>
        <v>78049.54999999999</v>
      </c>
      <c r="D151" s="304">
        <f t="shared" si="9"/>
        <v>100</v>
      </c>
      <c r="E151" s="305">
        <f t="shared" si="11"/>
        <v>0</v>
      </c>
    </row>
    <row r="152" spans="1:5" ht="27">
      <c r="A152" s="188" t="s">
        <v>317</v>
      </c>
      <c r="B152" s="303">
        <f>Лист7!B126</f>
        <v>26191000</v>
      </c>
      <c r="C152" s="303">
        <f>Лист7!C126</f>
        <v>0</v>
      </c>
      <c r="D152" s="304">
        <f>IF(B152=0,"   ",C152/B152*100)</f>
        <v>0</v>
      </c>
      <c r="E152" s="305">
        <f>C152-B152</f>
        <v>-26191000</v>
      </c>
    </row>
    <row r="153" spans="1:5" ht="27">
      <c r="A153" s="188" t="s">
        <v>287</v>
      </c>
      <c r="B153" s="303">
        <f>B154+B156+B155</f>
        <v>41413245.18</v>
      </c>
      <c r="C153" s="303">
        <f>C154+C156+C155</f>
        <v>41413245.18</v>
      </c>
      <c r="D153" s="304">
        <f>IF(B153=0,"   ",C153/B153*100)</f>
        <v>100</v>
      </c>
      <c r="E153" s="305">
        <f t="shared" si="11"/>
        <v>0</v>
      </c>
    </row>
    <row r="154" spans="1:5" ht="27">
      <c r="A154" s="188" t="s">
        <v>271</v>
      </c>
      <c r="B154" s="303">
        <f>Лист7!B128</f>
        <v>38928450.47</v>
      </c>
      <c r="C154" s="303">
        <f>Лист7!C128</f>
        <v>38928450.47</v>
      </c>
      <c r="D154" s="304">
        <f>IF(B154=0,"   ",C154/B154*100)</f>
        <v>100</v>
      </c>
      <c r="E154" s="305">
        <f t="shared" si="11"/>
        <v>0</v>
      </c>
    </row>
    <row r="155" spans="1:5" ht="27">
      <c r="A155" s="188" t="s">
        <v>288</v>
      </c>
      <c r="B155" s="303">
        <f>Лист7!B129</f>
        <v>2070662.26</v>
      </c>
      <c r="C155" s="303">
        <f>Лист7!C129</f>
        <v>2070662.26</v>
      </c>
      <c r="D155" s="304">
        <f>IF(B155=0,"   ",C155/B155*100)</f>
        <v>100</v>
      </c>
      <c r="E155" s="305">
        <f t="shared" si="11"/>
        <v>0</v>
      </c>
    </row>
    <row r="156" spans="1:5" ht="27">
      <c r="A156" s="188" t="s">
        <v>289</v>
      </c>
      <c r="B156" s="303">
        <f>Лист7!B130</f>
        <v>414132.45</v>
      </c>
      <c r="C156" s="303">
        <f>Лист7!C130</f>
        <v>414132.45</v>
      </c>
      <c r="D156" s="304">
        <f>IF(B156=0,"   ",C156/B156*100)</f>
        <v>100</v>
      </c>
      <c r="E156" s="305">
        <f t="shared" si="11"/>
        <v>0</v>
      </c>
    </row>
    <row r="157" spans="1:5" ht="33.75" customHeight="1">
      <c r="A157" s="188" t="s">
        <v>182</v>
      </c>
      <c r="B157" s="303">
        <f>B158+B160+B159</f>
        <v>6213445.9</v>
      </c>
      <c r="C157" s="303">
        <f>C158+C160+C159</f>
        <v>6213445.9</v>
      </c>
      <c r="D157" s="314">
        <f>IF(B157=0,"   ",C157/B157)</f>
        <v>1</v>
      </c>
      <c r="E157" s="315">
        <f t="shared" si="11"/>
        <v>0</v>
      </c>
    </row>
    <row r="158" spans="1:5" ht="13.5">
      <c r="A158" s="188" t="s">
        <v>180</v>
      </c>
      <c r="B158" s="303">
        <f>Лист7!B118</f>
        <v>6151311.44</v>
      </c>
      <c r="C158" s="303">
        <f>Лист7!C118</f>
        <v>6151311.44</v>
      </c>
      <c r="D158" s="314">
        <f>IF(B158=0,"   ",C158/B158)</f>
        <v>1</v>
      </c>
      <c r="E158" s="315">
        <f t="shared" si="11"/>
        <v>0</v>
      </c>
    </row>
    <row r="159" spans="1:5" ht="13.5">
      <c r="A159" s="188" t="s">
        <v>181</v>
      </c>
      <c r="B159" s="303">
        <f>Лист7!B119</f>
        <v>43494.12</v>
      </c>
      <c r="C159" s="303">
        <f>Лист7!C119</f>
        <v>43494.12</v>
      </c>
      <c r="D159" s="314">
        <f>IF(B159=0,"   ",C159/B159)</f>
        <v>1</v>
      </c>
      <c r="E159" s="315">
        <f t="shared" si="11"/>
        <v>0</v>
      </c>
    </row>
    <row r="160" spans="1:5" ht="13.5">
      <c r="A160" s="188" t="s">
        <v>194</v>
      </c>
      <c r="B160" s="303">
        <f>Лист7!B120</f>
        <v>18640.34</v>
      </c>
      <c r="C160" s="303">
        <f>Лист7!C120</f>
        <v>18640.34</v>
      </c>
      <c r="D160" s="314">
        <f>IF(B160=0,"   ",C160/B160)</f>
        <v>1</v>
      </c>
      <c r="E160" s="315">
        <f t="shared" si="11"/>
        <v>0</v>
      </c>
    </row>
    <row r="161" spans="1:5" ht="13.5">
      <c r="A161" s="285" t="s">
        <v>17</v>
      </c>
      <c r="B161" s="306">
        <f>Лист1!B117+Лист2!B102+Лист3!B88+Лист4!B84+Лист5!B91+Лист6!B94+Лист7!B131+Лист8!B92+Лист9!B102+Лист10!B85</f>
        <v>40000</v>
      </c>
      <c r="C161" s="306">
        <f>Лист1!C117+Лист2!C102+Лист3!C88+Лист4!C84+Лист5!C91+Лист6!C94+Лист7!C131+Лист8!C92+Лист9!C102+Лист10!C85</f>
        <v>40000</v>
      </c>
      <c r="D161" s="304">
        <f aca="true" t="shared" si="12" ref="D161:D171">IF(B161=0,"   ",C161/B161*100)</f>
        <v>100</v>
      </c>
      <c r="E161" s="305">
        <f t="shared" si="11"/>
        <v>0</v>
      </c>
    </row>
    <row r="162" spans="1:5" ht="27">
      <c r="A162" s="285" t="s">
        <v>41</v>
      </c>
      <c r="B162" s="303">
        <f>SUM(B163,)</f>
        <v>21733719.49</v>
      </c>
      <c r="C162" s="303">
        <f>C163</f>
        <v>19019572.259999998</v>
      </c>
      <c r="D162" s="304">
        <f t="shared" si="12"/>
        <v>87.5118143893924</v>
      </c>
      <c r="E162" s="305">
        <f t="shared" si="11"/>
        <v>-2714147.2300000004</v>
      </c>
    </row>
    <row r="163" spans="1:5" ht="13.5">
      <c r="A163" s="285" t="s">
        <v>42</v>
      </c>
      <c r="B163" s="306">
        <f>Лист1!B119+Лист2!B104+Лист3!B90+Лист4!B86+Лист5!B93+Лист6!B96+Лист7!B133+Лист8!B94+Лист9!B104+Лист10!B87</f>
        <v>21733719.49</v>
      </c>
      <c r="C163" s="306">
        <f>Лист1!C119+Лист2!C104+Лист3!C90+Лист4!C86+Лист5!C93+Лист6!C96+Лист7!C133+Лист8!C94+Лист9!C104+Лист10!C87</f>
        <v>19019572.259999998</v>
      </c>
      <c r="D163" s="304">
        <f t="shared" si="12"/>
        <v>87.5118143893924</v>
      </c>
      <c r="E163" s="305">
        <f t="shared" si="11"/>
        <v>-2714147.2300000004</v>
      </c>
    </row>
    <row r="164" spans="1:5" ht="32.25" customHeight="1">
      <c r="A164" s="285" t="s">
        <v>143</v>
      </c>
      <c r="B164" s="306">
        <f>Лист1!B119+Лист2!B105+Лист3!B91+Лист4!B86+Лист5!B93+Лист6!B97+Лист7!B134+Лист8!B94+Лист9!B104+Лист10!B87</f>
        <v>10711040</v>
      </c>
      <c r="C164" s="306">
        <f>Лист1!C119+Лист2!C105+Лист3!C91+Лист4!C86+Лист5!C93+Лист6!C97+Лист7!C134+Лист8!C94+Лист9!C104+Лист10!C87</f>
        <v>9389286.19</v>
      </c>
      <c r="D164" s="304">
        <f t="shared" si="12"/>
        <v>87.65989287688217</v>
      </c>
      <c r="E164" s="305">
        <f t="shared" si="11"/>
        <v>-1321753.8100000005</v>
      </c>
    </row>
    <row r="165" spans="1:5" ht="16.5" customHeight="1">
      <c r="A165" s="285" t="s">
        <v>261</v>
      </c>
      <c r="B165" s="306">
        <f>Лист2!B107</f>
        <v>78602.71</v>
      </c>
      <c r="C165" s="306">
        <f>Лист2!C107</f>
        <v>43062.69</v>
      </c>
      <c r="D165" s="304">
        <f t="shared" si="12"/>
        <v>54.78524849842963</v>
      </c>
      <c r="E165" s="305">
        <f t="shared" si="11"/>
        <v>-35540.020000000004</v>
      </c>
    </row>
    <row r="166" spans="1:5" ht="18" customHeight="1">
      <c r="A166" s="335" t="s">
        <v>314</v>
      </c>
      <c r="B166" s="306">
        <f>Лист6!B98</f>
        <v>940000</v>
      </c>
      <c r="C166" s="306">
        <f>Лист6!C98</f>
        <v>940000</v>
      </c>
      <c r="D166" s="304">
        <f>IF(B166=0,"   ",C166/B166*100)</f>
        <v>100</v>
      </c>
      <c r="E166" s="305">
        <f t="shared" si="11"/>
        <v>0</v>
      </c>
    </row>
    <row r="167" spans="1:5" ht="18" customHeight="1">
      <c r="A167" s="335" t="s">
        <v>315</v>
      </c>
      <c r="B167" s="306">
        <f>Лист6!B99</f>
        <v>60000</v>
      </c>
      <c r="C167" s="306">
        <f>Лист6!C99</f>
        <v>60000</v>
      </c>
      <c r="D167" s="304">
        <f>IF(B167=0,"   ",C167/B167*100)</f>
        <v>100</v>
      </c>
      <c r="E167" s="305">
        <f t="shared" si="11"/>
        <v>0</v>
      </c>
    </row>
    <row r="168" spans="1:5" ht="25.5" customHeight="1">
      <c r="A168" s="285" t="s">
        <v>203</v>
      </c>
      <c r="B168" s="306">
        <f>Лист3!B93+Лист6!B100+Лист2!B106</f>
        <v>333500</v>
      </c>
      <c r="C168" s="306">
        <f>Лист3!C93+Лист6!C100+Лист2!C106</f>
        <v>215446.6</v>
      </c>
      <c r="D168" s="304">
        <f t="shared" si="12"/>
        <v>64.60167916041979</v>
      </c>
      <c r="E168" s="305">
        <f t="shared" si="11"/>
        <v>-118053.4</v>
      </c>
    </row>
    <row r="169" spans="1:5" ht="25.5" customHeight="1">
      <c r="A169" s="285" t="s">
        <v>292</v>
      </c>
      <c r="B169" s="306">
        <f>Лист7!B137</f>
        <v>938800</v>
      </c>
      <c r="C169" s="306">
        <f>Лист7!C137</f>
        <v>938800</v>
      </c>
      <c r="D169" s="304">
        <f>IF(B169=0,"   ",C169/B169*100)</f>
        <v>100</v>
      </c>
      <c r="E169" s="305">
        <f t="shared" si="11"/>
        <v>0</v>
      </c>
    </row>
    <row r="170" spans="1:5" ht="21.75" customHeight="1">
      <c r="A170" s="285" t="s">
        <v>193</v>
      </c>
      <c r="B170" s="306">
        <f>Лист7!B135</f>
        <v>1238800</v>
      </c>
      <c r="C170" s="306">
        <f>Лист7!C135</f>
        <v>0</v>
      </c>
      <c r="D170" s="304">
        <f t="shared" si="12"/>
        <v>0</v>
      </c>
      <c r="E170" s="305">
        <f t="shared" si="11"/>
        <v>-1238800</v>
      </c>
    </row>
    <row r="171" spans="1:5" ht="25.5" customHeight="1">
      <c r="A171" s="285" t="s">
        <v>144</v>
      </c>
      <c r="B171" s="306">
        <f>Лист7!B136</f>
        <v>1349988.39</v>
      </c>
      <c r="C171" s="306">
        <f>Лист7!C136</f>
        <v>1349988.39</v>
      </c>
      <c r="D171" s="304">
        <f t="shared" si="12"/>
        <v>100</v>
      </c>
      <c r="E171" s="305">
        <f t="shared" si="11"/>
        <v>0</v>
      </c>
    </row>
    <row r="172" spans="1:5" ht="30.75" customHeight="1">
      <c r="A172" s="285" t="s">
        <v>265</v>
      </c>
      <c r="B172" s="306">
        <f>Лист7!B138</f>
        <v>6082988.39</v>
      </c>
      <c r="C172" s="306">
        <f>Лист7!C138</f>
        <v>6082988.39</v>
      </c>
      <c r="D172" s="304">
        <f aca="true" t="shared" si="13" ref="D172:D177">IF(B172=0,"   ",C172/B172*100)</f>
        <v>100</v>
      </c>
      <c r="E172" s="305">
        <f aca="true" t="shared" si="14" ref="E172:E185">C172-B172</f>
        <v>0</v>
      </c>
    </row>
    <row r="173" spans="1:5" ht="25.5" customHeight="1">
      <c r="A173" s="188" t="s">
        <v>180</v>
      </c>
      <c r="B173" s="306">
        <f>Лист7!B139</f>
        <v>4340232.21</v>
      </c>
      <c r="C173" s="306">
        <f>Лист7!C139</f>
        <v>4340232.21</v>
      </c>
      <c r="D173" s="304">
        <f t="shared" si="13"/>
        <v>100</v>
      </c>
      <c r="E173" s="305">
        <f t="shared" si="14"/>
        <v>0</v>
      </c>
    </row>
    <row r="174" spans="1:5" ht="25.5" customHeight="1">
      <c r="A174" s="188" t="s">
        <v>181</v>
      </c>
      <c r="B174" s="306">
        <f>Лист7!B140</f>
        <v>1659767.79</v>
      </c>
      <c r="C174" s="306">
        <f>Лист7!C140</f>
        <v>1659767.79</v>
      </c>
      <c r="D174" s="304">
        <f t="shared" si="13"/>
        <v>100</v>
      </c>
      <c r="E174" s="305">
        <f t="shared" si="14"/>
        <v>0</v>
      </c>
    </row>
    <row r="175" spans="1:5" ht="30.75" customHeight="1">
      <c r="A175" s="188" t="s">
        <v>192</v>
      </c>
      <c r="B175" s="306">
        <f>Лист7!B141</f>
        <v>82988.39</v>
      </c>
      <c r="C175" s="306">
        <f>Лист7!C141</f>
        <v>82988.39</v>
      </c>
      <c r="D175" s="304">
        <f t="shared" si="13"/>
        <v>100</v>
      </c>
      <c r="E175" s="305">
        <f t="shared" si="14"/>
        <v>0</v>
      </c>
    </row>
    <row r="176" spans="1:5" ht="21.75" customHeight="1">
      <c r="A176" s="285" t="s">
        <v>233</v>
      </c>
      <c r="B176" s="306">
        <f>SUM(B177,)</f>
        <v>1219.77</v>
      </c>
      <c r="C176" s="306">
        <f>SUM(C177,)</f>
        <v>1219.77</v>
      </c>
      <c r="D176" s="304">
        <f t="shared" si="13"/>
        <v>100</v>
      </c>
      <c r="E176" s="305">
        <f t="shared" si="14"/>
        <v>0</v>
      </c>
    </row>
    <row r="177" spans="1:5" ht="19.5" customHeight="1">
      <c r="A177" s="285" t="s">
        <v>234</v>
      </c>
      <c r="B177" s="306">
        <f>Лист10!B89</f>
        <v>1219.77</v>
      </c>
      <c r="C177" s="306">
        <f>Лист10!C89</f>
        <v>1219.77</v>
      </c>
      <c r="D177" s="304">
        <f t="shared" si="13"/>
        <v>100</v>
      </c>
      <c r="E177" s="305">
        <f t="shared" si="14"/>
        <v>0</v>
      </c>
    </row>
    <row r="178" spans="1:5" ht="20.25" customHeight="1">
      <c r="A178" s="285" t="s">
        <v>124</v>
      </c>
      <c r="B178" s="306">
        <f>SUM(B179+B180)</f>
        <v>1343899.9999999998</v>
      </c>
      <c r="C178" s="306">
        <f>SUM(C179+C180)</f>
        <v>1332379.9999999998</v>
      </c>
      <c r="D178" s="304">
        <f aca="true" t="shared" si="15" ref="D178:D185">IF(B178=0,"   ",C178/B178*100)</f>
        <v>99.1427933626014</v>
      </c>
      <c r="E178" s="305">
        <f t="shared" si="14"/>
        <v>-11520</v>
      </c>
    </row>
    <row r="179" spans="1:5" ht="33.75" customHeight="1">
      <c r="A179" s="285" t="s">
        <v>293</v>
      </c>
      <c r="B179" s="306">
        <f>Лист1!B121+Лист2!B109+Лист3!B95+Лист4!B88+Лист5!B95+Лист6!B102+Лист7!B143+Лист8!B96+Лист9!B106+Лист10!B91</f>
        <v>51000</v>
      </c>
      <c r="C179" s="306">
        <f>Лист1!C121+Лист2!C109+Лист3!C95+Лист4!C88+Лист5!C95+Лист6!C102+Лист7!C143+Лист8!C96+Лист9!C106+Лист10!C91</f>
        <v>39480</v>
      </c>
      <c r="D179" s="304">
        <f t="shared" si="15"/>
        <v>77.41176470588236</v>
      </c>
      <c r="E179" s="305">
        <f t="shared" si="14"/>
        <v>-11520</v>
      </c>
    </row>
    <row r="180" spans="1:5" ht="24" customHeight="1">
      <c r="A180" s="188" t="s">
        <v>272</v>
      </c>
      <c r="B180" s="306">
        <f>SUM(B181:B184)</f>
        <v>1292899.9999999998</v>
      </c>
      <c r="C180" s="306">
        <f>SUM(C181:C184)</f>
        <v>1292899.9999999998</v>
      </c>
      <c r="D180" s="304">
        <f>IF(B180=0,"   ",C180/B180*100)</f>
        <v>100</v>
      </c>
      <c r="E180" s="305">
        <f t="shared" si="14"/>
        <v>0</v>
      </c>
    </row>
    <row r="181" spans="1:5" ht="24" customHeight="1">
      <c r="A181" s="188" t="s">
        <v>273</v>
      </c>
      <c r="B181" s="306">
        <f>Лист4!B90</f>
        <v>895910.94</v>
      </c>
      <c r="C181" s="306">
        <f>Лист4!C90</f>
        <v>895910.94</v>
      </c>
      <c r="D181" s="304">
        <f t="shared" si="15"/>
        <v>100</v>
      </c>
      <c r="E181" s="305">
        <f t="shared" si="14"/>
        <v>0</v>
      </c>
    </row>
    <row r="182" spans="1:5" ht="22.5" customHeight="1">
      <c r="A182" s="188" t="s">
        <v>274</v>
      </c>
      <c r="B182" s="306">
        <f>Лист4!B91</f>
        <v>9049.6</v>
      </c>
      <c r="C182" s="306">
        <f>Лист4!C91</f>
        <v>9049.6</v>
      </c>
      <c r="D182" s="304">
        <f t="shared" si="15"/>
        <v>100</v>
      </c>
      <c r="E182" s="305">
        <f t="shared" si="14"/>
        <v>0</v>
      </c>
    </row>
    <row r="183" spans="1:5" ht="22.5" customHeight="1">
      <c r="A183" s="188" t="s">
        <v>276</v>
      </c>
      <c r="B183" s="306">
        <f>Лист4!B93</f>
        <v>194015.51</v>
      </c>
      <c r="C183" s="306">
        <f>Лист4!C93</f>
        <v>194015.51</v>
      </c>
      <c r="D183" s="304">
        <f>IF(B183=0,"   ",C183/B183*100)</f>
        <v>100</v>
      </c>
      <c r="E183" s="305">
        <f>C183-B183</f>
        <v>0</v>
      </c>
    </row>
    <row r="184" spans="1:5" ht="24" customHeight="1">
      <c r="A184" s="188" t="s">
        <v>275</v>
      </c>
      <c r="B184" s="306">
        <f>Лист4!B92</f>
        <v>193923.95</v>
      </c>
      <c r="C184" s="306">
        <f>Лист4!C92</f>
        <v>193923.95</v>
      </c>
      <c r="D184" s="304">
        <f t="shared" si="15"/>
        <v>100</v>
      </c>
      <c r="E184" s="305">
        <f t="shared" si="14"/>
        <v>0</v>
      </c>
    </row>
    <row r="185" spans="1:6" ht="25.5" customHeight="1">
      <c r="A185" s="308" t="s">
        <v>15</v>
      </c>
      <c r="B185" s="309">
        <f>B75+B86+B88+B93+B119+B161+B162+B176+B178</f>
        <v>182479276.35000002</v>
      </c>
      <c r="C185" s="309">
        <f>C75+C86+C88+C93+C119+C161+C162+C176+C178</f>
        <v>141185955.3</v>
      </c>
      <c r="D185" s="310">
        <f t="shared" si="15"/>
        <v>77.37095308795595</v>
      </c>
      <c r="E185" s="311">
        <f t="shared" si="14"/>
        <v>-41293321.05000001</v>
      </c>
      <c r="F185" s="187"/>
    </row>
    <row r="186" spans="1:5" s="59" customFormat="1" ht="23.25" customHeight="1">
      <c r="A186" s="328" t="s">
        <v>281</v>
      </c>
      <c r="B186" s="329">
        <f>(B72-B185)</f>
        <v>-2581788.5100000203</v>
      </c>
      <c r="C186" s="329">
        <f>(C72-C185)</f>
        <v>-604537.849999994</v>
      </c>
      <c r="D186" s="300"/>
      <c r="E186" s="300"/>
    </row>
    <row r="187" spans="1:5" s="59" customFormat="1" ht="21" customHeight="1">
      <c r="A187" s="328" t="s">
        <v>282</v>
      </c>
      <c r="B187" s="328"/>
      <c r="C187" s="330"/>
      <c r="D187" s="330"/>
      <c r="E187" s="330"/>
    </row>
    <row r="188" spans="1:5" ht="13.5">
      <c r="A188" s="328" t="s">
        <v>283</v>
      </c>
      <c r="B188" s="329">
        <f>SUM(B8+B44+B45+B51+B56)</f>
        <v>25261767.78</v>
      </c>
      <c r="C188" s="329">
        <f>SUM(C8+C44+C45+C51+C56)</f>
        <v>24885412.02</v>
      </c>
      <c r="D188" s="310">
        <f>IF(B188=0,"   ",C188/B188*100)</f>
        <v>98.51017647190167</v>
      </c>
      <c r="E188" s="311">
        <f>C188-B188</f>
        <v>-376355.76000000164</v>
      </c>
    </row>
    <row r="189" spans="1:5" ht="13.5">
      <c r="A189" s="328" t="s">
        <v>284</v>
      </c>
      <c r="B189" s="329">
        <f>SUM(B101)</f>
        <v>26350172.13</v>
      </c>
      <c r="C189" s="329">
        <f>SUM(C101)</f>
        <v>25491585.939999998</v>
      </c>
      <c r="D189" s="310">
        <f>IF(B189=0,"   ",C189/B189*100)</f>
        <v>96.74162967223091</v>
      </c>
      <c r="E189" s="311">
        <f>C189-B189</f>
        <v>-858586.1900000013</v>
      </c>
    </row>
    <row r="190" spans="1:5" ht="13.5">
      <c r="A190" s="328" t="s">
        <v>281</v>
      </c>
      <c r="B190" s="329">
        <f>(B188-B189)</f>
        <v>-1088404.3499999978</v>
      </c>
      <c r="C190" s="329">
        <f>(C188-C189)</f>
        <v>-606173.9199999981</v>
      </c>
      <c r="D190" s="328"/>
      <c r="E190" s="331"/>
    </row>
    <row r="191" spans="1:5" ht="13.5">
      <c r="A191" s="332"/>
      <c r="B191" s="332"/>
      <c r="C191" s="333"/>
      <c r="D191" s="332"/>
      <c r="E191" s="334"/>
    </row>
  </sheetData>
  <sheetProtection/>
  <mergeCells count="1">
    <mergeCell ref="A1:E1"/>
  </mergeCells>
  <printOptions/>
  <pageMargins left="0.7874015748031497" right="0.7874015748031497" top="0.4724409448818898" bottom="0.31496062992125984" header="0.4724409448818898" footer="0.31496062992125984"/>
  <pageSetup fitToHeight="4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PageLayoutView="0" workbookViewId="0" topLeftCell="A106">
      <selection activeCell="A120" sqref="A120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7.25">
      <c r="A1" s="338" t="s">
        <v>320</v>
      </c>
      <c r="B1" s="338"/>
      <c r="C1" s="338"/>
      <c r="D1" s="338"/>
      <c r="E1" s="338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249</v>
      </c>
      <c r="C3" s="32" t="s">
        <v>319</v>
      </c>
      <c r="D3" s="19" t="s">
        <v>253</v>
      </c>
      <c r="E3" s="36" t="s">
        <v>251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09">
        <f>SUM(B7)</f>
        <v>65700</v>
      </c>
      <c r="C6" s="210">
        <f>SUM(C7)</f>
        <v>23737.69</v>
      </c>
      <c r="D6" s="26">
        <f aca="true" t="shared" si="0" ref="D6:D109">IF(B6=0,"   ",C6/B6*100)</f>
        <v>36.13042617960426</v>
      </c>
      <c r="E6" s="42">
        <f aca="true" t="shared" si="1" ref="E6:E109">C6-B6</f>
        <v>-41962.31</v>
      </c>
    </row>
    <row r="7" spans="1:5" ht="16.5" customHeight="1">
      <c r="A7" s="16" t="s">
        <v>44</v>
      </c>
      <c r="B7" s="211">
        <v>65700</v>
      </c>
      <c r="C7" s="226">
        <v>23737.69</v>
      </c>
      <c r="D7" s="26">
        <f t="shared" si="0"/>
        <v>36.13042617960426</v>
      </c>
      <c r="E7" s="42">
        <f t="shared" si="1"/>
        <v>-41962.31</v>
      </c>
    </row>
    <row r="8" spans="1:5" ht="12.75" customHeight="1">
      <c r="A8" s="64" t="s">
        <v>137</v>
      </c>
      <c r="B8" s="209">
        <f>SUM(B9)</f>
        <v>698900</v>
      </c>
      <c r="C8" s="212">
        <f>SUM(C9)</f>
        <v>663683.07</v>
      </c>
      <c r="D8" s="26">
        <f t="shared" si="0"/>
        <v>94.96109171555301</v>
      </c>
      <c r="E8" s="42">
        <f t="shared" si="1"/>
        <v>-35216.93000000005</v>
      </c>
    </row>
    <row r="9" spans="1:5" ht="18.75" customHeight="1">
      <c r="A9" s="41" t="s">
        <v>138</v>
      </c>
      <c r="B9" s="211">
        <v>698900</v>
      </c>
      <c r="C9" s="226">
        <v>663683.07</v>
      </c>
      <c r="D9" s="26">
        <f t="shared" si="0"/>
        <v>94.96109171555301</v>
      </c>
      <c r="E9" s="42">
        <f t="shared" si="1"/>
        <v>-35216.93000000005</v>
      </c>
    </row>
    <row r="10" spans="1:5" ht="16.5" customHeight="1">
      <c r="A10" s="16" t="s">
        <v>7</v>
      </c>
      <c r="B10" s="211">
        <f>SUM(B11:B11)</f>
        <v>98300</v>
      </c>
      <c r="C10" s="213">
        <f>SUM(C11:C11)</f>
        <v>107779.96</v>
      </c>
      <c r="D10" s="26">
        <f t="shared" si="0"/>
        <v>109.64390640895219</v>
      </c>
      <c r="E10" s="42">
        <f t="shared" si="1"/>
        <v>9479.960000000006</v>
      </c>
    </row>
    <row r="11" spans="1:5" ht="14.25" customHeight="1">
      <c r="A11" s="16" t="s">
        <v>26</v>
      </c>
      <c r="B11" s="211">
        <v>98300</v>
      </c>
      <c r="C11" s="226">
        <v>107779.96</v>
      </c>
      <c r="D11" s="26">
        <f t="shared" si="0"/>
        <v>109.64390640895219</v>
      </c>
      <c r="E11" s="42">
        <f t="shared" si="1"/>
        <v>9479.960000000006</v>
      </c>
    </row>
    <row r="12" spans="1:5" ht="14.25" customHeight="1">
      <c r="A12" s="16" t="s">
        <v>9</v>
      </c>
      <c r="B12" s="211">
        <f>SUM(B13:B14)</f>
        <v>121700</v>
      </c>
      <c r="C12" s="213">
        <f>SUM(C13:C14)</f>
        <v>191485.86000000002</v>
      </c>
      <c r="D12" s="26">
        <f t="shared" si="0"/>
        <v>157.34253081347578</v>
      </c>
      <c r="E12" s="42">
        <f t="shared" si="1"/>
        <v>69785.86000000002</v>
      </c>
    </row>
    <row r="13" spans="1:5" ht="12.75" customHeight="1">
      <c r="A13" s="16" t="s">
        <v>27</v>
      </c>
      <c r="B13" s="211">
        <v>51200</v>
      </c>
      <c r="C13" s="226">
        <v>53205.26</v>
      </c>
      <c r="D13" s="26">
        <f t="shared" si="0"/>
        <v>103.91652343749999</v>
      </c>
      <c r="E13" s="42">
        <f t="shared" si="1"/>
        <v>2005.260000000002</v>
      </c>
    </row>
    <row r="14" spans="1:5" ht="12.75">
      <c r="A14" s="41" t="s">
        <v>160</v>
      </c>
      <c r="B14" s="197">
        <f>SUM(B15:B16)</f>
        <v>70500</v>
      </c>
      <c r="C14" s="213">
        <f>SUM(C15:C16)</f>
        <v>138280.6</v>
      </c>
      <c r="D14" s="26">
        <f t="shared" si="0"/>
        <v>196.142695035461</v>
      </c>
      <c r="E14" s="42">
        <f t="shared" si="1"/>
        <v>67780.6</v>
      </c>
    </row>
    <row r="15" spans="1:5" ht="12.75">
      <c r="A15" s="41" t="s">
        <v>161</v>
      </c>
      <c r="B15" s="197">
        <v>5000</v>
      </c>
      <c r="C15" s="226">
        <v>4259.25</v>
      </c>
      <c r="D15" s="26">
        <f t="shared" si="0"/>
        <v>85.185</v>
      </c>
      <c r="E15" s="42">
        <f t="shared" si="1"/>
        <v>-740.75</v>
      </c>
    </row>
    <row r="16" spans="1:5" ht="12.75">
      <c r="A16" s="41" t="s">
        <v>162</v>
      </c>
      <c r="B16" s="197">
        <v>65500</v>
      </c>
      <c r="C16" s="226">
        <v>134021.35</v>
      </c>
      <c r="D16" s="26">
        <f t="shared" si="0"/>
        <v>204.61274809160307</v>
      </c>
      <c r="E16" s="42">
        <f t="shared" si="1"/>
        <v>68521.35</v>
      </c>
    </row>
    <row r="17" spans="1:5" ht="12.75">
      <c r="A17" s="41" t="s">
        <v>196</v>
      </c>
      <c r="B17" s="197">
        <v>0</v>
      </c>
      <c r="C17" s="214">
        <v>0</v>
      </c>
      <c r="D17" s="26" t="str">
        <f t="shared" si="0"/>
        <v>   </v>
      </c>
      <c r="E17" s="42">
        <f t="shared" si="1"/>
        <v>0</v>
      </c>
    </row>
    <row r="18" spans="1:5" ht="18" customHeight="1">
      <c r="A18" s="16" t="s">
        <v>88</v>
      </c>
      <c r="B18" s="211">
        <v>0</v>
      </c>
      <c r="C18" s="214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09">
        <f>B21+B20</f>
        <v>12800</v>
      </c>
      <c r="C19" s="212">
        <f>C21+C20</f>
        <v>12818</v>
      </c>
      <c r="D19" s="26">
        <f t="shared" si="0"/>
        <v>100.140625</v>
      </c>
      <c r="E19" s="42">
        <f t="shared" si="1"/>
        <v>18</v>
      </c>
    </row>
    <row r="20" spans="1:5" ht="16.5" customHeight="1">
      <c r="A20" s="155" t="s">
        <v>184</v>
      </c>
      <c r="B20" s="209">
        <v>0</v>
      </c>
      <c r="C20" s="212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305</v>
      </c>
      <c r="B21" s="211">
        <v>12800</v>
      </c>
      <c r="C21" s="214">
        <v>12818</v>
      </c>
      <c r="D21" s="26">
        <f t="shared" si="0"/>
        <v>100.140625</v>
      </c>
      <c r="E21" s="42">
        <f t="shared" si="1"/>
        <v>18</v>
      </c>
    </row>
    <row r="22" spans="1:5" ht="29.25" customHeight="1">
      <c r="A22" s="16" t="s">
        <v>28</v>
      </c>
      <c r="B22" s="211">
        <f>SUM(B23:B24)</f>
        <v>110200</v>
      </c>
      <c r="C22" s="212">
        <f>SUM(C23:C24)</f>
        <v>110544.14</v>
      </c>
      <c r="D22" s="26">
        <f t="shared" si="0"/>
        <v>100.31228675136117</v>
      </c>
      <c r="E22" s="42">
        <f t="shared" si="1"/>
        <v>344.1399999999994</v>
      </c>
    </row>
    <row r="23" spans="1:5" ht="15.75" customHeight="1">
      <c r="A23" s="41" t="s">
        <v>152</v>
      </c>
      <c r="B23" s="211">
        <v>110200</v>
      </c>
      <c r="C23" s="226">
        <v>110544.14</v>
      </c>
      <c r="D23" s="26">
        <f t="shared" si="0"/>
        <v>100.31228675136117</v>
      </c>
      <c r="E23" s="42">
        <f t="shared" si="1"/>
        <v>344.1399999999994</v>
      </c>
    </row>
    <row r="24" spans="1:5" ht="15.75" customHeight="1">
      <c r="A24" s="16" t="s">
        <v>30</v>
      </c>
      <c r="B24" s="211">
        <v>0</v>
      </c>
      <c r="C24" s="214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174</v>
      </c>
      <c r="B25" s="209">
        <f>SUM(B26)</f>
        <v>0</v>
      </c>
      <c r="C25" s="212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175</v>
      </c>
      <c r="B26" s="211">
        <v>0</v>
      </c>
      <c r="C26" s="214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11">
        <v>0</v>
      </c>
      <c r="C27" s="214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11">
        <f>SUM(B29:B30)</f>
        <v>0</v>
      </c>
      <c r="C28" s="213">
        <f>SUM(C29:C30)</f>
        <v>-30255.76</v>
      </c>
      <c r="D28" s="26" t="str">
        <f t="shared" si="0"/>
        <v>   </v>
      </c>
      <c r="E28" s="42">
        <f t="shared" si="1"/>
        <v>-30255.76</v>
      </c>
    </row>
    <row r="29" spans="1:5" ht="15.75" customHeight="1">
      <c r="A29" s="16" t="s">
        <v>105</v>
      </c>
      <c r="B29" s="211">
        <v>0</v>
      </c>
      <c r="C29" s="213">
        <v>-30255.76</v>
      </c>
      <c r="D29" s="26" t="str">
        <f t="shared" si="0"/>
        <v>   </v>
      </c>
      <c r="E29" s="42">
        <f t="shared" si="1"/>
        <v>-30255.76</v>
      </c>
    </row>
    <row r="30" spans="1:5" s="9" customFormat="1" ht="15" customHeight="1">
      <c r="A30" s="16" t="s">
        <v>108</v>
      </c>
      <c r="B30" s="215">
        <v>0</v>
      </c>
      <c r="C30" s="212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71" t="s">
        <v>10</v>
      </c>
      <c r="B31" s="202">
        <f>SUM(B6,B8,B10,B12,B17,B18,B19,B22,B27,B28,B25)</f>
        <v>1107600</v>
      </c>
      <c r="C31" s="206">
        <f>SUM(C6,C8,C10,C12,C17,C18,C19,C22,C27,C28,C25)</f>
        <v>1079792.9599999997</v>
      </c>
      <c r="D31" s="140">
        <f t="shared" si="0"/>
        <v>97.48943300830622</v>
      </c>
      <c r="E31" s="141">
        <f t="shared" si="1"/>
        <v>-27807.04000000027</v>
      </c>
    </row>
    <row r="32" spans="1:5" ht="19.5" customHeight="1">
      <c r="A32" s="179" t="s">
        <v>140</v>
      </c>
      <c r="B32" s="216">
        <f>SUM(B33:B37,B40:B44,B48)</f>
        <v>5881350</v>
      </c>
      <c r="C32" s="216">
        <f>SUM(C33:C37,C40:C44,C48)</f>
        <v>3948000.29</v>
      </c>
      <c r="D32" s="140">
        <f t="shared" si="0"/>
        <v>67.12745016025232</v>
      </c>
      <c r="E32" s="141">
        <f t="shared" si="1"/>
        <v>-1933349.71</v>
      </c>
    </row>
    <row r="33" spans="1:5" ht="18.75" customHeight="1">
      <c r="A33" s="17" t="s">
        <v>34</v>
      </c>
      <c r="B33" s="209">
        <v>1568500</v>
      </c>
      <c r="C33" s="226">
        <v>1568500</v>
      </c>
      <c r="D33" s="26">
        <f t="shared" si="0"/>
        <v>100</v>
      </c>
      <c r="E33" s="42">
        <f t="shared" si="1"/>
        <v>0</v>
      </c>
    </row>
    <row r="34" spans="1:5" ht="18.75" customHeight="1">
      <c r="A34" s="17" t="s">
        <v>229</v>
      </c>
      <c r="B34" s="209">
        <v>0</v>
      </c>
      <c r="C34" s="226">
        <v>0</v>
      </c>
      <c r="D34" s="26" t="str">
        <f>IF(B34=0,"   ",C34/B34*100)</f>
        <v>   </v>
      </c>
      <c r="E34" s="42">
        <f>C34-B34</f>
        <v>0</v>
      </c>
    </row>
    <row r="35" spans="1:5" ht="15.75" customHeight="1">
      <c r="A35" s="41" t="s">
        <v>147</v>
      </c>
      <c r="B35" s="211">
        <v>0</v>
      </c>
      <c r="C35" s="214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33" t="s">
        <v>51</v>
      </c>
      <c r="B36" s="134">
        <v>99200</v>
      </c>
      <c r="C36" s="230">
        <v>99200</v>
      </c>
      <c r="D36" s="135">
        <f t="shared" si="0"/>
        <v>100</v>
      </c>
      <c r="E36" s="136">
        <f t="shared" si="1"/>
        <v>0</v>
      </c>
    </row>
    <row r="37" spans="1:5" ht="32.25" customHeight="1">
      <c r="A37" s="108" t="s">
        <v>148</v>
      </c>
      <c r="B37" s="134">
        <f>SUM(B38:B39)</f>
        <v>6700</v>
      </c>
      <c r="C37" s="134">
        <f>SUM(C38:C39)</f>
        <v>100</v>
      </c>
      <c r="D37" s="135">
        <f t="shared" si="0"/>
        <v>1.4925373134328357</v>
      </c>
      <c r="E37" s="136">
        <f t="shared" si="1"/>
        <v>-6600</v>
      </c>
    </row>
    <row r="38" spans="1:5" ht="15.75" customHeight="1">
      <c r="A38" s="108" t="s">
        <v>163</v>
      </c>
      <c r="B38" s="134">
        <v>100</v>
      </c>
      <c r="C38" s="134">
        <v>100</v>
      </c>
      <c r="D38" s="135">
        <f>IF(B38=0,"   ",C38/B38*100)</f>
        <v>100</v>
      </c>
      <c r="E38" s="136">
        <f>C38-B38</f>
        <v>0</v>
      </c>
    </row>
    <row r="39" spans="1:5" ht="24.75" customHeight="1">
      <c r="A39" s="108" t="s">
        <v>164</v>
      </c>
      <c r="B39" s="134">
        <v>6600</v>
      </c>
      <c r="C39" s="134">
        <v>0</v>
      </c>
      <c r="D39" s="135">
        <f>IF(B39=0,"   ",C39/B39*100)</f>
        <v>0</v>
      </c>
      <c r="E39" s="136">
        <f>C39-B39</f>
        <v>-6600</v>
      </c>
    </row>
    <row r="40" spans="1:5" ht="26.25" customHeight="1">
      <c r="A40" s="16" t="s">
        <v>302</v>
      </c>
      <c r="B40" s="134">
        <v>185689.29</v>
      </c>
      <c r="C40" s="134">
        <v>185689.29</v>
      </c>
      <c r="D40" s="135">
        <f t="shared" si="0"/>
        <v>100</v>
      </c>
      <c r="E40" s="136">
        <f t="shared" si="1"/>
        <v>0</v>
      </c>
    </row>
    <row r="41" spans="1:5" ht="25.5" customHeight="1">
      <c r="A41" s="16" t="s">
        <v>296</v>
      </c>
      <c r="B41" s="134">
        <v>1000000</v>
      </c>
      <c r="C41" s="134">
        <v>1000000</v>
      </c>
      <c r="D41" s="135">
        <f t="shared" si="0"/>
        <v>100</v>
      </c>
      <c r="E41" s="136">
        <f t="shared" si="1"/>
        <v>0</v>
      </c>
    </row>
    <row r="42" spans="1:5" ht="54.75" customHeight="1">
      <c r="A42" s="16" t="s">
        <v>238</v>
      </c>
      <c r="B42" s="134">
        <v>628400</v>
      </c>
      <c r="C42" s="134">
        <v>628400</v>
      </c>
      <c r="D42" s="135">
        <f t="shared" si="0"/>
        <v>100</v>
      </c>
      <c r="E42" s="136">
        <f t="shared" si="1"/>
        <v>0</v>
      </c>
    </row>
    <row r="43" spans="1:5" ht="26.25" customHeight="1">
      <c r="A43" s="16" t="s">
        <v>277</v>
      </c>
      <c r="B43" s="134">
        <v>0</v>
      </c>
      <c r="C43" s="134">
        <v>0</v>
      </c>
      <c r="D43" s="135" t="str">
        <f t="shared" si="0"/>
        <v>   </v>
      </c>
      <c r="E43" s="136">
        <f t="shared" si="1"/>
        <v>0</v>
      </c>
    </row>
    <row r="44" spans="1:5" ht="16.5" customHeight="1">
      <c r="A44" s="16" t="s">
        <v>80</v>
      </c>
      <c r="B44" s="211">
        <f>B47+B45+B46</f>
        <v>2360150</v>
      </c>
      <c r="C44" s="218">
        <f>C47+C45</f>
        <v>433400</v>
      </c>
      <c r="D44" s="26">
        <f t="shared" si="0"/>
        <v>18.36323962460013</v>
      </c>
      <c r="E44" s="42">
        <f t="shared" si="1"/>
        <v>-1926750</v>
      </c>
    </row>
    <row r="45" spans="1:5" ht="15" customHeight="1">
      <c r="A45" s="46" t="s">
        <v>188</v>
      </c>
      <c r="B45" s="211">
        <v>0</v>
      </c>
      <c r="C45" s="218">
        <v>0</v>
      </c>
      <c r="D45" s="26" t="str">
        <f t="shared" si="0"/>
        <v>   </v>
      </c>
      <c r="E45" s="42">
        <f t="shared" si="1"/>
        <v>0</v>
      </c>
    </row>
    <row r="46" spans="1:5" ht="15" customHeight="1">
      <c r="A46" s="46" t="s">
        <v>294</v>
      </c>
      <c r="B46" s="211">
        <v>1926750</v>
      </c>
      <c r="C46" s="218">
        <v>0</v>
      </c>
      <c r="D46" s="26">
        <f>IF(B46=0,"   ",C46/B46*100)</f>
        <v>0</v>
      </c>
      <c r="E46" s="42">
        <f>C46-B46</f>
        <v>-1926750</v>
      </c>
    </row>
    <row r="47" spans="1:5" s="7" customFormat="1" ht="16.5" customHeight="1">
      <c r="A47" s="46" t="s">
        <v>109</v>
      </c>
      <c r="B47" s="219">
        <v>433400</v>
      </c>
      <c r="C47" s="218">
        <v>433400</v>
      </c>
      <c r="D47" s="47">
        <f t="shared" si="0"/>
        <v>100</v>
      </c>
      <c r="E47" s="40">
        <f t="shared" si="1"/>
        <v>0</v>
      </c>
    </row>
    <row r="48" spans="1:5" s="7" customFormat="1" ht="19.5" customHeight="1">
      <c r="A48" s="16" t="s">
        <v>199</v>
      </c>
      <c r="B48" s="233">
        <v>32710.71</v>
      </c>
      <c r="C48" s="218">
        <v>32711</v>
      </c>
      <c r="D48" s="47">
        <f>IF(B48=0,"   ",C48/B48*100)</f>
        <v>100.00088655978425</v>
      </c>
      <c r="E48" s="40">
        <f>C48-B48</f>
        <v>0.2900000000008731</v>
      </c>
    </row>
    <row r="49" spans="1:5" ht="21.75" customHeight="1">
      <c r="A49" s="171" t="s">
        <v>11</v>
      </c>
      <c r="B49" s="206">
        <f>B31+B32</f>
        <v>6988950</v>
      </c>
      <c r="C49" s="206">
        <f>C31+C32</f>
        <v>5027793.25</v>
      </c>
      <c r="D49" s="140">
        <f t="shared" si="0"/>
        <v>71.93917898969087</v>
      </c>
      <c r="E49" s="141">
        <f t="shared" si="1"/>
        <v>-1961156.75</v>
      </c>
    </row>
    <row r="50" spans="1:5" ht="12.75">
      <c r="A50" s="30"/>
      <c r="B50" s="209"/>
      <c r="C50" s="220"/>
      <c r="D50" s="26" t="str">
        <f t="shared" si="0"/>
        <v>   </v>
      </c>
      <c r="E50" s="42"/>
    </row>
    <row r="51" spans="1:5" ht="13.5" thickBot="1">
      <c r="A51" s="105" t="s">
        <v>12</v>
      </c>
      <c r="B51" s="221"/>
      <c r="C51" s="222"/>
      <c r="D51" s="111" t="str">
        <f t="shared" si="0"/>
        <v>   </v>
      </c>
      <c r="E51" s="112"/>
    </row>
    <row r="52" spans="1:5" ht="13.5" thickBot="1">
      <c r="A52" s="128" t="s">
        <v>35</v>
      </c>
      <c r="B52" s="129">
        <f>SUM(B53,B56+B57)</f>
        <v>1179400</v>
      </c>
      <c r="C52" s="129">
        <f>SUM(C53,C56+C57)</f>
        <v>1159339.21</v>
      </c>
      <c r="D52" s="130">
        <f t="shared" si="0"/>
        <v>98.29906817025605</v>
      </c>
      <c r="E52" s="131">
        <f t="shared" si="1"/>
        <v>-20060.790000000037</v>
      </c>
    </row>
    <row r="53" spans="1:5" ht="13.5" thickBot="1">
      <c r="A53" s="116" t="s">
        <v>36</v>
      </c>
      <c r="B53" s="117">
        <v>1163900</v>
      </c>
      <c r="C53" s="129">
        <v>1145973.91</v>
      </c>
      <c r="D53" s="118">
        <f t="shared" si="0"/>
        <v>98.45982558639058</v>
      </c>
      <c r="E53" s="119">
        <f t="shared" si="1"/>
        <v>-17926.090000000084</v>
      </c>
    </row>
    <row r="54" spans="1:5" ht="12.75">
      <c r="A54" s="85" t="s">
        <v>120</v>
      </c>
      <c r="B54" s="25">
        <v>758679</v>
      </c>
      <c r="C54" s="28">
        <v>758465.12</v>
      </c>
      <c r="D54" s="26">
        <f t="shared" si="0"/>
        <v>99.97180889414363</v>
      </c>
      <c r="E54" s="42">
        <f t="shared" si="1"/>
        <v>-213.88000000000466</v>
      </c>
    </row>
    <row r="55" spans="1:5" ht="12.75">
      <c r="A55" s="85" t="s">
        <v>286</v>
      </c>
      <c r="B55" s="25">
        <v>100</v>
      </c>
      <c r="C55" s="28">
        <v>100</v>
      </c>
      <c r="D55" s="26">
        <f>IF(B55=0,"   ",C55/B55*100)</f>
        <v>100</v>
      </c>
      <c r="E55" s="42">
        <f>C55-B55</f>
        <v>0</v>
      </c>
    </row>
    <row r="56" spans="1:5" ht="12.75">
      <c r="A56" s="16" t="s">
        <v>95</v>
      </c>
      <c r="B56" s="25">
        <v>500</v>
      </c>
      <c r="C56" s="28">
        <v>0</v>
      </c>
      <c r="D56" s="26">
        <f t="shared" si="0"/>
        <v>0</v>
      </c>
      <c r="E56" s="42">
        <f t="shared" si="1"/>
        <v>-500</v>
      </c>
    </row>
    <row r="57" spans="1:5" ht="12.75">
      <c r="A57" s="104" t="s">
        <v>53</v>
      </c>
      <c r="B57" s="31">
        <f>SUM(B58)</f>
        <v>15000</v>
      </c>
      <c r="C57" s="31">
        <f>SUM(C58)</f>
        <v>13365.3</v>
      </c>
      <c r="D57" s="111">
        <f t="shared" si="0"/>
        <v>89.10199999999999</v>
      </c>
      <c r="E57" s="112">
        <f t="shared" si="1"/>
        <v>-1634.7000000000007</v>
      </c>
    </row>
    <row r="58" spans="1:5" ht="29.25" customHeight="1" thickBot="1">
      <c r="A58" s="104" t="s">
        <v>246</v>
      </c>
      <c r="B58" s="121">
        <v>15000</v>
      </c>
      <c r="C58" s="122">
        <v>13365.3</v>
      </c>
      <c r="D58" s="111">
        <f t="shared" si="0"/>
        <v>89.10199999999999</v>
      </c>
      <c r="E58" s="112">
        <f t="shared" si="1"/>
        <v>-1634.7000000000007</v>
      </c>
    </row>
    <row r="59" spans="1:5" ht="13.5" thickBot="1">
      <c r="A59" s="128" t="s">
        <v>49</v>
      </c>
      <c r="B59" s="181">
        <f>SUM(B60)</f>
        <v>99200</v>
      </c>
      <c r="C59" s="181">
        <f>SUM(C60)</f>
        <v>99200</v>
      </c>
      <c r="D59" s="130">
        <f t="shared" si="0"/>
        <v>100</v>
      </c>
      <c r="E59" s="131">
        <f t="shared" si="1"/>
        <v>0</v>
      </c>
    </row>
    <row r="60" spans="1:5" ht="16.5" customHeight="1" thickBot="1">
      <c r="A60" s="120" t="s">
        <v>107</v>
      </c>
      <c r="B60" s="121">
        <v>99200</v>
      </c>
      <c r="C60" s="122">
        <v>99200</v>
      </c>
      <c r="D60" s="123">
        <f t="shared" si="0"/>
        <v>100</v>
      </c>
      <c r="E60" s="124">
        <f t="shared" si="1"/>
        <v>0</v>
      </c>
    </row>
    <row r="61" spans="1:5" ht="13.5" thickBot="1">
      <c r="A61" s="128" t="s">
        <v>37</v>
      </c>
      <c r="B61" s="129">
        <f>SUM(B62)</f>
        <v>1000</v>
      </c>
      <c r="C61" s="181">
        <f>SUM(C62)</f>
        <v>1000</v>
      </c>
      <c r="D61" s="130">
        <f t="shared" si="0"/>
        <v>100</v>
      </c>
      <c r="E61" s="131">
        <f t="shared" si="1"/>
        <v>0</v>
      </c>
    </row>
    <row r="62" spans="1:5" ht="13.5" thickBot="1">
      <c r="A62" s="75" t="s">
        <v>128</v>
      </c>
      <c r="B62" s="121">
        <v>1000</v>
      </c>
      <c r="C62" s="122">
        <v>1000</v>
      </c>
      <c r="D62" s="123">
        <f t="shared" si="0"/>
        <v>100</v>
      </c>
      <c r="E62" s="124">
        <f t="shared" si="1"/>
        <v>0</v>
      </c>
    </row>
    <row r="63" spans="1:5" ht="13.5" thickBot="1">
      <c r="A63" s="128" t="s">
        <v>38</v>
      </c>
      <c r="B63" s="98">
        <f>B64+B67+B69+B77</f>
        <v>2026254.4400000002</v>
      </c>
      <c r="C63" s="98">
        <f>C64+C67+C69+C77</f>
        <v>1923781.33</v>
      </c>
      <c r="D63" s="130">
        <f t="shared" si="0"/>
        <v>94.94273236484555</v>
      </c>
      <c r="E63" s="131">
        <f t="shared" si="1"/>
        <v>-102473.1100000001</v>
      </c>
    </row>
    <row r="64" spans="1:5" ht="15.75" customHeight="1" thickBot="1">
      <c r="A64" s="75" t="s">
        <v>176</v>
      </c>
      <c r="B64" s="98">
        <f>SUM(B65+B66)</f>
        <v>6600</v>
      </c>
      <c r="C64" s="98">
        <f>SUM(C65+C66)</f>
        <v>0</v>
      </c>
      <c r="D64" s="130">
        <f>IF(B64=0,"   ",C64/B64*100)</f>
        <v>0</v>
      </c>
      <c r="E64" s="131">
        <f>C64-B64</f>
        <v>-6600</v>
      </c>
    </row>
    <row r="65" spans="1:5" ht="18" customHeight="1" thickBot="1">
      <c r="A65" s="75" t="s">
        <v>166</v>
      </c>
      <c r="B65" s="237">
        <v>6600</v>
      </c>
      <c r="C65" s="129">
        <v>0</v>
      </c>
      <c r="D65" s="130">
        <f>IF(B65=0,"   ",C65/B65*100)</f>
        <v>0</v>
      </c>
      <c r="E65" s="131">
        <f>C65-B65</f>
        <v>-6600</v>
      </c>
    </row>
    <row r="66" spans="1:5" ht="18" customHeight="1" thickBot="1">
      <c r="A66" s="75" t="s">
        <v>189</v>
      </c>
      <c r="B66" s="117">
        <v>0</v>
      </c>
      <c r="C66" s="117">
        <v>0</v>
      </c>
      <c r="D66" s="130" t="str">
        <f>IF(B66=0,"   ",C66/B66*100)</f>
        <v>   </v>
      </c>
      <c r="E66" s="131">
        <f>C66-B66</f>
        <v>0</v>
      </c>
    </row>
    <row r="67" spans="1:5" ht="18" customHeight="1" thickBot="1">
      <c r="A67" s="75" t="s">
        <v>231</v>
      </c>
      <c r="B67" s="98">
        <f>SUM(B68)</f>
        <v>54181.33</v>
      </c>
      <c r="C67" s="98">
        <f>SUM(C68)</f>
        <v>54181.33</v>
      </c>
      <c r="D67" s="130">
        <f>IF(B67=0,"   ",C67/B67*100)</f>
        <v>100</v>
      </c>
      <c r="E67" s="131">
        <f>C67-B67</f>
        <v>0</v>
      </c>
    </row>
    <row r="68" spans="1:5" ht="18" customHeight="1" thickBot="1">
      <c r="A68" s="75" t="s">
        <v>232</v>
      </c>
      <c r="B68" s="117">
        <v>54181.33</v>
      </c>
      <c r="C68" s="117">
        <v>54181.33</v>
      </c>
      <c r="D68" s="130">
        <f>IF(B68=0,"   ",C68/B68*100)</f>
        <v>100</v>
      </c>
      <c r="E68" s="131">
        <f>C68-B68</f>
        <v>0</v>
      </c>
    </row>
    <row r="69" spans="1:5" ht="12.75">
      <c r="A69" s="95" t="s">
        <v>131</v>
      </c>
      <c r="B69" s="117">
        <f>SUM(B70:B76)</f>
        <v>1870075.82</v>
      </c>
      <c r="C69" s="117">
        <f>SUM(C70:C76)</f>
        <v>1780600</v>
      </c>
      <c r="D69" s="118">
        <f t="shared" si="0"/>
        <v>95.21539078559927</v>
      </c>
      <c r="E69" s="119">
        <f t="shared" si="1"/>
        <v>-89475.82000000007</v>
      </c>
    </row>
    <row r="70" spans="1:5" ht="19.5" customHeight="1">
      <c r="A70" s="75" t="s">
        <v>149</v>
      </c>
      <c r="B70" s="25">
        <v>0</v>
      </c>
      <c r="C70" s="25">
        <v>0</v>
      </c>
      <c r="D70" s="118" t="str">
        <f t="shared" si="0"/>
        <v>   </v>
      </c>
      <c r="E70" s="119">
        <f t="shared" si="1"/>
        <v>0</v>
      </c>
    </row>
    <row r="71" spans="1:5" ht="26.25">
      <c r="A71" s="71" t="s">
        <v>255</v>
      </c>
      <c r="B71" s="25">
        <v>416975.82</v>
      </c>
      <c r="C71" s="25">
        <v>327500</v>
      </c>
      <c r="D71" s="26">
        <f t="shared" si="0"/>
        <v>78.54172455371634</v>
      </c>
      <c r="E71" s="27">
        <f t="shared" si="1"/>
        <v>-89475.82</v>
      </c>
    </row>
    <row r="72" spans="1:5" ht="26.25">
      <c r="A72" s="71" t="s">
        <v>256</v>
      </c>
      <c r="B72" s="25">
        <v>273200</v>
      </c>
      <c r="C72" s="25">
        <v>273200</v>
      </c>
      <c r="D72" s="26">
        <f t="shared" si="0"/>
        <v>100</v>
      </c>
      <c r="E72" s="27">
        <f t="shared" si="1"/>
        <v>0</v>
      </c>
    </row>
    <row r="73" spans="1:5" ht="26.25">
      <c r="A73" s="71" t="s">
        <v>257</v>
      </c>
      <c r="B73" s="25">
        <v>628400</v>
      </c>
      <c r="C73" s="25">
        <v>628400</v>
      </c>
      <c r="D73" s="26">
        <f t="shared" si="0"/>
        <v>100</v>
      </c>
      <c r="E73" s="27">
        <f t="shared" si="1"/>
        <v>0</v>
      </c>
    </row>
    <row r="74" spans="1:5" ht="26.25">
      <c r="A74" s="71" t="s">
        <v>258</v>
      </c>
      <c r="B74" s="25">
        <v>69900</v>
      </c>
      <c r="C74" s="25">
        <v>69900</v>
      </c>
      <c r="D74" s="26">
        <f t="shared" si="0"/>
        <v>100</v>
      </c>
      <c r="E74" s="27">
        <f t="shared" si="1"/>
        <v>0</v>
      </c>
    </row>
    <row r="75" spans="1:5" ht="26.25">
      <c r="A75" s="71" t="s">
        <v>259</v>
      </c>
      <c r="B75" s="25">
        <v>433400</v>
      </c>
      <c r="C75" s="25">
        <v>433400</v>
      </c>
      <c r="D75" s="26">
        <f t="shared" si="0"/>
        <v>100</v>
      </c>
      <c r="E75" s="27">
        <f t="shared" si="1"/>
        <v>0</v>
      </c>
    </row>
    <row r="76" spans="1:5" ht="27" thickBot="1">
      <c r="A76" s="71" t="s">
        <v>260</v>
      </c>
      <c r="B76" s="113">
        <v>48200</v>
      </c>
      <c r="C76" s="113">
        <v>48200</v>
      </c>
      <c r="D76" s="111">
        <f t="shared" si="0"/>
        <v>100</v>
      </c>
      <c r="E76" s="112">
        <f t="shared" si="1"/>
        <v>0</v>
      </c>
    </row>
    <row r="77" spans="1:5" ht="12.75">
      <c r="A77" s="95" t="s">
        <v>177</v>
      </c>
      <c r="B77" s="269">
        <f>SUM(B78+B79)</f>
        <v>95397.29000000001</v>
      </c>
      <c r="C77" s="269">
        <f>SUM(C78+C79)</f>
        <v>89000</v>
      </c>
      <c r="D77" s="111">
        <f>IF(B77=0,"   ",C77/B77*100)</f>
        <v>93.2940547891874</v>
      </c>
      <c r="E77" s="112">
        <f>C77-B77</f>
        <v>-6397.290000000008</v>
      </c>
    </row>
    <row r="78" spans="1:5" ht="26.25">
      <c r="A78" s="104" t="s">
        <v>155</v>
      </c>
      <c r="B78" s="31">
        <v>45397.29</v>
      </c>
      <c r="C78" s="31">
        <v>45000</v>
      </c>
      <c r="D78" s="111">
        <f>IF(B78=0,"   ",C78/B78*100)</f>
        <v>99.12485965571953</v>
      </c>
      <c r="E78" s="112">
        <f>C78-B78</f>
        <v>-397.2900000000009</v>
      </c>
    </row>
    <row r="79" spans="1:5" ht="27" thickBot="1">
      <c r="A79" s="75" t="s">
        <v>178</v>
      </c>
      <c r="B79" s="121">
        <v>50000</v>
      </c>
      <c r="C79" s="121">
        <v>44000</v>
      </c>
      <c r="D79" s="111">
        <f>IF(B79=0,"   ",C79/B79*100)</f>
        <v>88</v>
      </c>
      <c r="E79" s="112">
        <f>C79-B79</f>
        <v>-6000</v>
      </c>
    </row>
    <row r="80" spans="1:5" ht="13.5" customHeight="1" thickBot="1">
      <c r="A80" s="128" t="s">
        <v>13</v>
      </c>
      <c r="B80" s="129">
        <f>SUM(B89,B88,B81)</f>
        <v>3271560.1799999997</v>
      </c>
      <c r="C80" s="129">
        <f>SUM(C89,C88,C81)</f>
        <v>1344810.18</v>
      </c>
      <c r="D80" s="130">
        <f t="shared" si="0"/>
        <v>41.10608107474887</v>
      </c>
      <c r="E80" s="131">
        <f t="shared" si="1"/>
        <v>-1926749.9999999998</v>
      </c>
    </row>
    <row r="81" spans="1:5" ht="13.5" customHeight="1" thickBot="1">
      <c r="A81" s="41" t="s">
        <v>150</v>
      </c>
      <c r="B81" s="117">
        <f>SUM(B82+B83+B84)</f>
        <v>1933360.18</v>
      </c>
      <c r="C81" s="117">
        <f>SUM(C82+C83+C84)</f>
        <v>6610.18</v>
      </c>
      <c r="D81" s="130">
        <f t="shared" si="0"/>
        <v>0.3419011143593534</v>
      </c>
      <c r="E81" s="270">
        <f t="shared" si="1"/>
        <v>-1926750</v>
      </c>
    </row>
    <row r="82" spans="1:5" ht="30.75" customHeight="1" thickBot="1">
      <c r="A82" s="16" t="s">
        <v>195</v>
      </c>
      <c r="B82" s="117">
        <v>6610.18</v>
      </c>
      <c r="C82" s="117">
        <v>6610.18</v>
      </c>
      <c r="D82" s="130">
        <f t="shared" si="0"/>
        <v>100</v>
      </c>
      <c r="E82" s="27">
        <f t="shared" si="1"/>
        <v>0</v>
      </c>
    </row>
    <row r="83" spans="1:5" ht="18" customHeight="1" thickBot="1">
      <c r="A83" s="16" t="s">
        <v>299</v>
      </c>
      <c r="B83" s="117">
        <v>1926750</v>
      </c>
      <c r="C83" s="117">
        <v>0</v>
      </c>
      <c r="D83" s="130">
        <f>IF(B83=0,"   ",C83/B83*100)</f>
        <v>0</v>
      </c>
      <c r="E83" s="27">
        <f>C83-B83</f>
        <v>-1926750</v>
      </c>
    </row>
    <row r="84" spans="1:5" ht="19.5" customHeight="1" thickBot="1">
      <c r="A84" s="104" t="s">
        <v>206</v>
      </c>
      <c r="B84" s="117">
        <f>SUM(B85+B86+B87)</f>
        <v>0</v>
      </c>
      <c r="C84" s="117">
        <f>SUM(C85+C86+C87)</f>
        <v>0</v>
      </c>
      <c r="D84" s="130" t="str">
        <f>IF(B84=0,"   ",C84/B84*100)</f>
        <v>   </v>
      </c>
      <c r="E84" s="27">
        <f>C84-B84</f>
        <v>0</v>
      </c>
    </row>
    <row r="85" spans="1:5" ht="30.75" customHeight="1" thickBot="1">
      <c r="A85" s="104" t="s">
        <v>216</v>
      </c>
      <c r="B85" s="117">
        <v>0</v>
      </c>
      <c r="C85" s="117">
        <v>0</v>
      </c>
      <c r="D85" s="130" t="str">
        <f>IF(B85=0,"   ",C85/B85*100)</f>
        <v>   </v>
      </c>
      <c r="E85" s="27">
        <f>C85-B85</f>
        <v>0</v>
      </c>
    </row>
    <row r="86" spans="1:5" ht="30.75" customHeight="1" thickBot="1">
      <c r="A86" s="104" t="s">
        <v>207</v>
      </c>
      <c r="B86" s="117">
        <v>0</v>
      </c>
      <c r="C86" s="117">
        <v>0</v>
      </c>
      <c r="D86" s="130" t="str">
        <f>IF(B86=0,"   ",C86/B86*100)</f>
        <v>   </v>
      </c>
      <c r="E86" s="27">
        <f>C86-B86</f>
        <v>0</v>
      </c>
    </row>
    <row r="87" spans="1:5" ht="30.75" customHeight="1" thickBot="1">
      <c r="A87" s="104" t="s">
        <v>217</v>
      </c>
      <c r="B87" s="117">
        <v>0</v>
      </c>
      <c r="C87" s="117">
        <v>0</v>
      </c>
      <c r="D87" s="130" t="str">
        <f>IF(B87=0,"   ",C87/B87*100)</f>
        <v>   </v>
      </c>
      <c r="E87" s="27">
        <f>C87-B87</f>
        <v>0</v>
      </c>
    </row>
    <row r="88" spans="1:5" ht="13.5" customHeight="1" thickBot="1">
      <c r="A88" s="116" t="s">
        <v>85</v>
      </c>
      <c r="B88" s="117">
        <v>0</v>
      </c>
      <c r="C88" s="117">
        <v>0</v>
      </c>
      <c r="D88" s="130" t="str">
        <f t="shared" si="0"/>
        <v>   </v>
      </c>
      <c r="E88" s="27">
        <f t="shared" si="1"/>
        <v>0</v>
      </c>
    </row>
    <row r="89" spans="1:5" ht="12.75">
      <c r="A89" s="16" t="s">
        <v>58</v>
      </c>
      <c r="B89" s="25">
        <f>B90+B100+B91+B95+B101</f>
        <v>1338200</v>
      </c>
      <c r="C89" s="25">
        <f>C90+C100+C91+C95+C101</f>
        <v>1338200</v>
      </c>
      <c r="D89" s="26">
        <f t="shared" si="0"/>
        <v>100</v>
      </c>
      <c r="E89" s="42">
        <f t="shared" si="1"/>
        <v>0</v>
      </c>
    </row>
    <row r="90" spans="1:5" ht="12.75">
      <c r="A90" s="16" t="s">
        <v>56</v>
      </c>
      <c r="B90" s="25">
        <v>119800</v>
      </c>
      <c r="C90" s="27">
        <v>119800</v>
      </c>
      <c r="D90" s="26">
        <f t="shared" si="0"/>
        <v>100</v>
      </c>
      <c r="E90" s="42">
        <f t="shared" si="1"/>
        <v>0</v>
      </c>
    </row>
    <row r="91" spans="1:5" ht="12.75">
      <c r="A91" s="104" t="s">
        <v>206</v>
      </c>
      <c r="B91" s="25">
        <f>SUM(B92:B94)</f>
        <v>0</v>
      </c>
      <c r="C91" s="25">
        <f>SUM(C92:C94)</f>
        <v>0</v>
      </c>
      <c r="D91" s="111" t="str">
        <f t="shared" si="0"/>
        <v>   </v>
      </c>
      <c r="E91" s="112">
        <f t="shared" si="1"/>
        <v>0</v>
      </c>
    </row>
    <row r="92" spans="1:5" ht="26.25">
      <c r="A92" s="104" t="s">
        <v>213</v>
      </c>
      <c r="B92" s="25">
        <v>0</v>
      </c>
      <c r="C92" s="27">
        <v>0</v>
      </c>
      <c r="D92" s="111" t="str">
        <f t="shared" si="0"/>
        <v>   </v>
      </c>
      <c r="E92" s="112">
        <f t="shared" si="1"/>
        <v>0</v>
      </c>
    </row>
    <row r="93" spans="1:5" ht="26.25">
      <c r="A93" s="104" t="s">
        <v>214</v>
      </c>
      <c r="B93" s="25">
        <v>0</v>
      </c>
      <c r="C93" s="27">
        <v>0</v>
      </c>
      <c r="D93" s="111" t="str">
        <f t="shared" si="0"/>
        <v>   </v>
      </c>
      <c r="E93" s="112">
        <f t="shared" si="1"/>
        <v>0</v>
      </c>
    </row>
    <row r="94" spans="1:5" ht="26.25">
      <c r="A94" s="104" t="s">
        <v>215</v>
      </c>
      <c r="B94" s="25">
        <v>0</v>
      </c>
      <c r="C94" s="27">
        <v>0</v>
      </c>
      <c r="D94" s="111" t="str">
        <f t="shared" si="0"/>
        <v>   </v>
      </c>
      <c r="E94" s="112">
        <f t="shared" si="1"/>
        <v>0</v>
      </c>
    </row>
    <row r="95" spans="1:5" ht="15">
      <c r="A95" s="266" t="s">
        <v>272</v>
      </c>
      <c r="B95" s="25">
        <f>SUM(B97+B98+B99+B96)</f>
        <v>218400</v>
      </c>
      <c r="C95" s="25">
        <f>SUM(C97+C98+C99+C96)</f>
        <v>218400</v>
      </c>
      <c r="D95" s="111">
        <f>IF(B95=0,"   ",C95/B95*100)</f>
        <v>100</v>
      </c>
      <c r="E95" s="112">
        <f>C95-B95</f>
        <v>0</v>
      </c>
    </row>
    <row r="96" spans="1:5" ht="15">
      <c r="A96" s="266" t="s">
        <v>273</v>
      </c>
      <c r="B96" s="113">
        <v>151390.86</v>
      </c>
      <c r="C96" s="113">
        <v>151390.86</v>
      </c>
      <c r="D96" s="111">
        <f>IF(B96=0,"   ",C96/B96*100)</f>
        <v>100</v>
      </c>
      <c r="E96" s="112">
        <f>C96-B96</f>
        <v>0</v>
      </c>
    </row>
    <row r="97" spans="1:5" ht="15">
      <c r="A97" s="266" t="s">
        <v>274</v>
      </c>
      <c r="B97" s="113">
        <v>1529.2</v>
      </c>
      <c r="C97" s="114">
        <v>1529.2</v>
      </c>
      <c r="D97" s="111">
        <f t="shared" si="0"/>
        <v>100</v>
      </c>
      <c r="E97" s="112">
        <f t="shared" si="1"/>
        <v>0</v>
      </c>
    </row>
    <row r="98" spans="1:5" ht="15" customHeight="1">
      <c r="A98" s="266" t="s">
        <v>275</v>
      </c>
      <c r="B98" s="113">
        <v>32769.23</v>
      </c>
      <c r="C98" s="114">
        <v>32769.23</v>
      </c>
      <c r="D98" s="111">
        <f t="shared" si="0"/>
        <v>100</v>
      </c>
      <c r="E98" s="112">
        <f t="shared" si="1"/>
        <v>0</v>
      </c>
    </row>
    <row r="99" spans="1:5" ht="16.5" customHeight="1">
      <c r="A99" s="266" t="s">
        <v>276</v>
      </c>
      <c r="B99" s="113">
        <v>32710.71</v>
      </c>
      <c r="C99" s="114">
        <v>32710.71</v>
      </c>
      <c r="D99" s="111">
        <f t="shared" si="0"/>
        <v>100</v>
      </c>
      <c r="E99" s="112">
        <f t="shared" si="1"/>
        <v>0</v>
      </c>
    </row>
    <row r="100" spans="1:5" ht="12.75">
      <c r="A100" s="104" t="s">
        <v>59</v>
      </c>
      <c r="B100" s="25">
        <v>0</v>
      </c>
      <c r="C100" s="27">
        <v>0</v>
      </c>
      <c r="D100" s="26" t="str">
        <f t="shared" si="0"/>
        <v>   </v>
      </c>
      <c r="E100" s="27">
        <f t="shared" si="1"/>
        <v>0</v>
      </c>
    </row>
    <row r="101" spans="1:5" ht="27" thickBot="1">
      <c r="A101" s="104" t="s">
        <v>300</v>
      </c>
      <c r="B101" s="25">
        <v>1000000</v>
      </c>
      <c r="C101" s="27">
        <v>1000000</v>
      </c>
      <c r="D101" s="26">
        <f t="shared" si="0"/>
        <v>100</v>
      </c>
      <c r="E101" s="27">
        <f t="shared" si="1"/>
        <v>0</v>
      </c>
    </row>
    <row r="102" spans="1:5" ht="15" thickBot="1">
      <c r="A102" s="132" t="s">
        <v>17</v>
      </c>
      <c r="B102" s="189">
        <v>8000</v>
      </c>
      <c r="C102" s="189">
        <v>8000</v>
      </c>
      <c r="D102" s="144">
        <f t="shared" si="0"/>
        <v>100</v>
      </c>
      <c r="E102" s="145">
        <f t="shared" si="1"/>
        <v>0</v>
      </c>
    </row>
    <row r="103" spans="1:5" ht="13.5" thickBot="1">
      <c r="A103" s="128" t="s">
        <v>41</v>
      </c>
      <c r="B103" s="182">
        <f>B104</f>
        <v>573162.71</v>
      </c>
      <c r="C103" s="182">
        <f>C104</f>
        <v>537622.69</v>
      </c>
      <c r="D103" s="130">
        <f t="shared" si="0"/>
        <v>93.79931398537774</v>
      </c>
      <c r="E103" s="131">
        <f t="shared" si="1"/>
        <v>-35540.02000000002</v>
      </c>
    </row>
    <row r="104" spans="1:5" ht="12.75">
      <c r="A104" s="116" t="s">
        <v>42</v>
      </c>
      <c r="B104" s="117">
        <f>SUM(B105+B107+B106)</f>
        <v>573162.71</v>
      </c>
      <c r="C104" s="117">
        <f>SUM(C105+C107+C106)</f>
        <v>537622.69</v>
      </c>
      <c r="D104" s="118">
        <f t="shared" si="0"/>
        <v>93.79931398537774</v>
      </c>
      <c r="E104" s="119">
        <f t="shared" si="1"/>
        <v>-35540.02000000002</v>
      </c>
    </row>
    <row r="105" spans="1:5" ht="12.75">
      <c r="A105" s="167" t="s">
        <v>143</v>
      </c>
      <c r="B105" s="121">
        <v>484560</v>
      </c>
      <c r="C105" s="122">
        <v>484560</v>
      </c>
      <c r="D105" s="123">
        <f t="shared" si="0"/>
        <v>100</v>
      </c>
      <c r="E105" s="124">
        <f t="shared" si="1"/>
        <v>0</v>
      </c>
    </row>
    <row r="106" spans="1:5" ht="12.75">
      <c r="A106" s="116" t="s">
        <v>307</v>
      </c>
      <c r="B106" s="121">
        <v>10000</v>
      </c>
      <c r="C106" s="122">
        <v>10000</v>
      </c>
      <c r="D106" s="123">
        <f t="shared" si="0"/>
        <v>100</v>
      </c>
      <c r="E106" s="125">
        <f t="shared" si="1"/>
        <v>0</v>
      </c>
    </row>
    <row r="107" spans="1:5" ht="21.75" customHeight="1" thickBot="1">
      <c r="A107" s="16" t="s">
        <v>261</v>
      </c>
      <c r="B107" s="25">
        <v>78602.71</v>
      </c>
      <c r="C107" s="27">
        <v>43062.69</v>
      </c>
      <c r="D107" s="26">
        <f t="shared" si="0"/>
        <v>54.78524849842963</v>
      </c>
      <c r="E107" s="27">
        <f t="shared" si="1"/>
        <v>-35540.020000000004</v>
      </c>
    </row>
    <row r="108" spans="1:5" ht="13.5" thickBot="1">
      <c r="A108" s="128" t="s">
        <v>124</v>
      </c>
      <c r="B108" s="183">
        <f>SUM(B109,)</f>
        <v>0</v>
      </c>
      <c r="C108" s="183">
        <f>SUM(C109,)</f>
        <v>0</v>
      </c>
      <c r="D108" s="144" t="str">
        <f t="shared" si="0"/>
        <v>   </v>
      </c>
      <c r="E108" s="145">
        <f t="shared" si="1"/>
        <v>0</v>
      </c>
    </row>
    <row r="109" spans="1:5" ht="12.75">
      <c r="A109" s="126" t="s">
        <v>43</v>
      </c>
      <c r="B109" s="121">
        <v>0</v>
      </c>
      <c r="C109" s="127">
        <v>0</v>
      </c>
      <c r="D109" s="123" t="str">
        <f t="shared" si="0"/>
        <v>   </v>
      </c>
      <c r="E109" s="124">
        <f t="shared" si="1"/>
        <v>0</v>
      </c>
    </row>
    <row r="110" spans="1:5" ht="27" customHeight="1">
      <c r="A110" s="171" t="s">
        <v>15</v>
      </c>
      <c r="B110" s="149">
        <f>SUM(B52,B59,B61,B63,B80,B102,B103,B108,)</f>
        <v>7158577.33</v>
      </c>
      <c r="C110" s="149">
        <f>SUM(C52,C59,C61,C63,C80,C102,C103,C108,)</f>
        <v>5073753.41</v>
      </c>
      <c r="D110" s="140">
        <f>IF(B110=0,"   ",C110/B110*100)</f>
        <v>70.87656074813961</v>
      </c>
      <c r="E110" s="141">
        <f>C110-B110</f>
        <v>-2084823.92</v>
      </c>
    </row>
    <row r="111" spans="1:5" s="59" customFormat="1" ht="42.75" customHeight="1">
      <c r="A111" s="80" t="s">
        <v>334</v>
      </c>
      <c r="B111" s="80"/>
      <c r="C111" s="336"/>
      <c r="D111" s="336"/>
      <c r="E111" s="336"/>
    </row>
    <row r="112" spans="1:5" s="59" customFormat="1" ht="18.75" customHeight="1">
      <c r="A112" s="80" t="s">
        <v>154</v>
      </c>
      <c r="B112" s="80"/>
      <c r="C112" s="81" t="s">
        <v>335</v>
      </c>
      <c r="D112" s="82"/>
      <c r="E112" s="83"/>
    </row>
    <row r="113" spans="1:5" ht="12.75">
      <c r="A113" s="7"/>
      <c r="B113" s="7"/>
      <c r="C113" s="6"/>
      <c r="D113" s="7"/>
      <c r="E113" s="2"/>
    </row>
    <row r="114" spans="1:5" ht="12.75">
      <c r="A114" s="7"/>
      <c r="B114" s="7"/>
      <c r="C114" s="6"/>
      <c r="D114" s="7"/>
      <c r="E114" s="2"/>
    </row>
    <row r="115" spans="1:5" ht="12.75">
      <c r="A115" s="7"/>
      <c r="B115" s="7"/>
      <c r="C115" s="6"/>
      <c r="D115" s="7"/>
      <c r="E115" s="2"/>
    </row>
    <row r="116" spans="1:5" ht="12.75">
      <c r="A116" s="7"/>
      <c r="B116" s="7"/>
      <c r="C116" s="6"/>
      <c r="D116" s="7"/>
      <c r="E116" s="2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</sheetData>
  <sheetProtection/>
  <mergeCells count="2">
    <mergeCell ref="A1:E1"/>
    <mergeCell ref="C111:E111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7"/>
  <sheetViews>
    <sheetView zoomScaleSheetLayoutView="100" zoomScalePageLayoutView="0" workbookViewId="0" topLeftCell="A85">
      <selection activeCell="A104" sqref="A104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7.25">
      <c r="A1" s="338" t="s">
        <v>321</v>
      </c>
      <c r="B1" s="338"/>
      <c r="C1" s="338"/>
      <c r="D1" s="338"/>
      <c r="E1" s="338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249</v>
      </c>
      <c r="C3" s="32" t="s">
        <v>319</v>
      </c>
      <c r="D3" s="19" t="s">
        <v>250</v>
      </c>
      <c r="E3" s="36" t="s">
        <v>254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77000</v>
      </c>
      <c r="C6" s="148">
        <f>SUM(C7)</f>
        <v>62324.51</v>
      </c>
      <c r="D6" s="26">
        <f aca="true" t="shared" si="0" ref="D6:D95">IF(B6=0,"   ",C6/B6*100)</f>
        <v>80.94092207792208</v>
      </c>
      <c r="E6" s="42">
        <f aca="true" t="shared" si="1" ref="E6:E96">C6-B6</f>
        <v>-14675.489999999998</v>
      </c>
    </row>
    <row r="7" spans="1:5" ht="15" customHeight="1">
      <c r="A7" s="16" t="s">
        <v>44</v>
      </c>
      <c r="B7" s="25">
        <v>77000</v>
      </c>
      <c r="C7" s="227">
        <v>62324.51</v>
      </c>
      <c r="D7" s="26">
        <f t="shared" si="0"/>
        <v>80.94092207792208</v>
      </c>
      <c r="E7" s="42">
        <f t="shared" si="1"/>
        <v>-14675.489999999998</v>
      </c>
    </row>
    <row r="8" spans="1:5" ht="15.75" customHeight="1">
      <c r="A8" s="64" t="s">
        <v>137</v>
      </c>
      <c r="B8" s="24">
        <f>SUM(B9)</f>
        <v>391400</v>
      </c>
      <c r="C8" s="193">
        <f>SUM(C9)</f>
        <v>371662.56</v>
      </c>
      <c r="D8" s="26">
        <f t="shared" si="0"/>
        <v>94.95722023505365</v>
      </c>
      <c r="E8" s="42">
        <f t="shared" si="1"/>
        <v>-19737.440000000002</v>
      </c>
    </row>
    <row r="9" spans="1:5" ht="15" customHeight="1">
      <c r="A9" s="41" t="s">
        <v>138</v>
      </c>
      <c r="B9" s="25">
        <v>391400</v>
      </c>
      <c r="C9" s="227">
        <v>371662.56</v>
      </c>
      <c r="D9" s="26">
        <f t="shared" si="0"/>
        <v>94.95722023505365</v>
      </c>
      <c r="E9" s="42">
        <f t="shared" si="1"/>
        <v>-19737.440000000002</v>
      </c>
    </row>
    <row r="10" spans="1:5" ht="16.5" customHeight="1">
      <c r="A10" s="16" t="s">
        <v>7</v>
      </c>
      <c r="B10" s="25">
        <f>B11</f>
        <v>25800</v>
      </c>
      <c r="C10" s="194">
        <f>C11</f>
        <v>16379.46</v>
      </c>
      <c r="D10" s="26">
        <f t="shared" si="0"/>
        <v>63.486279069767434</v>
      </c>
      <c r="E10" s="42">
        <f t="shared" si="1"/>
        <v>-9420.54</v>
      </c>
    </row>
    <row r="11" spans="1:5" ht="15" customHeight="1">
      <c r="A11" s="16" t="s">
        <v>26</v>
      </c>
      <c r="B11" s="25">
        <v>25800</v>
      </c>
      <c r="C11" s="227">
        <v>16379.46</v>
      </c>
      <c r="D11" s="26">
        <f t="shared" si="0"/>
        <v>63.486279069767434</v>
      </c>
      <c r="E11" s="42">
        <f t="shared" si="1"/>
        <v>-9420.54</v>
      </c>
    </row>
    <row r="12" spans="1:5" ht="15" customHeight="1">
      <c r="A12" s="16" t="s">
        <v>9</v>
      </c>
      <c r="B12" s="25">
        <f>SUM(B13:B14)</f>
        <v>227000</v>
      </c>
      <c r="C12" s="194">
        <f>SUM(C13:C14)</f>
        <v>224080.4</v>
      </c>
      <c r="D12" s="26">
        <f t="shared" si="0"/>
        <v>98.71383259911894</v>
      </c>
      <c r="E12" s="42">
        <f t="shared" si="1"/>
        <v>-2919.600000000006</v>
      </c>
    </row>
    <row r="13" spans="1:5" ht="12.75" customHeight="1">
      <c r="A13" s="16" t="s">
        <v>27</v>
      </c>
      <c r="B13" s="25">
        <v>70000</v>
      </c>
      <c r="C13" s="227">
        <v>99713.8</v>
      </c>
      <c r="D13" s="26">
        <f t="shared" si="0"/>
        <v>142.4482857142857</v>
      </c>
      <c r="E13" s="42">
        <f t="shared" si="1"/>
        <v>29713.800000000003</v>
      </c>
    </row>
    <row r="14" spans="1:5" ht="15" customHeight="1">
      <c r="A14" s="41" t="s">
        <v>160</v>
      </c>
      <c r="B14" s="31">
        <f>SUM(B15:B16)</f>
        <v>157000</v>
      </c>
      <c r="C14" s="194">
        <f>SUM(C15:C16)</f>
        <v>124366.59999999999</v>
      </c>
      <c r="D14" s="26">
        <f t="shared" si="0"/>
        <v>79.2143949044586</v>
      </c>
      <c r="E14" s="42">
        <f t="shared" si="1"/>
        <v>-32633.40000000001</v>
      </c>
    </row>
    <row r="15" spans="1:5" ht="15" customHeight="1">
      <c r="A15" s="41" t="s">
        <v>161</v>
      </c>
      <c r="B15" s="31">
        <v>1000</v>
      </c>
      <c r="C15" s="227">
        <v>2511.7</v>
      </c>
      <c r="D15" s="26">
        <f t="shared" si="0"/>
        <v>251.17</v>
      </c>
      <c r="E15" s="42">
        <f t="shared" si="1"/>
        <v>1511.6999999999998</v>
      </c>
    </row>
    <row r="16" spans="1:5" ht="15" customHeight="1">
      <c r="A16" s="41" t="s">
        <v>162</v>
      </c>
      <c r="B16" s="31">
        <v>156000</v>
      </c>
      <c r="C16" s="227">
        <v>121854.9</v>
      </c>
      <c r="D16" s="26">
        <f t="shared" si="0"/>
        <v>78.11211538461538</v>
      </c>
      <c r="E16" s="42">
        <f t="shared" si="1"/>
        <v>-34145.100000000006</v>
      </c>
    </row>
    <row r="17" spans="1:5" ht="15" customHeight="1">
      <c r="A17" s="41" t="s">
        <v>196</v>
      </c>
      <c r="B17" s="31">
        <v>0</v>
      </c>
      <c r="C17" s="195">
        <v>600</v>
      </c>
      <c r="D17" s="26" t="str">
        <f t="shared" si="0"/>
        <v>   </v>
      </c>
      <c r="E17" s="42">
        <f t="shared" si="1"/>
        <v>600</v>
      </c>
    </row>
    <row r="18" spans="1:5" ht="27.75" customHeight="1">
      <c r="A18" s="16" t="s">
        <v>88</v>
      </c>
      <c r="B18" s="25">
        <v>0</v>
      </c>
      <c r="C18" s="194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130200</v>
      </c>
      <c r="C19" s="194">
        <f>SUM(C20:C21)</f>
        <v>75741.26999999999</v>
      </c>
      <c r="D19" s="26">
        <f t="shared" si="0"/>
        <v>58.17301843317971</v>
      </c>
      <c r="E19" s="42">
        <f t="shared" si="1"/>
        <v>-54458.73000000001</v>
      </c>
    </row>
    <row r="20" spans="1:5" ht="12.75" customHeight="1">
      <c r="A20" s="41" t="s">
        <v>152</v>
      </c>
      <c r="B20" s="25">
        <v>96200</v>
      </c>
      <c r="C20" s="227">
        <v>41889.32</v>
      </c>
      <c r="D20" s="26">
        <f t="shared" si="0"/>
        <v>43.543991683991685</v>
      </c>
      <c r="E20" s="42">
        <f t="shared" si="1"/>
        <v>-54310.68</v>
      </c>
    </row>
    <row r="21" spans="1:5" ht="15.75" customHeight="1">
      <c r="A21" s="16" t="s">
        <v>30</v>
      </c>
      <c r="B21" s="25">
        <v>34000</v>
      </c>
      <c r="C21" s="227">
        <v>33851.95</v>
      </c>
      <c r="D21" s="26">
        <f t="shared" si="0"/>
        <v>99.56455882352941</v>
      </c>
      <c r="E21" s="42">
        <f t="shared" si="1"/>
        <v>-148.0500000000029</v>
      </c>
    </row>
    <row r="22" spans="1:5" ht="15.75" customHeight="1">
      <c r="A22" s="39" t="s">
        <v>91</v>
      </c>
      <c r="B22" s="25">
        <v>0</v>
      </c>
      <c r="C22" s="195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0</v>
      </c>
      <c r="C23" s="193">
        <f>C24+C25</f>
        <v>3920</v>
      </c>
      <c r="D23" s="26" t="str">
        <f t="shared" si="0"/>
        <v>   </v>
      </c>
      <c r="E23" s="42">
        <f t="shared" si="1"/>
        <v>3920</v>
      </c>
    </row>
    <row r="24" spans="1:5" ht="27.75" customHeight="1">
      <c r="A24" s="16" t="s">
        <v>306</v>
      </c>
      <c r="B24" s="25">
        <v>0</v>
      </c>
      <c r="C24" s="230">
        <v>3920</v>
      </c>
      <c r="D24" s="26" t="str">
        <f t="shared" si="0"/>
        <v>   </v>
      </c>
      <c r="E24" s="42">
        <f t="shared" si="1"/>
        <v>3920</v>
      </c>
    </row>
    <row r="25" spans="1:5" ht="15" customHeight="1">
      <c r="A25" s="41" t="s">
        <v>134</v>
      </c>
      <c r="B25" s="25">
        <v>0</v>
      </c>
      <c r="C25" s="227">
        <v>0</v>
      </c>
      <c r="D25" s="26" t="str">
        <f t="shared" si="0"/>
        <v>   </v>
      </c>
      <c r="E25" s="42">
        <f t="shared" si="1"/>
        <v>0</v>
      </c>
    </row>
    <row r="26" spans="1:5" ht="15" customHeight="1">
      <c r="A26" s="39" t="s">
        <v>333</v>
      </c>
      <c r="B26" s="25">
        <v>0</v>
      </c>
      <c r="C26" s="227">
        <v>9965</v>
      </c>
      <c r="D26" s="26" t="str">
        <f>IF(B26=0,"   ",C26/B26*100)</f>
        <v>   </v>
      </c>
      <c r="E26" s="42">
        <f>C26-B26</f>
        <v>9965</v>
      </c>
    </row>
    <row r="27" spans="1:5" ht="13.5" customHeight="1">
      <c r="A27" s="16" t="s">
        <v>32</v>
      </c>
      <c r="B27" s="25">
        <f>SUM(B28:B29)</f>
        <v>0</v>
      </c>
      <c r="C27" s="194">
        <f>SUM(C28:C29)</f>
        <v>2.79</v>
      </c>
      <c r="D27" s="26" t="str">
        <f t="shared" si="0"/>
        <v>   </v>
      </c>
      <c r="E27" s="42">
        <f t="shared" si="1"/>
        <v>2.79</v>
      </c>
    </row>
    <row r="28" spans="1:5" ht="13.5" customHeight="1">
      <c r="A28" s="16" t="s">
        <v>46</v>
      </c>
      <c r="B28" s="25">
        <v>0</v>
      </c>
      <c r="C28" s="194">
        <v>2.79</v>
      </c>
      <c r="D28" s="26"/>
      <c r="E28" s="42">
        <f t="shared" si="1"/>
        <v>2.79</v>
      </c>
    </row>
    <row r="29" spans="1:5" ht="15" customHeight="1">
      <c r="A29" s="16" t="s">
        <v>50</v>
      </c>
      <c r="B29" s="25">
        <v>0</v>
      </c>
      <c r="C29" s="195">
        <v>0</v>
      </c>
      <c r="D29" s="26" t="str">
        <f t="shared" si="0"/>
        <v>   </v>
      </c>
      <c r="E29" s="42">
        <f t="shared" si="1"/>
        <v>0</v>
      </c>
    </row>
    <row r="30" spans="1:5" ht="13.5" customHeight="1">
      <c r="A30" s="16" t="s">
        <v>31</v>
      </c>
      <c r="B30" s="25">
        <v>0</v>
      </c>
      <c r="C30" s="194">
        <v>0</v>
      </c>
      <c r="D30" s="26" t="str">
        <f t="shared" si="0"/>
        <v>   </v>
      </c>
      <c r="E30" s="42">
        <f t="shared" si="1"/>
        <v>0</v>
      </c>
    </row>
    <row r="31" spans="1:5" ht="22.5" customHeight="1">
      <c r="A31" s="171" t="s">
        <v>10</v>
      </c>
      <c r="B31" s="43">
        <f>SUM(B6,B8,B10,B12,B18,B19,B22,B23,B30,B27,B17)</f>
        <v>851400</v>
      </c>
      <c r="C31" s="149">
        <f>SUM(C6,C8,C10,C12,C18,C19,C22,C23,C30,C27,C17,C26)</f>
        <v>764675.9900000001</v>
      </c>
      <c r="D31" s="140">
        <f t="shared" si="0"/>
        <v>89.81395231383604</v>
      </c>
      <c r="E31" s="141">
        <f t="shared" si="1"/>
        <v>-86724.0099999999</v>
      </c>
    </row>
    <row r="32" spans="1:5" ht="16.5" customHeight="1">
      <c r="A32" s="179" t="s">
        <v>140</v>
      </c>
      <c r="B32" s="184">
        <f>SUM(B33:B36,B39:B42,B46)</f>
        <v>3660360</v>
      </c>
      <c r="C32" s="184">
        <f>SUM(C33:C36,C39:C42,C46)</f>
        <v>3660360</v>
      </c>
      <c r="D32" s="140">
        <f t="shared" si="0"/>
        <v>100</v>
      </c>
      <c r="E32" s="141">
        <f t="shared" si="1"/>
        <v>0</v>
      </c>
    </row>
    <row r="33" spans="1:5" ht="20.25" customHeight="1">
      <c r="A33" s="17" t="s">
        <v>34</v>
      </c>
      <c r="B33" s="24">
        <v>1218400</v>
      </c>
      <c r="C33" s="231">
        <v>1218400</v>
      </c>
      <c r="D33" s="26">
        <f t="shared" si="0"/>
        <v>100</v>
      </c>
      <c r="E33" s="42">
        <f t="shared" si="1"/>
        <v>0</v>
      </c>
    </row>
    <row r="34" spans="1:5" ht="20.25" customHeight="1">
      <c r="A34" s="17" t="s">
        <v>229</v>
      </c>
      <c r="B34" s="24">
        <v>0</v>
      </c>
      <c r="C34" s="231">
        <v>0</v>
      </c>
      <c r="D34" s="26" t="str">
        <f>IF(B34=0,"   ",C34/B34*100)</f>
        <v>   </v>
      </c>
      <c r="E34" s="42">
        <f>C34-B34</f>
        <v>0</v>
      </c>
    </row>
    <row r="35" spans="1:5" ht="26.25" customHeight="1">
      <c r="A35" s="133" t="s">
        <v>51</v>
      </c>
      <c r="B35" s="134">
        <v>99200</v>
      </c>
      <c r="C35" s="231">
        <v>99200</v>
      </c>
      <c r="D35" s="135">
        <f t="shared" si="0"/>
        <v>100</v>
      </c>
      <c r="E35" s="136">
        <f t="shared" si="1"/>
        <v>0</v>
      </c>
    </row>
    <row r="36" spans="1:5" ht="26.25" customHeight="1">
      <c r="A36" s="108" t="s">
        <v>148</v>
      </c>
      <c r="B36" s="134">
        <f>SUM(B37:B38)</f>
        <v>100</v>
      </c>
      <c r="C36" s="134">
        <f>SUM(C37:C38)</f>
        <v>100</v>
      </c>
      <c r="D36" s="135">
        <f t="shared" si="0"/>
        <v>100</v>
      </c>
      <c r="E36" s="136">
        <f t="shared" si="1"/>
        <v>0</v>
      </c>
    </row>
    <row r="37" spans="1:5" ht="17.25" customHeight="1">
      <c r="A37" s="108" t="s">
        <v>163</v>
      </c>
      <c r="B37" s="134">
        <v>100</v>
      </c>
      <c r="C37" s="134">
        <v>100</v>
      </c>
      <c r="D37" s="135">
        <f>IF(B37=0,"   ",C37/B37*100)</f>
        <v>100</v>
      </c>
      <c r="E37" s="136">
        <f>C37-B37</f>
        <v>0</v>
      </c>
    </row>
    <row r="38" spans="1:5" ht="26.25" customHeight="1">
      <c r="A38" s="108" t="s">
        <v>164</v>
      </c>
      <c r="B38" s="134">
        <v>0</v>
      </c>
      <c r="C38" s="134">
        <v>0</v>
      </c>
      <c r="D38" s="135" t="str">
        <f>IF(B38=0,"   ",C38/B38*100)</f>
        <v>   </v>
      </c>
      <c r="E38" s="136">
        <f>C38-B38</f>
        <v>0</v>
      </c>
    </row>
    <row r="39" spans="1:5" ht="44.25" customHeight="1">
      <c r="A39" s="16" t="s">
        <v>103</v>
      </c>
      <c r="B39" s="25">
        <v>0</v>
      </c>
      <c r="C39" s="25">
        <v>0</v>
      </c>
      <c r="D39" s="26" t="str">
        <f t="shared" si="0"/>
        <v>   </v>
      </c>
      <c r="E39" s="42">
        <f t="shared" si="1"/>
        <v>0</v>
      </c>
    </row>
    <row r="40" spans="1:5" ht="33" customHeight="1">
      <c r="A40" s="16" t="s">
        <v>296</v>
      </c>
      <c r="B40" s="25">
        <v>200000</v>
      </c>
      <c r="C40" s="25">
        <v>200000</v>
      </c>
      <c r="D40" s="26">
        <f t="shared" si="0"/>
        <v>100</v>
      </c>
      <c r="E40" s="42">
        <f t="shared" si="1"/>
        <v>0</v>
      </c>
    </row>
    <row r="41" spans="1:5" ht="57" customHeight="1">
      <c r="A41" s="16" t="s">
        <v>238</v>
      </c>
      <c r="B41" s="25">
        <v>328400</v>
      </c>
      <c r="C41" s="25">
        <v>328400</v>
      </c>
      <c r="D41" s="26">
        <f t="shared" si="0"/>
        <v>100</v>
      </c>
      <c r="E41" s="42">
        <f t="shared" si="1"/>
        <v>0</v>
      </c>
    </row>
    <row r="42" spans="1:5" ht="15" customHeight="1">
      <c r="A42" s="16" t="s">
        <v>55</v>
      </c>
      <c r="B42" s="25">
        <f>B45+B44</f>
        <v>1814260</v>
      </c>
      <c r="C42" s="25">
        <f>C45+C44</f>
        <v>1814260</v>
      </c>
      <c r="D42" s="26">
        <f t="shared" si="0"/>
        <v>100</v>
      </c>
      <c r="E42" s="42">
        <f t="shared" si="1"/>
        <v>0</v>
      </c>
    </row>
    <row r="43" spans="1:5" ht="15" customHeight="1">
      <c r="A43" s="46" t="s">
        <v>188</v>
      </c>
      <c r="B43" s="25">
        <v>0</v>
      </c>
      <c r="C43" s="25">
        <v>0</v>
      </c>
      <c r="D43" s="47" t="str">
        <f t="shared" si="0"/>
        <v>   </v>
      </c>
      <c r="E43" s="40">
        <f t="shared" si="1"/>
        <v>0</v>
      </c>
    </row>
    <row r="44" spans="1:5" ht="15" customHeight="1">
      <c r="A44" s="46" t="s">
        <v>294</v>
      </c>
      <c r="B44" s="25">
        <v>1571660</v>
      </c>
      <c r="C44" s="25">
        <v>1571660</v>
      </c>
      <c r="D44" s="47">
        <f>IF(B44=0,"   ",C44/B44*100)</f>
        <v>100</v>
      </c>
      <c r="E44" s="40">
        <f>C44-B44</f>
        <v>0</v>
      </c>
    </row>
    <row r="45" spans="1:5" s="7" customFormat="1" ht="18" customHeight="1">
      <c r="A45" s="46" t="s">
        <v>109</v>
      </c>
      <c r="B45" s="47">
        <v>242600</v>
      </c>
      <c r="C45" s="27">
        <v>242600</v>
      </c>
      <c r="D45" s="47">
        <f t="shared" si="0"/>
        <v>100</v>
      </c>
      <c r="E45" s="40">
        <f t="shared" si="1"/>
        <v>0</v>
      </c>
    </row>
    <row r="46" spans="1:5" s="7" customFormat="1" ht="18" customHeight="1">
      <c r="A46" s="16" t="s">
        <v>199</v>
      </c>
      <c r="B46" s="47">
        <v>0</v>
      </c>
      <c r="C46" s="27">
        <v>0</v>
      </c>
      <c r="D46" s="47" t="str">
        <f t="shared" si="0"/>
        <v>   </v>
      </c>
      <c r="E46" s="40">
        <f t="shared" si="1"/>
        <v>0</v>
      </c>
    </row>
    <row r="47" spans="1:5" ht="18.75" customHeight="1">
      <c r="A47" s="171" t="s">
        <v>11</v>
      </c>
      <c r="B47" s="149">
        <f>SUM(B31:B32,)</f>
        <v>4511760</v>
      </c>
      <c r="C47" s="149">
        <f>SUM(C31:C32,)</f>
        <v>4425035.99</v>
      </c>
      <c r="D47" s="140">
        <f t="shared" si="0"/>
        <v>98.07782306682981</v>
      </c>
      <c r="E47" s="141">
        <f t="shared" si="1"/>
        <v>-86724.00999999978</v>
      </c>
    </row>
    <row r="48" spans="1:5" ht="15" customHeight="1" thickBot="1">
      <c r="A48" s="105" t="s">
        <v>12</v>
      </c>
      <c r="B48" s="106"/>
      <c r="C48" s="107"/>
      <c r="D48" s="111" t="str">
        <f t="shared" si="0"/>
        <v>   </v>
      </c>
      <c r="E48" s="112">
        <f t="shared" si="1"/>
        <v>0</v>
      </c>
    </row>
    <row r="49" spans="1:5" ht="27.75" customHeight="1" thickBot="1">
      <c r="A49" s="128" t="s">
        <v>35</v>
      </c>
      <c r="B49" s="129">
        <f>SUM(B50,B53:B54)</f>
        <v>1446000</v>
      </c>
      <c r="C49" s="129">
        <f>SUM(C50,C53:C54)</f>
        <v>1375972.9</v>
      </c>
      <c r="D49" s="130">
        <f t="shared" si="0"/>
        <v>95.15718533886583</v>
      </c>
      <c r="E49" s="131">
        <f t="shared" si="1"/>
        <v>-70027.1000000001</v>
      </c>
    </row>
    <row r="50" spans="1:5" ht="15.75" customHeight="1">
      <c r="A50" s="116" t="s">
        <v>36</v>
      </c>
      <c r="B50" s="117">
        <v>1421500</v>
      </c>
      <c r="C50" s="117">
        <v>1371722.9</v>
      </c>
      <c r="D50" s="118">
        <f t="shared" si="0"/>
        <v>96.49826943369679</v>
      </c>
      <c r="E50" s="119">
        <f t="shared" si="1"/>
        <v>-49777.10000000009</v>
      </c>
    </row>
    <row r="51" spans="1:5" ht="14.25" customHeight="1">
      <c r="A51" s="85" t="s">
        <v>120</v>
      </c>
      <c r="B51" s="25">
        <v>940847.27</v>
      </c>
      <c r="C51" s="28">
        <v>928502.73</v>
      </c>
      <c r="D51" s="26">
        <f t="shared" si="0"/>
        <v>98.68793369618854</v>
      </c>
      <c r="E51" s="42">
        <f t="shared" si="1"/>
        <v>-12344.540000000037</v>
      </c>
    </row>
    <row r="52" spans="1:5" ht="14.25" customHeight="1">
      <c r="A52" s="85" t="s">
        <v>286</v>
      </c>
      <c r="B52" s="25">
        <v>100</v>
      </c>
      <c r="C52" s="28">
        <v>100</v>
      </c>
      <c r="D52" s="26">
        <f>IF(B52=0,"   ",C52/B52*100)</f>
        <v>100</v>
      </c>
      <c r="E52" s="42">
        <f>C52-B52</f>
        <v>0</v>
      </c>
    </row>
    <row r="53" spans="1:5" ht="12.75" customHeight="1">
      <c r="A53" s="16" t="s">
        <v>95</v>
      </c>
      <c r="B53" s="25">
        <v>500</v>
      </c>
      <c r="C53" s="27">
        <v>0</v>
      </c>
      <c r="D53" s="26">
        <f t="shared" si="0"/>
        <v>0</v>
      </c>
      <c r="E53" s="42">
        <f t="shared" si="1"/>
        <v>-500</v>
      </c>
    </row>
    <row r="54" spans="1:5" ht="12.75" customHeight="1">
      <c r="A54" s="16" t="s">
        <v>52</v>
      </c>
      <c r="B54" s="25">
        <f>B56+B55</f>
        <v>24000</v>
      </c>
      <c r="C54" s="25">
        <f>C56+C55</f>
        <v>4250</v>
      </c>
      <c r="D54" s="26">
        <f t="shared" si="0"/>
        <v>17.708333333333336</v>
      </c>
      <c r="E54" s="42">
        <f t="shared" si="1"/>
        <v>-19750</v>
      </c>
    </row>
    <row r="55" spans="1:5" ht="30.75" customHeight="1">
      <c r="A55" s="104" t="s">
        <v>244</v>
      </c>
      <c r="B55" s="25">
        <v>24000</v>
      </c>
      <c r="C55" s="27">
        <v>4250</v>
      </c>
      <c r="D55" s="26">
        <f t="shared" si="0"/>
        <v>17.708333333333336</v>
      </c>
      <c r="E55" s="42">
        <f t="shared" si="1"/>
        <v>-19750</v>
      </c>
    </row>
    <row r="56" spans="1:5" ht="24" customHeight="1" thickBot="1">
      <c r="A56" s="104" t="s">
        <v>237</v>
      </c>
      <c r="B56" s="25">
        <v>0</v>
      </c>
      <c r="C56" s="27">
        <v>0</v>
      </c>
      <c r="D56" s="26" t="str">
        <f>IF(B56=0,"   ",C56/B56*100)</f>
        <v>   </v>
      </c>
      <c r="E56" s="42">
        <f>C56-B56</f>
        <v>0</v>
      </c>
    </row>
    <row r="57" spans="1:5" ht="14.25" customHeight="1" thickBot="1">
      <c r="A57" s="128" t="s">
        <v>49</v>
      </c>
      <c r="B57" s="235">
        <f>SUM(B58)</f>
        <v>99200</v>
      </c>
      <c r="C57" s="235">
        <f>SUM(C58)</f>
        <v>99200</v>
      </c>
      <c r="D57" s="130">
        <f t="shared" si="0"/>
        <v>100</v>
      </c>
      <c r="E57" s="131">
        <f t="shared" si="1"/>
        <v>0</v>
      </c>
    </row>
    <row r="58" spans="1:5" ht="22.5" customHeight="1" thickBot="1">
      <c r="A58" s="120" t="s">
        <v>107</v>
      </c>
      <c r="B58" s="121">
        <v>99200</v>
      </c>
      <c r="C58" s="122">
        <v>99200</v>
      </c>
      <c r="D58" s="130">
        <f t="shared" si="0"/>
        <v>100</v>
      </c>
      <c r="E58" s="124">
        <f t="shared" si="1"/>
        <v>0</v>
      </c>
    </row>
    <row r="59" spans="1:5" ht="17.25" customHeight="1" thickBot="1">
      <c r="A59" s="128" t="s">
        <v>37</v>
      </c>
      <c r="B59" s="129">
        <f>SUM(B60)</f>
        <v>400</v>
      </c>
      <c r="C59" s="129">
        <f>SUM(C60)</f>
        <v>400</v>
      </c>
      <c r="D59" s="130">
        <f t="shared" si="0"/>
        <v>100</v>
      </c>
      <c r="E59" s="131">
        <f t="shared" si="1"/>
        <v>0</v>
      </c>
    </row>
    <row r="60" spans="1:5" ht="15.75" customHeight="1">
      <c r="A60" s="75" t="s">
        <v>128</v>
      </c>
      <c r="B60" s="117">
        <v>400</v>
      </c>
      <c r="C60" s="125">
        <v>400</v>
      </c>
      <c r="D60" s="118">
        <f t="shared" si="0"/>
        <v>100</v>
      </c>
      <c r="E60" s="119">
        <f t="shared" si="1"/>
        <v>0</v>
      </c>
    </row>
    <row r="61" spans="1:5" ht="18.75" customHeight="1" thickBot="1">
      <c r="A61" s="146" t="s">
        <v>38</v>
      </c>
      <c r="B61" s="113">
        <f>B65+B62+B73</f>
        <v>1052727.97</v>
      </c>
      <c r="C61" s="113">
        <f>C65+C62+C73</f>
        <v>973600</v>
      </c>
      <c r="D61" s="111">
        <f t="shared" si="0"/>
        <v>92.48353114432783</v>
      </c>
      <c r="E61" s="112">
        <f t="shared" si="1"/>
        <v>-79127.96999999997</v>
      </c>
    </row>
    <row r="62" spans="1:5" ht="18.75" customHeight="1" thickBot="1">
      <c r="A62" s="75" t="s">
        <v>165</v>
      </c>
      <c r="B62" s="98">
        <f>SUM(B63+B64)</f>
        <v>0</v>
      </c>
      <c r="C62" s="98">
        <f>SUM(C63+C64)</f>
        <v>0</v>
      </c>
      <c r="D62" s="111" t="str">
        <f>IF(B62=0,"   ",C62/B62*100)</f>
        <v>   </v>
      </c>
      <c r="E62" s="112">
        <f>C62-B62</f>
        <v>0</v>
      </c>
    </row>
    <row r="63" spans="1:5" ht="18.75" customHeight="1">
      <c r="A63" s="75" t="s">
        <v>166</v>
      </c>
      <c r="B63" s="121">
        <v>0</v>
      </c>
      <c r="C63" s="113">
        <v>0</v>
      </c>
      <c r="D63" s="111" t="str">
        <f>IF(B63=0,"   ",C63/B63*100)</f>
        <v>   </v>
      </c>
      <c r="E63" s="112">
        <f>C63-B63</f>
        <v>0</v>
      </c>
    </row>
    <row r="64" spans="1:5" ht="18.75" customHeight="1">
      <c r="A64" s="75" t="s">
        <v>189</v>
      </c>
      <c r="B64" s="121">
        <v>0</v>
      </c>
      <c r="C64" s="113">
        <v>0</v>
      </c>
      <c r="D64" s="111" t="str">
        <f>IF(B64=0,"   ",C64/B64*100)</f>
        <v>   </v>
      </c>
      <c r="E64" s="112">
        <f>C64-B64</f>
        <v>0</v>
      </c>
    </row>
    <row r="65" spans="1:5" ht="15" customHeight="1">
      <c r="A65" s="147" t="s">
        <v>131</v>
      </c>
      <c r="B65" s="25">
        <f>SUM(B66:B72)</f>
        <v>1015727.97</v>
      </c>
      <c r="C65" s="25">
        <f>SUM(C66:C72)</f>
        <v>965600</v>
      </c>
      <c r="D65" s="111">
        <f t="shared" si="0"/>
        <v>95.0648233109107</v>
      </c>
      <c r="E65" s="112">
        <f t="shared" si="1"/>
        <v>-50127.96999999997</v>
      </c>
    </row>
    <row r="66" spans="1:5" ht="18.75" customHeight="1">
      <c r="A66" s="75" t="s">
        <v>149</v>
      </c>
      <c r="B66" s="25">
        <v>0</v>
      </c>
      <c r="C66" s="25">
        <v>0</v>
      </c>
      <c r="D66" s="111" t="str">
        <f t="shared" si="0"/>
        <v>   </v>
      </c>
      <c r="E66" s="112">
        <f t="shared" si="1"/>
        <v>0</v>
      </c>
    </row>
    <row r="67" spans="1:5" ht="30.75" customHeight="1">
      <c r="A67" s="71" t="s">
        <v>255</v>
      </c>
      <c r="B67" s="25">
        <v>348827.97</v>
      </c>
      <c r="C67" s="25">
        <v>298700</v>
      </c>
      <c r="D67" s="111">
        <f>IF(B67=0,"   ",C67/B67*100)</f>
        <v>85.62960131895387</v>
      </c>
      <c r="E67" s="112">
        <f>C67-B67</f>
        <v>-50127.96999999997</v>
      </c>
    </row>
    <row r="68" spans="1:5" ht="30" customHeight="1">
      <c r="A68" s="71" t="s">
        <v>256</v>
      </c>
      <c r="B68" s="25">
        <v>32400</v>
      </c>
      <c r="C68" s="25">
        <v>32400</v>
      </c>
      <c r="D68" s="111">
        <f t="shared" si="0"/>
        <v>100</v>
      </c>
      <c r="E68" s="112">
        <f t="shared" si="1"/>
        <v>0</v>
      </c>
    </row>
    <row r="69" spans="1:5" ht="30" customHeight="1">
      <c r="A69" s="71" t="s">
        <v>257</v>
      </c>
      <c r="B69" s="25">
        <v>328400</v>
      </c>
      <c r="C69" s="25">
        <v>328400</v>
      </c>
      <c r="D69" s="111">
        <f t="shared" si="0"/>
        <v>100</v>
      </c>
      <c r="E69" s="112">
        <f t="shared" si="1"/>
        <v>0</v>
      </c>
    </row>
    <row r="70" spans="1:5" ht="30" customHeight="1">
      <c r="A70" s="71" t="s">
        <v>258</v>
      </c>
      <c r="B70" s="25">
        <v>36500</v>
      </c>
      <c r="C70" s="25">
        <v>36500</v>
      </c>
      <c r="D70" s="111">
        <f t="shared" si="0"/>
        <v>100</v>
      </c>
      <c r="E70" s="112">
        <f t="shared" si="1"/>
        <v>0</v>
      </c>
    </row>
    <row r="71" spans="1:5" ht="30" customHeight="1">
      <c r="A71" s="71" t="s">
        <v>259</v>
      </c>
      <c r="B71" s="25">
        <v>242600</v>
      </c>
      <c r="C71" s="25">
        <v>242600</v>
      </c>
      <c r="D71" s="111">
        <f t="shared" si="0"/>
        <v>100</v>
      </c>
      <c r="E71" s="112">
        <f t="shared" si="1"/>
        <v>0</v>
      </c>
    </row>
    <row r="72" spans="1:5" ht="30" customHeight="1" thickBot="1">
      <c r="A72" s="71" t="s">
        <v>260</v>
      </c>
      <c r="B72" s="25">
        <v>27000</v>
      </c>
      <c r="C72" s="25">
        <v>27000</v>
      </c>
      <c r="D72" s="111">
        <f t="shared" si="0"/>
        <v>100</v>
      </c>
      <c r="E72" s="112">
        <f t="shared" si="1"/>
        <v>0</v>
      </c>
    </row>
    <row r="73" spans="1:5" ht="18" customHeight="1" thickBot="1">
      <c r="A73" s="95" t="s">
        <v>177</v>
      </c>
      <c r="B73" s="98">
        <f>SUM(B74)</f>
        <v>37000</v>
      </c>
      <c r="C73" s="98">
        <f>SUM(C74)</f>
        <v>8000</v>
      </c>
      <c r="D73" s="111">
        <f>IF(B73=0,"   ",C73/B73*100)</f>
        <v>21.62162162162162</v>
      </c>
      <c r="E73" s="112">
        <f>C73-B73</f>
        <v>-29000</v>
      </c>
    </row>
    <row r="74" spans="1:5" ht="31.5" customHeight="1">
      <c r="A74" s="75" t="s">
        <v>178</v>
      </c>
      <c r="B74" s="121">
        <v>37000</v>
      </c>
      <c r="C74" s="121">
        <v>8000</v>
      </c>
      <c r="D74" s="111">
        <f>IF(B74=0,"   ",C74/B74*100)</f>
        <v>21.62162162162162</v>
      </c>
      <c r="E74" s="112">
        <f>C74-B74</f>
        <v>-29000</v>
      </c>
    </row>
    <row r="75" spans="1:5" ht="20.25" customHeight="1" thickBot="1">
      <c r="A75" s="143" t="s">
        <v>13</v>
      </c>
      <c r="B75" s="183">
        <f>SUM(B79,B76)</f>
        <v>2065090</v>
      </c>
      <c r="C75" s="183">
        <f>SUM(C79,C76)</f>
        <v>2059790</v>
      </c>
      <c r="D75" s="123">
        <f t="shared" si="0"/>
        <v>99.74335258995976</v>
      </c>
      <c r="E75" s="124">
        <f t="shared" si="1"/>
        <v>-5300</v>
      </c>
    </row>
    <row r="76" spans="1:5" ht="15" customHeight="1" thickBot="1">
      <c r="A76" s="41" t="s">
        <v>150</v>
      </c>
      <c r="B76" s="98">
        <f>SUM(B77+B78)</f>
        <v>1674790</v>
      </c>
      <c r="C76" s="98">
        <f>SUM(C77+C78)</f>
        <v>1674790</v>
      </c>
      <c r="D76" s="123">
        <f>IF(B76=0,"   ",C76/B76*100)</f>
        <v>100</v>
      </c>
      <c r="E76" s="124">
        <f>C76-B76</f>
        <v>0</v>
      </c>
    </row>
    <row r="77" spans="1:5" ht="15" customHeight="1">
      <c r="A77" s="16" t="s">
        <v>299</v>
      </c>
      <c r="B77" s="25">
        <v>1571660</v>
      </c>
      <c r="C77" s="25">
        <v>1571660</v>
      </c>
      <c r="D77" s="123">
        <f>IF(B77=0,"   ",C77/B77*100)</f>
        <v>100</v>
      </c>
      <c r="E77" s="124">
        <f>C77-B77</f>
        <v>0</v>
      </c>
    </row>
    <row r="78" spans="1:5" ht="15" customHeight="1">
      <c r="A78" s="16" t="s">
        <v>303</v>
      </c>
      <c r="B78" s="25">
        <v>103130</v>
      </c>
      <c r="C78" s="25">
        <v>103130</v>
      </c>
      <c r="D78" s="123">
        <f>IF(B78=0,"   ",C78/B78*100)</f>
        <v>100</v>
      </c>
      <c r="E78" s="124">
        <f>C78-B78</f>
        <v>0</v>
      </c>
    </row>
    <row r="79" spans="1:5" ht="15" customHeight="1">
      <c r="A79" s="16" t="s">
        <v>58</v>
      </c>
      <c r="B79" s="25">
        <f>B80+B81+B82+B83+B87</f>
        <v>390300</v>
      </c>
      <c r="C79" s="25">
        <f>C80+C81+C82+C83+C87</f>
        <v>385000</v>
      </c>
      <c r="D79" s="26">
        <f t="shared" si="0"/>
        <v>98.6420702024084</v>
      </c>
      <c r="E79" s="42">
        <f t="shared" si="1"/>
        <v>-5300</v>
      </c>
    </row>
    <row r="80" spans="1:5" ht="15" customHeight="1">
      <c r="A80" s="16" t="s">
        <v>60</v>
      </c>
      <c r="B80" s="25">
        <v>185300</v>
      </c>
      <c r="C80" s="27">
        <v>185000</v>
      </c>
      <c r="D80" s="26">
        <f t="shared" si="0"/>
        <v>99.83810037776578</v>
      </c>
      <c r="E80" s="42">
        <f t="shared" si="1"/>
        <v>-300</v>
      </c>
    </row>
    <row r="81" spans="1:5" ht="15" customHeight="1">
      <c r="A81" s="104" t="s">
        <v>59</v>
      </c>
      <c r="B81" s="113">
        <v>5000</v>
      </c>
      <c r="C81" s="114">
        <v>0</v>
      </c>
      <c r="D81" s="111">
        <f t="shared" si="0"/>
        <v>0</v>
      </c>
      <c r="E81" s="112">
        <f t="shared" si="1"/>
        <v>-5000</v>
      </c>
    </row>
    <row r="82" spans="1:5" ht="29.25" customHeight="1">
      <c r="A82" s="104" t="s">
        <v>167</v>
      </c>
      <c r="B82" s="25">
        <v>0</v>
      </c>
      <c r="C82" s="27">
        <v>0</v>
      </c>
      <c r="D82" s="26" t="str">
        <f t="shared" si="0"/>
        <v>   </v>
      </c>
      <c r="E82" s="27">
        <f t="shared" si="1"/>
        <v>0</v>
      </c>
    </row>
    <row r="83" spans="1:5" ht="21.75" customHeight="1">
      <c r="A83" s="104" t="s">
        <v>206</v>
      </c>
      <c r="B83" s="25">
        <f>SUM(B84+B85+B86)</f>
        <v>0</v>
      </c>
      <c r="C83" s="25">
        <f>SUM(C84+C85+C86)</f>
        <v>0</v>
      </c>
      <c r="D83" s="26" t="str">
        <f>IF(B83=0,"   ",C83/B83*100)</f>
        <v>   </v>
      </c>
      <c r="E83" s="27">
        <f>C83-B83</f>
        <v>0</v>
      </c>
    </row>
    <row r="84" spans="1:5" ht="29.25" customHeight="1">
      <c r="A84" s="104" t="s">
        <v>187</v>
      </c>
      <c r="B84" s="25">
        <v>0</v>
      </c>
      <c r="C84" s="27">
        <v>0</v>
      </c>
      <c r="D84" s="26" t="str">
        <f>IF(B84=0,"   ",C84/B84*100)</f>
        <v>   </v>
      </c>
      <c r="E84" s="27">
        <f>C84-B84</f>
        <v>0</v>
      </c>
    </row>
    <row r="85" spans="1:5" ht="29.25" customHeight="1">
      <c r="A85" s="104" t="s">
        <v>190</v>
      </c>
      <c r="B85" s="25">
        <v>0</v>
      </c>
      <c r="C85" s="27">
        <v>0</v>
      </c>
      <c r="D85" s="26" t="str">
        <f>IF(B85=0,"   ",C85/B85*100)</f>
        <v>   </v>
      </c>
      <c r="E85" s="27">
        <f>C85-B85</f>
        <v>0</v>
      </c>
    </row>
    <row r="86" spans="1:5" ht="29.25" customHeight="1">
      <c r="A86" s="104" t="s">
        <v>191</v>
      </c>
      <c r="B86" s="25">
        <v>0</v>
      </c>
      <c r="C86" s="27">
        <v>0</v>
      </c>
      <c r="D86" s="26" t="str">
        <f>IF(B86=0,"   ",C86/B86*100)</f>
        <v>   </v>
      </c>
      <c r="E86" s="27">
        <f>C86-B86</f>
        <v>0</v>
      </c>
    </row>
    <row r="87" spans="1:5" ht="28.5" customHeight="1" thickBot="1">
      <c r="A87" s="104" t="s">
        <v>300</v>
      </c>
      <c r="B87" s="25">
        <v>200000</v>
      </c>
      <c r="C87" s="27">
        <v>200000</v>
      </c>
      <c r="D87" s="26">
        <f t="shared" si="0"/>
        <v>100</v>
      </c>
      <c r="E87" s="27">
        <f t="shared" si="1"/>
        <v>0</v>
      </c>
    </row>
    <row r="88" spans="1:5" ht="18.75" customHeight="1" thickBot="1">
      <c r="A88" s="132" t="s">
        <v>17</v>
      </c>
      <c r="B88" s="189">
        <v>8000</v>
      </c>
      <c r="C88" s="189">
        <v>8000</v>
      </c>
      <c r="D88" s="144">
        <f t="shared" si="0"/>
        <v>100</v>
      </c>
      <c r="E88" s="145">
        <f t="shared" si="1"/>
        <v>0</v>
      </c>
    </row>
    <row r="89" spans="1:5" ht="19.5" customHeight="1" thickBot="1">
      <c r="A89" s="128" t="s">
        <v>41</v>
      </c>
      <c r="B89" s="182">
        <f>B90</f>
        <v>496900</v>
      </c>
      <c r="C89" s="182">
        <f>C90</f>
        <v>441356.6</v>
      </c>
      <c r="D89" s="130">
        <f t="shared" si="0"/>
        <v>88.82201650231436</v>
      </c>
      <c r="E89" s="131">
        <f t="shared" si="1"/>
        <v>-55543.40000000002</v>
      </c>
    </row>
    <row r="90" spans="1:5" ht="12.75">
      <c r="A90" s="116" t="s">
        <v>42</v>
      </c>
      <c r="B90" s="117">
        <f>SUM(B91:B93)</f>
        <v>496900</v>
      </c>
      <c r="C90" s="117">
        <f>SUM(C91:C93)</f>
        <v>441356.6</v>
      </c>
      <c r="D90" s="118">
        <f t="shared" si="0"/>
        <v>88.82201650231436</v>
      </c>
      <c r="E90" s="119">
        <f t="shared" si="1"/>
        <v>-55543.40000000002</v>
      </c>
    </row>
    <row r="91" spans="1:5" ht="12.75">
      <c r="A91" s="167" t="s">
        <v>143</v>
      </c>
      <c r="B91" s="117">
        <v>239400</v>
      </c>
      <c r="C91" s="125">
        <v>239400</v>
      </c>
      <c r="D91" s="118">
        <f t="shared" si="0"/>
        <v>100</v>
      </c>
      <c r="E91" s="119">
        <f t="shared" si="1"/>
        <v>0</v>
      </c>
    </row>
    <row r="92" spans="1:5" ht="12.75">
      <c r="A92" s="16" t="s">
        <v>224</v>
      </c>
      <c r="B92" s="117">
        <v>0</v>
      </c>
      <c r="C92" s="125">
        <v>0</v>
      </c>
      <c r="D92" s="118" t="str">
        <f t="shared" si="0"/>
        <v>   </v>
      </c>
      <c r="E92" s="119">
        <f t="shared" si="1"/>
        <v>0</v>
      </c>
    </row>
    <row r="93" spans="1:5" ht="12.75">
      <c r="A93" s="116" t="s">
        <v>204</v>
      </c>
      <c r="B93" s="117">
        <v>257500</v>
      </c>
      <c r="C93" s="125">
        <v>201956.6</v>
      </c>
      <c r="D93" s="118">
        <f t="shared" si="0"/>
        <v>78.42974757281553</v>
      </c>
      <c r="E93" s="119">
        <f t="shared" si="1"/>
        <v>-55543.399999999994</v>
      </c>
    </row>
    <row r="94" spans="1:5" ht="18.75" customHeight="1">
      <c r="A94" s="16" t="s">
        <v>124</v>
      </c>
      <c r="B94" s="25">
        <f>SUM(B95,)</f>
        <v>5000</v>
      </c>
      <c r="C94" s="25">
        <f>SUM(C95,)</f>
        <v>5000</v>
      </c>
      <c r="D94" s="26">
        <f t="shared" si="0"/>
        <v>100</v>
      </c>
      <c r="E94" s="42">
        <f t="shared" si="1"/>
        <v>0</v>
      </c>
    </row>
    <row r="95" spans="1:5" ht="14.25" customHeight="1">
      <c r="A95" s="104" t="s">
        <v>43</v>
      </c>
      <c r="B95" s="113">
        <v>5000</v>
      </c>
      <c r="C95" s="115">
        <v>5000</v>
      </c>
      <c r="D95" s="111">
        <f t="shared" si="0"/>
        <v>100</v>
      </c>
      <c r="E95" s="112">
        <f t="shared" si="1"/>
        <v>0</v>
      </c>
    </row>
    <row r="96" spans="1:5" ht="22.5" customHeight="1">
      <c r="A96" s="171" t="s">
        <v>15</v>
      </c>
      <c r="B96" s="149">
        <f>SUM(B49,B57,B59,B61,B75,B88,B89,B94,)</f>
        <v>5173317.97</v>
      </c>
      <c r="C96" s="149">
        <f>SUM(C49,C57,C59,C61,C75,C88,C89,C94,)</f>
        <v>4963319.5</v>
      </c>
      <c r="D96" s="140">
        <f>IF(B96=0,"   ",C96/B96*100)</f>
        <v>95.94073916937297</v>
      </c>
      <c r="E96" s="141">
        <f t="shared" si="1"/>
        <v>-209998.46999999974</v>
      </c>
    </row>
    <row r="97" spans="1:5" ht="42.75" customHeight="1">
      <c r="A97" s="80" t="s">
        <v>334</v>
      </c>
      <c r="B97" s="80"/>
      <c r="C97" s="336"/>
      <c r="D97" s="336"/>
      <c r="E97" s="336"/>
    </row>
    <row r="98" spans="1:5" ht="18" customHeight="1">
      <c r="A98" s="80" t="s">
        <v>154</v>
      </c>
      <c r="B98" s="80"/>
      <c r="C98" s="81" t="s">
        <v>335</v>
      </c>
      <c r="D98" s="82"/>
      <c r="E98" s="83"/>
    </row>
    <row r="99" spans="1:5" s="59" customFormat="1" ht="23.25" customHeight="1">
      <c r="A99" s="7"/>
      <c r="B99" s="7"/>
      <c r="C99" s="6"/>
      <c r="D99" s="7"/>
      <c r="E99" s="2"/>
    </row>
    <row r="100" spans="1:5" s="59" customFormat="1" ht="12" customHeight="1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</sheetData>
  <sheetProtection/>
  <mergeCells count="2">
    <mergeCell ref="A1:E1"/>
    <mergeCell ref="C97:E97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57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79">
      <selection activeCell="A95" sqref="A95:E96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7.25">
      <c r="A1" s="338" t="s">
        <v>322</v>
      </c>
      <c r="B1" s="338"/>
      <c r="C1" s="338"/>
      <c r="D1" s="338"/>
      <c r="E1" s="338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249</v>
      </c>
      <c r="C4" s="32" t="s">
        <v>323</v>
      </c>
      <c r="D4" s="19" t="s">
        <v>250</v>
      </c>
      <c r="E4" s="36" t="s">
        <v>251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09">
        <f>SUM(B8)</f>
        <v>50200</v>
      </c>
      <c r="C7" s="210">
        <f>SUM(C8)</f>
        <v>50599.69</v>
      </c>
      <c r="D7" s="26">
        <f aca="true" t="shared" si="0" ref="D7:D93">IF(B7=0,"   ",C7/B7*100)</f>
        <v>100.7961952191235</v>
      </c>
      <c r="E7" s="42">
        <f aca="true" t="shared" si="1" ref="E7:E94">C7-B7</f>
        <v>399.6900000000023</v>
      </c>
    </row>
    <row r="8" spans="1:5" ht="12.75" customHeight="1">
      <c r="A8" s="16" t="s">
        <v>44</v>
      </c>
      <c r="B8" s="211">
        <v>50200</v>
      </c>
      <c r="C8" s="226">
        <v>50599.69</v>
      </c>
      <c r="D8" s="26">
        <f t="shared" si="0"/>
        <v>100.7961952191235</v>
      </c>
      <c r="E8" s="42">
        <f t="shared" si="1"/>
        <v>399.6900000000023</v>
      </c>
    </row>
    <row r="9" spans="1:5" ht="12.75" customHeight="1">
      <c r="A9" s="64" t="s">
        <v>137</v>
      </c>
      <c r="B9" s="209">
        <f>SUM(B10)</f>
        <v>729400</v>
      </c>
      <c r="C9" s="212">
        <f>SUM(C10)</f>
        <v>692643.75</v>
      </c>
      <c r="D9" s="26">
        <f t="shared" si="0"/>
        <v>94.96075541540992</v>
      </c>
      <c r="E9" s="42">
        <f t="shared" si="1"/>
        <v>-36756.25</v>
      </c>
    </row>
    <row r="10" spans="1:5" ht="12.75" customHeight="1">
      <c r="A10" s="41" t="s">
        <v>138</v>
      </c>
      <c r="B10" s="211">
        <v>729400</v>
      </c>
      <c r="C10" s="226">
        <v>692643.75</v>
      </c>
      <c r="D10" s="26">
        <f t="shared" si="0"/>
        <v>94.96075541540992</v>
      </c>
      <c r="E10" s="42">
        <f t="shared" si="1"/>
        <v>-36756.25</v>
      </c>
    </row>
    <row r="11" spans="1:5" ht="16.5" customHeight="1">
      <c r="A11" s="16" t="s">
        <v>7</v>
      </c>
      <c r="B11" s="211">
        <f>SUM(B12:B12)</f>
        <v>16100</v>
      </c>
      <c r="C11" s="213">
        <f>SUM(C12:C12)</f>
        <v>16125.19</v>
      </c>
      <c r="D11" s="26">
        <f t="shared" si="0"/>
        <v>100.1564596273292</v>
      </c>
      <c r="E11" s="42">
        <f t="shared" si="1"/>
        <v>25.19000000000051</v>
      </c>
    </row>
    <row r="12" spans="1:5" ht="16.5" customHeight="1">
      <c r="A12" s="16" t="s">
        <v>26</v>
      </c>
      <c r="B12" s="211">
        <v>16100</v>
      </c>
      <c r="C12" s="226">
        <v>16125.19</v>
      </c>
      <c r="D12" s="26">
        <f t="shared" si="0"/>
        <v>100.1564596273292</v>
      </c>
      <c r="E12" s="42">
        <f t="shared" si="1"/>
        <v>25.19000000000051</v>
      </c>
    </row>
    <row r="13" spans="1:5" ht="15.75" customHeight="1">
      <c r="A13" s="16" t="s">
        <v>9</v>
      </c>
      <c r="B13" s="211">
        <f>SUM(B14:B15)</f>
        <v>530900</v>
      </c>
      <c r="C13" s="213">
        <f>SUM(C14:C15)</f>
        <v>488727.13</v>
      </c>
      <c r="D13" s="26">
        <f t="shared" si="0"/>
        <v>92.05634394424563</v>
      </c>
      <c r="E13" s="42">
        <f t="shared" si="1"/>
        <v>-42172.869999999995</v>
      </c>
    </row>
    <row r="14" spans="1:5" ht="15.75" customHeight="1">
      <c r="A14" s="16" t="s">
        <v>27</v>
      </c>
      <c r="B14" s="211">
        <v>219900</v>
      </c>
      <c r="C14" s="226">
        <v>181116.62</v>
      </c>
      <c r="D14" s="26">
        <f t="shared" si="0"/>
        <v>82.3631741700773</v>
      </c>
      <c r="E14" s="42">
        <f t="shared" si="1"/>
        <v>-38783.380000000005</v>
      </c>
    </row>
    <row r="15" spans="1:5" ht="14.25" customHeight="1">
      <c r="A15" s="41" t="s">
        <v>160</v>
      </c>
      <c r="B15" s="197">
        <f>SUM(B16:B17)</f>
        <v>311000</v>
      </c>
      <c r="C15" s="213">
        <f>SUM(C16:C17)</f>
        <v>307610.51</v>
      </c>
      <c r="D15" s="26">
        <f t="shared" si="0"/>
        <v>98.91013183279743</v>
      </c>
      <c r="E15" s="42">
        <f t="shared" si="1"/>
        <v>-3389.4899999999907</v>
      </c>
    </row>
    <row r="16" spans="1:5" ht="14.25" customHeight="1">
      <c r="A16" s="41" t="s">
        <v>161</v>
      </c>
      <c r="B16" s="197">
        <v>63000</v>
      </c>
      <c r="C16" s="226">
        <v>63245.94</v>
      </c>
      <c r="D16" s="26">
        <f t="shared" si="0"/>
        <v>100.39038095238095</v>
      </c>
      <c r="E16" s="42">
        <f t="shared" si="1"/>
        <v>245.94000000000233</v>
      </c>
    </row>
    <row r="17" spans="1:5" ht="14.25" customHeight="1">
      <c r="A17" s="41" t="s">
        <v>162</v>
      </c>
      <c r="B17" s="197">
        <v>248000</v>
      </c>
      <c r="C17" s="226">
        <v>244364.57</v>
      </c>
      <c r="D17" s="26">
        <f t="shared" si="0"/>
        <v>98.53410080645162</v>
      </c>
      <c r="E17" s="42">
        <f t="shared" si="1"/>
        <v>-3635.429999999993</v>
      </c>
    </row>
    <row r="18" spans="1:5" ht="14.25" customHeight="1">
      <c r="A18" s="41" t="s">
        <v>196</v>
      </c>
      <c r="B18" s="197">
        <v>1000</v>
      </c>
      <c r="C18" s="226">
        <v>1000</v>
      </c>
      <c r="D18" s="26">
        <f t="shared" si="0"/>
        <v>100</v>
      </c>
      <c r="E18" s="42">
        <f t="shared" si="1"/>
        <v>0</v>
      </c>
    </row>
    <row r="19" spans="1:5" ht="15" customHeight="1">
      <c r="A19" s="16" t="s">
        <v>88</v>
      </c>
      <c r="B19" s="211">
        <v>0</v>
      </c>
      <c r="C19" s="213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11">
        <f>SUM(B21:B22)</f>
        <v>180400</v>
      </c>
      <c r="C20" s="213">
        <f>SUM(C21:C22)</f>
        <v>146924.77</v>
      </c>
      <c r="D20" s="26">
        <f t="shared" si="0"/>
        <v>81.44388580931263</v>
      </c>
      <c r="E20" s="42">
        <f t="shared" si="1"/>
        <v>-33475.23000000001</v>
      </c>
    </row>
    <row r="21" spans="1:5" ht="13.5" customHeight="1">
      <c r="A21" s="41" t="s">
        <v>152</v>
      </c>
      <c r="B21" s="211">
        <v>65700</v>
      </c>
      <c r="C21" s="226">
        <v>31354.48</v>
      </c>
      <c r="D21" s="26">
        <f t="shared" si="0"/>
        <v>47.72371385083714</v>
      </c>
      <c r="E21" s="42">
        <f t="shared" si="1"/>
        <v>-34345.520000000004</v>
      </c>
    </row>
    <row r="22" spans="1:5" ht="15.75" customHeight="1">
      <c r="A22" s="16" t="s">
        <v>30</v>
      </c>
      <c r="B22" s="211">
        <v>114700</v>
      </c>
      <c r="C22" s="226">
        <v>115570.29</v>
      </c>
      <c r="D22" s="26">
        <f t="shared" si="0"/>
        <v>100.75875326939843</v>
      </c>
      <c r="E22" s="42">
        <f t="shared" si="1"/>
        <v>870.2899999999936</v>
      </c>
    </row>
    <row r="23" spans="1:5" ht="17.25" customHeight="1">
      <c r="A23" s="39" t="s">
        <v>91</v>
      </c>
      <c r="B23" s="211">
        <v>5300</v>
      </c>
      <c r="C23" s="226">
        <v>5315.31</v>
      </c>
      <c r="D23" s="26">
        <f t="shared" si="0"/>
        <v>100.28886792452832</v>
      </c>
      <c r="E23" s="42">
        <f t="shared" si="1"/>
        <v>15.3100000000004</v>
      </c>
    </row>
    <row r="24" spans="1:5" ht="18.75" customHeight="1">
      <c r="A24" s="16" t="s">
        <v>78</v>
      </c>
      <c r="B24" s="211">
        <f>SUM(B25)</f>
        <v>0</v>
      </c>
      <c r="C24" s="213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198</v>
      </c>
      <c r="B25" s="211">
        <v>0</v>
      </c>
      <c r="C25" s="228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11">
        <f>B27+B28</f>
        <v>0</v>
      </c>
      <c r="C26" s="213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11">
        <v>0</v>
      </c>
      <c r="C27" s="214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11">
        <v>0</v>
      </c>
      <c r="C28" s="214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11">
        <v>0</v>
      </c>
      <c r="C29" s="213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71" t="s">
        <v>10</v>
      </c>
      <c r="B30" s="206">
        <f>SUM(B7,B9,B11,B13,B20,B23,B24,B26,B29,B18)</f>
        <v>1513300</v>
      </c>
      <c r="C30" s="206">
        <f>SUM(C7,C9,C11,C13,C20,C23,C24,C26,C29,C18)</f>
        <v>1401335.8399999999</v>
      </c>
      <c r="D30" s="140">
        <f t="shared" si="0"/>
        <v>92.60132425824357</v>
      </c>
      <c r="E30" s="141">
        <f t="shared" si="1"/>
        <v>-111964.16000000015</v>
      </c>
    </row>
    <row r="31" spans="1:5" ht="21" customHeight="1">
      <c r="A31" s="185" t="s">
        <v>140</v>
      </c>
      <c r="B31" s="216">
        <f>SUM(B32:B35,B38:B42,B45)</f>
        <v>5464781.17</v>
      </c>
      <c r="C31" s="216">
        <f>SUM(C32:C35,C38:C42,C45)</f>
        <v>5458181.17</v>
      </c>
      <c r="D31" s="140">
        <f t="shared" si="0"/>
        <v>99.87922663699268</v>
      </c>
      <c r="E31" s="141">
        <f t="shared" si="1"/>
        <v>-6600</v>
      </c>
    </row>
    <row r="32" spans="1:5" ht="18" customHeight="1">
      <c r="A32" s="17" t="s">
        <v>34</v>
      </c>
      <c r="B32" s="209">
        <v>1371200</v>
      </c>
      <c r="C32" s="229">
        <v>1371200</v>
      </c>
      <c r="D32" s="26">
        <f t="shared" si="0"/>
        <v>100</v>
      </c>
      <c r="E32" s="42">
        <f t="shared" si="1"/>
        <v>0</v>
      </c>
    </row>
    <row r="33" spans="1:5" ht="18" customHeight="1">
      <c r="A33" s="17" t="s">
        <v>229</v>
      </c>
      <c r="B33" s="209">
        <v>0</v>
      </c>
      <c r="C33" s="229">
        <v>0</v>
      </c>
      <c r="D33" s="135" t="str">
        <f>IF(B33=0,"   ",C33/B33*100)</f>
        <v>   </v>
      </c>
      <c r="E33" s="136">
        <f>C33-B33</f>
        <v>0</v>
      </c>
    </row>
    <row r="34" spans="1:5" ht="28.5" customHeight="1">
      <c r="A34" s="133" t="s">
        <v>51</v>
      </c>
      <c r="B34" s="134">
        <v>99200</v>
      </c>
      <c r="C34" s="231">
        <v>99200</v>
      </c>
      <c r="D34" s="135">
        <f t="shared" si="0"/>
        <v>100</v>
      </c>
      <c r="E34" s="136">
        <f t="shared" si="1"/>
        <v>0</v>
      </c>
    </row>
    <row r="35" spans="1:5" ht="30.75" customHeight="1">
      <c r="A35" s="108" t="s">
        <v>148</v>
      </c>
      <c r="B35" s="134">
        <f>SUM(B36:B37)</f>
        <v>6700</v>
      </c>
      <c r="C35" s="134">
        <f>SUM(C36:C37)</f>
        <v>100</v>
      </c>
      <c r="D35" s="135">
        <f t="shared" si="0"/>
        <v>1.4925373134328357</v>
      </c>
      <c r="E35" s="136">
        <f t="shared" si="1"/>
        <v>-6600</v>
      </c>
    </row>
    <row r="36" spans="1:5" ht="16.5" customHeight="1">
      <c r="A36" s="108" t="s">
        <v>163</v>
      </c>
      <c r="B36" s="217">
        <v>100</v>
      </c>
      <c r="C36" s="223">
        <v>100</v>
      </c>
      <c r="D36" s="135">
        <f aca="true" t="shared" si="2" ref="D36:D41">IF(B36=0,"   ",C36/B36*100)</f>
        <v>100</v>
      </c>
      <c r="E36" s="136">
        <f aca="true" t="shared" si="3" ref="E36:E41">C36-B36</f>
        <v>0</v>
      </c>
    </row>
    <row r="37" spans="1:5" ht="30.75" customHeight="1">
      <c r="A37" s="108" t="s">
        <v>164</v>
      </c>
      <c r="B37" s="134">
        <v>6600</v>
      </c>
      <c r="C37" s="137">
        <v>0</v>
      </c>
      <c r="D37" s="135">
        <f t="shared" si="2"/>
        <v>0</v>
      </c>
      <c r="E37" s="136">
        <f t="shared" si="3"/>
        <v>-6600</v>
      </c>
    </row>
    <row r="38" spans="1:5" ht="25.5" customHeight="1">
      <c r="A38" s="16" t="s">
        <v>302</v>
      </c>
      <c r="B38" s="134">
        <v>1098884.49</v>
      </c>
      <c r="C38" s="134">
        <v>1098884.49</v>
      </c>
      <c r="D38" s="135">
        <f t="shared" si="2"/>
        <v>100</v>
      </c>
      <c r="E38" s="136">
        <f t="shared" si="3"/>
        <v>0</v>
      </c>
    </row>
    <row r="39" spans="1:5" ht="25.5" customHeight="1">
      <c r="A39" s="16" t="s">
        <v>296</v>
      </c>
      <c r="B39" s="134">
        <v>900000</v>
      </c>
      <c r="C39" s="134">
        <v>900000</v>
      </c>
      <c r="D39" s="135">
        <f t="shared" si="2"/>
        <v>100</v>
      </c>
      <c r="E39" s="136">
        <f t="shared" si="3"/>
        <v>0</v>
      </c>
    </row>
    <row r="40" spans="1:5" ht="51" customHeight="1">
      <c r="A40" s="16" t="s">
        <v>238</v>
      </c>
      <c r="B40" s="134">
        <v>1245560</v>
      </c>
      <c r="C40" s="134">
        <v>1245560</v>
      </c>
      <c r="D40" s="135">
        <f t="shared" si="2"/>
        <v>100</v>
      </c>
      <c r="E40" s="136">
        <f t="shared" si="3"/>
        <v>0</v>
      </c>
    </row>
    <row r="41" spans="1:5" ht="22.5" customHeight="1">
      <c r="A41" s="16" t="s">
        <v>277</v>
      </c>
      <c r="B41" s="134">
        <v>0</v>
      </c>
      <c r="C41" s="134">
        <v>0</v>
      </c>
      <c r="D41" s="135" t="str">
        <f t="shared" si="2"/>
        <v>   </v>
      </c>
      <c r="E41" s="136">
        <f t="shared" si="3"/>
        <v>0</v>
      </c>
    </row>
    <row r="42" spans="1:5" ht="15" customHeight="1">
      <c r="A42" s="16" t="s">
        <v>81</v>
      </c>
      <c r="B42" s="211">
        <f>B44+B43</f>
        <v>524690.88</v>
      </c>
      <c r="C42" s="211">
        <f>C44+C43</f>
        <v>524690.88</v>
      </c>
      <c r="D42" s="26">
        <f t="shared" si="0"/>
        <v>100</v>
      </c>
      <c r="E42" s="42">
        <f t="shared" si="1"/>
        <v>0</v>
      </c>
    </row>
    <row r="43" spans="1:5" ht="15" customHeight="1">
      <c r="A43" s="46" t="s">
        <v>188</v>
      </c>
      <c r="B43" s="211">
        <v>73590.88</v>
      </c>
      <c r="C43" s="211">
        <v>73590.88</v>
      </c>
      <c r="D43" s="26">
        <f t="shared" si="0"/>
        <v>100</v>
      </c>
      <c r="E43" s="42">
        <f t="shared" si="1"/>
        <v>0</v>
      </c>
    </row>
    <row r="44" spans="1:5" s="7" customFormat="1" ht="15" customHeight="1">
      <c r="A44" s="46" t="s">
        <v>109</v>
      </c>
      <c r="B44" s="219">
        <v>451100</v>
      </c>
      <c r="C44" s="219">
        <v>451100</v>
      </c>
      <c r="D44" s="135">
        <f>IF(B44=0,"   ",C44/B44*100)</f>
        <v>100</v>
      </c>
      <c r="E44" s="136">
        <f>C44-B44</f>
        <v>0</v>
      </c>
    </row>
    <row r="45" spans="1:5" s="7" customFormat="1" ht="15" customHeight="1">
      <c r="A45" s="16" t="s">
        <v>199</v>
      </c>
      <c r="B45" s="219">
        <v>218545.8</v>
      </c>
      <c r="C45" s="219">
        <v>218545.8</v>
      </c>
      <c r="D45" s="47">
        <f t="shared" si="0"/>
        <v>100</v>
      </c>
      <c r="E45" s="40">
        <f t="shared" si="1"/>
        <v>0</v>
      </c>
    </row>
    <row r="46" spans="1:5" ht="21" customHeight="1">
      <c r="A46" s="171" t="s">
        <v>11</v>
      </c>
      <c r="B46" s="206">
        <f>SUM(B30:B31,)</f>
        <v>6978081.17</v>
      </c>
      <c r="C46" s="206">
        <f>SUM(C30:C31,)</f>
        <v>6859517.01</v>
      </c>
      <c r="D46" s="26">
        <f t="shared" si="0"/>
        <v>98.30090597814012</v>
      </c>
      <c r="E46" s="42">
        <f t="shared" si="1"/>
        <v>-118564.16000000015</v>
      </c>
    </row>
    <row r="47" spans="1:5" ht="12.75" customHeight="1">
      <c r="A47" s="22" t="s">
        <v>12</v>
      </c>
      <c r="B47" s="44"/>
      <c r="C47" s="45"/>
      <c r="D47" s="26" t="str">
        <f t="shared" si="0"/>
        <v>   </v>
      </c>
      <c r="E47" s="42">
        <f t="shared" si="1"/>
        <v>0</v>
      </c>
    </row>
    <row r="48" spans="1:5" ht="21" customHeight="1">
      <c r="A48" s="16" t="s">
        <v>35</v>
      </c>
      <c r="B48" s="25">
        <f>SUM(B49,B52,B53)</f>
        <v>1448900</v>
      </c>
      <c r="C48" s="25">
        <f>SUM(C49,C52,C53)</f>
        <v>1431842.37</v>
      </c>
      <c r="D48" s="26">
        <f t="shared" si="0"/>
        <v>98.82271861412106</v>
      </c>
      <c r="E48" s="42">
        <f t="shared" si="1"/>
        <v>-17057.62999999989</v>
      </c>
    </row>
    <row r="49" spans="1:5" ht="15" customHeight="1">
      <c r="A49" s="16" t="s">
        <v>36</v>
      </c>
      <c r="B49" s="25">
        <v>1408900</v>
      </c>
      <c r="C49" s="25">
        <v>1391842.37</v>
      </c>
      <c r="D49" s="26">
        <f t="shared" si="0"/>
        <v>98.78929448505927</v>
      </c>
      <c r="E49" s="42">
        <f t="shared" si="1"/>
        <v>-17057.62999999989</v>
      </c>
    </row>
    <row r="50" spans="1:5" ht="15" customHeight="1">
      <c r="A50" s="85" t="s">
        <v>121</v>
      </c>
      <c r="B50" s="25">
        <v>961071.54</v>
      </c>
      <c r="C50" s="28">
        <v>961071.54</v>
      </c>
      <c r="D50" s="26">
        <f t="shared" si="0"/>
        <v>100</v>
      </c>
      <c r="E50" s="42">
        <f t="shared" si="1"/>
        <v>0</v>
      </c>
    </row>
    <row r="51" spans="1:5" ht="15" customHeight="1">
      <c r="A51" s="85" t="s">
        <v>286</v>
      </c>
      <c r="B51" s="25">
        <v>100</v>
      </c>
      <c r="C51" s="28">
        <v>100</v>
      </c>
      <c r="D51" s="26">
        <f>IF(B51=0,"   ",C51/B51*100)</f>
        <v>100</v>
      </c>
      <c r="E51" s="42">
        <f>C51-B51</f>
        <v>0</v>
      </c>
    </row>
    <row r="52" spans="1:5" ht="12.75" customHeight="1">
      <c r="A52" s="16" t="s">
        <v>95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2.75" customHeight="1">
      <c r="A53" s="41" t="s">
        <v>52</v>
      </c>
      <c r="B53" s="27">
        <f>SUM(B55+B54)</f>
        <v>40000</v>
      </c>
      <c r="C53" s="27">
        <f>SUM(C55+C54)</f>
        <v>40000</v>
      </c>
      <c r="D53" s="26">
        <f t="shared" si="0"/>
        <v>100</v>
      </c>
      <c r="E53" s="42">
        <f t="shared" si="1"/>
        <v>0</v>
      </c>
    </row>
    <row r="54" spans="1:5" ht="18.75" customHeight="1">
      <c r="A54" s="104" t="s">
        <v>236</v>
      </c>
      <c r="B54" s="27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23.25" customHeight="1">
      <c r="A55" s="104" t="s">
        <v>246</v>
      </c>
      <c r="B55" s="25">
        <v>40000</v>
      </c>
      <c r="C55" s="27">
        <v>40000</v>
      </c>
      <c r="D55" s="26">
        <f t="shared" si="0"/>
        <v>100</v>
      </c>
      <c r="E55" s="42">
        <f t="shared" si="1"/>
        <v>0</v>
      </c>
    </row>
    <row r="56" spans="1:5" ht="21.75" customHeight="1">
      <c r="A56" s="16" t="s">
        <v>49</v>
      </c>
      <c r="B56" s="27">
        <f>SUM(B57)</f>
        <v>99200</v>
      </c>
      <c r="C56" s="27">
        <f>SUM(C57)</f>
        <v>99200</v>
      </c>
      <c r="D56" s="26">
        <f t="shared" si="0"/>
        <v>100</v>
      </c>
      <c r="E56" s="42">
        <f t="shared" si="1"/>
        <v>0</v>
      </c>
    </row>
    <row r="57" spans="1:5" ht="13.5" customHeight="1">
      <c r="A57" s="39" t="s">
        <v>107</v>
      </c>
      <c r="B57" s="25">
        <v>99200</v>
      </c>
      <c r="C57" s="27">
        <v>99200</v>
      </c>
      <c r="D57" s="26">
        <f t="shared" si="0"/>
        <v>100</v>
      </c>
      <c r="E57" s="42">
        <f t="shared" si="1"/>
        <v>0</v>
      </c>
    </row>
    <row r="58" spans="1:5" ht="16.5" customHeight="1">
      <c r="A58" s="16" t="s">
        <v>37</v>
      </c>
      <c r="B58" s="25">
        <f>SUM(B59)</f>
        <v>1000</v>
      </c>
      <c r="C58" s="27">
        <f>SUM(C59)</f>
        <v>1000</v>
      </c>
      <c r="D58" s="26">
        <f t="shared" si="0"/>
        <v>100</v>
      </c>
      <c r="E58" s="42">
        <f t="shared" si="1"/>
        <v>0</v>
      </c>
    </row>
    <row r="59" spans="1:5" ht="15" customHeight="1">
      <c r="A59" s="75" t="s">
        <v>128</v>
      </c>
      <c r="B59" s="25">
        <v>1000</v>
      </c>
      <c r="C59" s="27">
        <v>1000</v>
      </c>
      <c r="D59" s="26">
        <f t="shared" si="0"/>
        <v>100</v>
      </c>
      <c r="E59" s="42">
        <f t="shared" si="1"/>
        <v>0</v>
      </c>
    </row>
    <row r="60" spans="1:5" ht="18.75" customHeight="1">
      <c r="A60" s="16" t="s">
        <v>38</v>
      </c>
      <c r="B60" s="25">
        <f>SUM(B64,B61,B72)</f>
        <v>2592741.26</v>
      </c>
      <c r="C60" s="25">
        <f>SUM(C64,C61,C72)</f>
        <v>2464432.4699999997</v>
      </c>
      <c r="D60" s="26">
        <f t="shared" si="0"/>
        <v>95.05123044942788</v>
      </c>
      <c r="E60" s="42">
        <f t="shared" si="1"/>
        <v>-128308.79000000004</v>
      </c>
    </row>
    <row r="61" spans="1:5" ht="18.75" customHeight="1">
      <c r="A61" s="75" t="s">
        <v>165</v>
      </c>
      <c r="B61" s="25">
        <f>SUM(B62+B63)</f>
        <v>6600</v>
      </c>
      <c r="C61" s="25">
        <f>SUM(C62+C63)</f>
        <v>0</v>
      </c>
      <c r="D61" s="26">
        <f>IF(B61=0,"   ",C61/B61*100)</f>
        <v>0</v>
      </c>
      <c r="E61" s="42">
        <f>C61-B61</f>
        <v>-6600</v>
      </c>
    </row>
    <row r="62" spans="1:5" ht="15" customHeight="1">
      <c r="A62" s="75" t="s">
        <v>166</v>
      </c>
      <c r="B62" s="25">
        <v>6600</v>
      </c>
      <c r="C62" s="25">
        <v>0</v>
      </c>
      <c r="D62" s="26">
        <f>IF(B62=0,"   ",C62/B62*100)</f>
        <v>0</v>
      </c>
      <c r="E62" s="42">
        <f>C62-B62</f>
        <v>-6600</v>
      </c>
    </row>
    <row r="63" spans="1:5" ht="15" customHeight="1">
      <c r="A63" s="75" t="s">
        <v>189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3.5" customHeight="1">
      <c r="A64" s="16" t="s">
        <v>39</v>
      </c>
      <c r="B64" s="25">
        <f>SUM(B65:B71)</f>
        <v>2540141.26</v>
      </c>
      <c r="C64" s="25">
        <f>SUM(C65:C71)</f>
        <v>2418432.4699999997</v>
      </c>
      <c r="D64" s="26">
        <f t="shared" si="0"/>
        <v>95.2085818250911</v>
      </c>
      <c r="E64" s="42">
        <f t="shared" si="1"/>
        <v>-121708.79000000004</v>
      </c>
    </row>
    <row r="65" spans="1:5" ht="17.25" customHeight="1">
      <c r="A65" s="75" t="s">
        <v>149</v>
      </c>
      <c r="B65" s="25">
        <v>200000</v>
      </c>
      <c r="C65" s="25">
        <v>191154.47</v>
      </c>
      <c r="D65" s="26">
        <f t="shared" si="0"/>
        <v>95.577235</v>
      </c>
      <c r="E65" s="42">
        <f t="shared" si="1"/>
        <v>-8845.529999999999</v>
      </c>
    </row>
    <row r="66" spans="1:5" ht="24" customHeight="1">
      <c r="A66" s="71" t="s">
        <v>255</v>
      </c>
      <c r="B66" s="25">
        <v>396163.26</v>
      </c>
      <c r="C66" s="25">
        <v>342000</v>
      </c>
      <c r="D66" s="26">
        <f t="shared" si="0"/>
        <v>86.32804566481</v>
      </c>
      <c r="E66" s="42">
        <f t="shared" si="1"/>
        <v>-54163.26000000001</v>
      </c>
    </row>
    <row r="67" spans="1:5" ht="24" customHeight="1">
      <c r="A67" s="71" t="s">
        <v>256</v>
      </c>
      <c r="B67" s="25">
        <v>58700</v>
      </c>
      <c r="C67" s="25">
        <v>0</v>
      </c>
      <c r="D67" s="26">
        <f t="shared" si="0"/>
        <v>0</v>
      </c>
      <c r="E67" s="42">
        <f t="shared" si="1"/>
        <v>-58700</v>
      </c>
    </row>
    <row r="68" spans="1:5" ht="24" customHeight="1">
      <c r="A68" s="71" t="s">
        <v>257</v>
      </c>
      <c r="B68" s="25">
        <v>1245560</v>
      </c>
      <c r="C68" s="25">
        <v>1245560</v>
      </c>
      <c r="D68" s="26">
        <f t="shared" si="0"/>
        <v>100</v>
      </c>
      <c r="E68" s="42">
        <f t="shared" si="1"/>
        <v>0</v>
      </c>
    </row>
    <row r="69" spans="1:5" ht="24" customHeight="1">
      <c r="A69" s="71" t="s">
        <v>258</v>
      </c>
      <c r="B69" s="25">
        <v>138418</v>
      </c>
      <c r="C69" s="25">
        <v>138418</v>
      </c>
      <c r="D69" s="26">
        <f t="shared" si="0"/>
        <v>100</v>
      </c>
      <c r="E69" s="42">
        <f t="shared" si="1"/>
        <v>0</v>
      </c>
    </row>
    <row r="70" spans="1:5" ht="24" customHeight="1">
      <c r="A70" s="71" t="s">
        <v>259</v>
      </c>
      <c r="B70" s="25">
        <v>451100</v>
      </c>
      <c r="C70" s="25">
        <v>451100</v>
      </c>
      <c r="D70" s="26">
        <f t="shared" si="0"/>
        <v>100</v>
      </c>
      <c r="E70" s="42">
        <f t="shared" si="1"/>
        <v>0</v>
      </c>
    </row>
    <row r="71" spans="1:5" ht="26.25" customHeight="1">
      <c r="A71" s="71" t="s">
        <v>260</v>
      </c>
      <c r="B71" s="25">
        <v>50200</v>
      </c>
      <c r="C71" s="25">
        <v>50200</v>
      </c>
      <c r="D71" s="26">
        <f t="shared" si="0"/>
        <v>100</v>
      </c>
      <c r="E71" s="42">
        <f t="shared" si="1"/>
        <v>0</v>
      </c>
    </row>
    <row r="72" spans="1:5" ht="26.25" customHeight="1">
      <c r="A72" s="95" t="s">
        <v>177</v>
      </c>
      <c r="B72" s="25">
        <f>B73</f>
        <v>46000</v>
      </c>
      <c r="C72" s="25">
        <f>C73</f>
        <v>46000</v>
      </c>
      <c r="D72" s="26">
        <f>IF(B72=0,"   ",C72/B72*100)</f>
        <v>100</v>
      </c>
      <c r="E72" s="42">
        <f>C72-B72</f>
        <v>0</v>
      </c>
    </row>
    <row r="73" spans="1:5" ht="26.25" customHeight="1">
      <c r="A73" s="75" t="s">
        <v>178</v>
      </c>
      <c r="B73" s="25">
        <v>46000</v>
      </c>
      <c r="C73" s="25">
        <v>46000</v>
      </c>
      <c r="D73" s="26">
        <f>IF(B73=0,"   ",C73/B73*100)</f>
        <v>100</v>
      </c>
      <c r="E73" s="42">
        <f>C73-B73</f>
        <v>0</v>
      </c>
    </row>
    <row r="74" spans="1:5" ht="20.25" customHeight="1">
      <c r="A74" s="16" t="s">
        <v>13</v>
      </c>
      <c r="B74" s="25">
        <f>B76+B75</f>
        <v>1249651.46</v>
      </c>
      <c r="C74" s="25">
        <f>C76+C75</f>
        <v>1249651.46</v>
      </c>
      <c r="D74" s="26">
        <f t="shared" si="0"/>
        <v>100</v>
      </c>
      <c r="E74" s="42">
        <f t="shared" si="1"/>
        <v>0</v>
      </c>
    </row>
    <row r="75" spans="1:5" ht="20.25" customHeight="1">
      <c r="A75" s="41" t="s">
        <v>150</v>
      </c>
      <c r="B75" s="25">
        <v>0</v>
      </c>
      <c r="C75" s="25">
        <v>0</v>
      </c>
      <c r="D75" s="26" t="str">
        <f t="shared" si="0"/>
        <v>   </v>
      </c>
      <c r="E75" s="42">
        <f t="shared" si="1"/>
        <v>0</v>
      </c>
    </row>
    <row r="76" spans="1:5" ht="12.75" customHeight="1">
      <c r="A76" s="16" t="s">
        <v>99</v>
      </c>
      <c r="B76" s="25">
        <f>B77+B78+B83+B79</f>
        <v>1249651.46</v>
      </c>
      <c r="C76" s="25">
        <f>C77+C78+C83+C79</f>
        <v>1249651.46</v>
      </c>
      <c r="D76" s="26">
        <f t="shared" si="0"/>
        <v>100</v>
      </c>
      <c r="E76" s="42">
        <f t="shared" si="1"/>
        <v>0</v>
      </c>
    </row>
    <row r="77" spans="1:5" ht="12.75" customHeight="1">
      <c r="A77" s="16" t="s">
        <v>100</v>
      </c>
      <c r="B77" s="25">
        <v>227000</v>
      </c>
      <c r="C77" s="25">
        <v>227000</v>
      </c>
      <c r="D77" s="26">
        <f t="shared" si="0"/>
        <v>100</v>
      </c>
      <c r="E77" s="42">
        <f t="shared" si="1"/>
        <v>0</v>
      </c>
    </row>
    <row r="78" spans="1:5" ht="12.75" customHeight="1">
      <c r="A78" s="16" t="s">
        <v>61</v>
      </c>
      <c r="B78" s="25">
        <v>0</v>
      </c>
      <c r="C78" s="27">
        <v>0</v>
      </c>
      <c r="D78" s="26">
        <v>0</v>
      </c>
      <c r="E78" s="42">
        <f t="shared" si="1"/>
        <v>0</v>
      </c>
    </row>
    <row r="79" spans="1:5" ht="12.75" customHeight="1">
      <c r="A79" s="104" t="s">
        <v>208</v>
      </c>
      <c r="B79" s="25">
        <f>SUM(B80:B82)</f>
        <v>122651.46000000002</v>
      </c>
      <c r="C79" s="25">
        <f>SUM(C80:C82)</f>
        <v>122651.46000000002</v>
      </c>
      <c r="D79" s="26">
        <v>0</v>
      </c>
      <c r="E79" s="42">
        <f>C79-B79</f>
        <v>0</v>
      </c>
    </row>
    <row r="80" spans="1:5" ht="29.25" customHeight="1">
      <c r="A80" s="104" t="s">
        <v>209</v>
      </c>
      <c r="B80" s="25">
        <v>73590.88</v>
      </c>
      <c r="C80" s="27">
        <v>73590.88</v>
      </c>
      <c r="D80" s="26">
        <f t="shared" si="0"/>
        <v>100</v>
      </c>
      <c r="E80" s="27">
        <f t="shared" si="1"/>
        <v>0</v>
      </c>
    </row>
    <row r="81" spans="1:5" ht="25.5" customHeight="1">
      <c r="A81" s="104" t="s">
        <v>210</v>
      </c>
      <c r="B81" s="25">
        <v>24530.29</v>
      </c>
      <c r="C81" s="27">
        <v>24530.29</v>
      </c>
      <c r="D81" s="26">
        <f t="shared" si="0"/>
        <v>100</v>
      </c>
      <c r="E81" s="27">
        <f t="shared" si="1"/>
        <v>0</v>
      </c>
    </row>
    <row r="82" spans="1:5" ht="23.25" customHeight="1">
      <c r="A82" s="104" t="s">
        <v>211</v>
      </c>
      <c r="B82" s="25">
        <v>24530.29</v>
      </c>
      <c r="C82" s="27">
        <v>24530.29</v>
      </c>
      <c r="D82" s="26">
        <f t="shared" si="0"/>
        <v>100</v>
      </c>
      <c r="E82" s="27">
        <f t="shared" si="1"/>
        <v>0</v>
      </c>
    </row>
    <row r="83" spans="1:5" ht="19.5" customHeight="1">
      <c r="A83" s="104" t="s">
        <v>300</v>
      </c>
      <c r="B83" s="121">
        <v>900000</v>
      </c>
      <c r="C83" s="122">
        <v>900000</v>
      </c>
      <c r="D83" s="26">
        <f t="shared" si="0"/>
        <v>100</v>
      </c>
      <c r="E83" s="124">
        <f t="shared" si="1"/>
        <v>0</v>
      </c>
    </row>
    <row r="84" spans="1:5" ht="20.25" customHeight="1">
      <c r="A84" s="35" t="s">
        <v>17</v>
      </c>
      <c r="B84" s="31">
        <v>0</v>
      </c>
      <c r="C84" s="31">
        <v>0</v>
      </c>
      <c r="D84" s="26" t="str">
        <f t="shared" si="0"/>
        <v>   </v>
      </c>
      <c r="E84" s="42">
        <f t="shared" si="1"/>
        <v>0</v>
      </c>
    </row>
    <row r="85" spans="1:5" ht="18" customHeight="1">
      <c r="A85" s="16" t="s">
        <v>41</v>
      </c>
      <c r="B85" s="24">
        <f>B86</f>
        <v>429635</v>
      </c>
      <c r="C85" s="24">
        <f>C86</f>
        <v>332200</v>
      </c>
      <c r="D85" s="26">
        <f t="shared" si="0"/>
        <v>77.32144727501252</v>
      </c>
      <c r="E85" s="42">
        <f t="shared" si="1"/>
        <v>-97435</v>
      </c>
    </row>
    <row r="86" spans="1:5" ht="12.75" customHeight="1">
      <c r="A86" s="16" t="s">
        <v>42</v>
      </c>
      <c r="B86" s="25">
        <v>429635</v>
      </c>
      <c r="C86" s="27">
        <v>332200</v>
      </c>
      <c r="D86" s="26">
        <f t="shared" si="0"/>
        <v>77.32144727501252</v>
      </c>
      <c r="E86" s="42">
        <f t="shared" si="1"/>
        <v>-97435</v>
      </c>
    </row>
    <row r="87" spans="1:5" ht="16.5" customHeight="1">
      <c r="A87" s="16" t="s">
        <v>124</v>
      </c>
      <c r="B87" s="25">
        <f>SUM(B88:B89)</f>
        <v>1292900</v>
      </c>
      <c r="C87" s="25">
        <f>SUM(C88:C89)</f>
        <v>1292900</v>
      </c>
      <c r="D87" s="26">
        <f t="shared" si="0"/>
        <v>100</v>
      </c>
      <c r="E87" s="42">
        <f t="shared" si="1"/>
        <v>0</v>
      </c>
    </row>
    <row r="88" spans="1:5" ht="16.5" customHeight="1">
      <c r="A88" s="16" t="s">
        <v>43</v>
      </c>
      <c r="B88" s="25">
        <v>0</v>
      </c>
      <c r="C88" s="25">
        <v>0</v>
      </c>
      <c r="D88" s="26" t="str">
        <f>IF(B88=0,"   ",C88/B88*100)</f>
        <v>   </v>
      </c>
      <c r="E88" s="42">
        <f>C88-B88</f>
        <v>0</v>
      </c>
    </row>
    <row r="89" spans="1:5" ht="18.75" customHeight="1">
      <c r="A89" s="266" t="s">
        <v>272</v>
      </c>
      <c r="B89" s="25">
        <f>SUM(B90:B93)</f>
        <v>1292900</v>
      </c>
      <c r="C89" s="25">
        <f>SUM(C90:C93)</f>
        <v>1292900</v>
      </c>
      <c r="D89" s="26">
        <f>IF(B89=0,"   ",C89/B89*100)</f>
        <v>100</v>
      </c>
      <c r="E89" s="42"/>
    </row>
    <row r="90" spans="1:5" ht="16.5" customHeight="1">
      <c r="A90" s="266" t="s">
        <v>273</v>
      </c>
      <c r="B90" s="25">
        <v>895910.94</v>
      </c>
      <c r="C90" s="25">
        <v>895910.94</v>
      </c>
      <c r="D90" s="26">
        <f>IF(B90=0,"   ",C90/B90*100)</f>
        <v>100</v>
      </c>
      <c r="E90" s="42">
        <f>C90-B90</f>
        <v>0</v>
      </c>
    </row>
    <row r="91" spans="1:5" ht="18" customHeight="1">
      <c r="A91" s="266" t="s">
        <v>274</v>
      </c>
      <c r="B91" s="25">
        <v>9049.6</v>
      </c>
      <c r="C91" s="25">
        <v>9049.6</v>
      </c>
      <c r="D91" s="26">
        <f>IF(B91=0,"   ",C91/B91*100)</f>
        <v>100</v>
      </c>
      <c r="E91" s="42">
        <f>C91-B91</f>
        <v>0</v>
      </c>
    </row>
    <row r="92" spans="1:5" ht="15.75" customHeight="1">
      <c r="A92" s="266" t="s">
        <v>275</v>
      </c>
      <c r="B92" s="25">
        <v>193923.95</v>
      </c>
      <c r="C92" s="25">
        <v>193923.95</v>
      </c>
      <c r="D92" s="26">
        <f>IF(B92=0,"   ",C92/B92*100)</f>
        <v>100</v>
      </c>
      <c r="E92" s="42">
        <f>C92-B92</f>
        <v>0</v>
      </c>
    </row>
    <row r="93" spans="1:5" ht="12.75" customHeight="1">
      <c r="A93" s="266" t="s">
        <v>276</v>
      </c>
      <c r="B93" s="25">
        <v>194015.51</v>
      </c>
      <c r="C93" s="28">
        <v>194015.51</v>
      </c>
      <c r="D93" s="26">
        <f t="shared" si="0"/>
        <v>100</v>
      </c>
      <c r="E93" s="42">
        <f t="shared" si="1"/>
        <v>0</v>
      </c>
    </row>
    <row r="94" spans="1:5" ht="22.5" customHeight="1">
      <c r="A94" s="171" t="s">
        <v>15</v>
      </c>
      <c r="B94" s="149">
        <f>SUM(B48,B56,B58,B60,B74,B84,B85,B87,)</f>
        <v>7114027.72</v>
      </c>
      <c r="C94" s="149">
        <f>SUM(C48,C56,C58,C60,C74,C84,C85,C87,)</f>
        <v>6871226.3</v>
      </c>
      <c r="D94" s="140">
        <f>IF(B94=0,"   ",C94/B94*100)</f>
        <v>96.58700486480534</v>
      </c>
      <c r="E94" s="141">
        <f t="shared" si="1"/>
        <v>-242801.41999999993</v>
      </c>
    </row>
    <row r="95" spans="1:5" s="59" customFormat="1" ht="30" customHeight="1">
      <c r="A95" s="80" t="s">
        <v>334</v>
      </c>
      <c r="B95" s="80"/>
      <c r="C95" s="336"/>
      <c r="D95" s="336"/>
      <c r="E95" s="336"/>
    </row>
    <row r="96" spans="1:5" s="59" customFormat="1" ht="18" customHeight="1">
      <c r="A96" s="80" t="s">
        <v>154</v>
      </c>
      <c r="B96" s="80"/>
      <c r="C96" s="81" t="s">
        <v>335</v>
      </c>
      <c r="D96" s="82"/>
      <c r="E96" s="83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</sheetData>
  <sheetProtection/>
  <mergeCells count="2">
    <mergeCell ref="A1:E1"/>
    <mergeCell ref="C95:E95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zoomScalePageLayoutView="0" workbookViewId="0" topLeftCell="A85">
      <selection activeCell="A97" sqref="A97:E98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7.25">
      <c r="A1" s="338" t="s">
        <v>324</v>
      </c>
      <c r="B1" s="338"/>
      <c r="C1" s="338"/>
      <c r="D1" s="338"/>
      <c r="E1" s="33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249</v>
      </c>
      <c r="C4" s="32" t="s">
        <v>323</v>
      </c>
      <c r="D4" s="19" t="s">
        <v>253</v>
      </c>
      <c r="E4" s="36" t="s">
        <v>251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50" t="s">
        <v>45</v>
      </c>
      <c r="B7" s="148">
        <f>SUM(B8)</f>
        <v>64700</v>
      </c>
      <c r="C7" s="148">
        <f>SUM(C8)</f>
        <v>76990.43</v>
      </c>
      <c r="D7" s="138">
        <f aca="true" t="shared" si="0" ref="D7:D95">IF(B7=0,"   ",C7/B7*100)</f>
        <v>118.99602782071096</v>
      </c>
      <c r="E7" s="139">
        <f aca="true" t="shared" si="1" ref="E7:E96">C7-B7</f>
        <v>12290.429999999993</v>
      </c>
    </row>
    <row r="8" spans="1:5" ht="12" customHeight="1">
      <c r="A8" s="85" t="s">
        <v>44</v>
      </c>
      <c r="B8" s="84">
        <v>64700</v>
      </c>
      <c r="C8" s="230">
        <v>76990.43</v>
      </c>
      <c r="D8" s="138">
        <f t="shared" si="0"/>
        <v>118.99602782071096</v>
      </c>
      <c r="E8" s="139">
        <f t="shared" si="1"/>
        <v>12290.429999999993</v>
      </c>
    </row>
    <row r="9" spans="1:5" ht="16.5" customHeight="1">
      <c r="A9" s="150" t="s">
        <v>137</v>
      </c>
      <c r="B9" s="193">
        <f>SUM(B10)</f>
        <v>1082700</v>
      </c>
      <c r="C9" s="193">
        <f>SUM(C10)</f>
        <v>1028105.42</v>
      </c>
      <c r="D9" s="138">
        <f t="shared" si="0"/>
        <v>94.95755241525815</v>
      </c>
      <c r="E9" s="139">
        <f t="shared" si="1"/>
        <v>-54594.57999999996</v>
      </c>
    </row>
    <row r="10" spans="1:5" ht="11.25" customHeight="1">
      <c r="A10" s="85" t="s">
        <v>138</v>
      </c>
      <c r="B10" s="194">
        <v>1082700</v>
      </c>
      <c r="C10" s="230">
        <v>1028105.42</v>
      </c>
      <c r="D10" s="138">
        <f t="shared" si="0"/>
        <v>94.95755241525815</v>
      </c>
      <c r="E10" s="139">
        <f t="shared" si="1"/>
        <v>-54594.57999999996</v>
      </c>
    </row>
    <row r="11" spans="1:5" ht="12.75">
      <c r="A11" s="85" t="s">
        <v>7</v>
      </c>
      <c r="B11" s="194">
        <f>SUM(B12:B12)</f>
        <v>37300</v>
      </c>
      <c r="C11" s="194">
        <f>SUM(C12:C12)</f>
        <v>43265.55</v>
      </c>
      <c r="D11" s="138">
        <f t="shared" si="0"/>
        <v>115.99343163538876</v>
      </c>
      <c r="E11" s="139">
        <f t="shared" si="1"/>
        <v>5965.550000000003</v>
      </c>
    </row>
    <row r="12" spans="1:5" ht="16.5" customHeight="1">
      <c r="A12" s="85" t="s">
        <v>26</v>
      </c>
      <c r="B12" s="194">
        <v>37300</v>
      </c>
      <c r="C12" s="230">
        <v>43265.55</v>
      </c>
      <c r="D12" s="138">
        <f t="shared" si="0"/>
        <v>115.99343163538876</v>
      </c>
      <c r="E12" s="139">
        <f t="shared" si="1"/>
        <v>5965.550000000003</v>
      </c>
    </row>
    <row r="13" spans="1:5" ht="16.5" customHeight="1">
      <c r="A13" s="85" t="s">
        <v>9</v>
      </c>
      <c r="B13" s="194">
        <f>SUM(B14:B15)</f>
        <v>412000</v>
      </c>
      <c r="C13" s="194">
        <f>SUM(C14:C15)</f>
        <v>314578.44</v>
      </c>
      <c r="D13" s="138">
        <f t="shared" si="0"/>
        <v>76.35399029126214</v>
      </c>
      <c r="E13" s="139">
        <f t="shared" si="1"/>
        <v>-97421.56</v>
      </c>
    </row>
    <row r="14" spans="1:5" ht="15" customHeight="1">
      <c r="A14" s="85" t="s">
        <v>27</v>
      </c>
      <c r="B14" s="194">
        <v>177000</v>
      </c>
      <c r="C14" s="230">
        <v>134927.81</v>
      </c>
      <c r="D14" s="138">
        <f t="shared" si="0"/>
        <v>76.2304011299435</v>
      </c>
      <c r="E14" s="139">
        <f t="shared" si="1"/>
        <v>-42072.19</v>
      </c>
    </row>
    <row r="15" spans="1:5" ht="15.75" customHeight="1">
      <c r="A15" s="41" t="s">
        <v>160</v>
      </c>
      <c r="B15" s="194">
        <f>SUM(B16:B17)</f>
        <v>235000</v>
      </c>
      <c r="C15" s="194">
        <f>SUM(C16:C17)</f>
        <v>179650.63</v>
      </c>
      <c r="D15" s="138">
        <f t="shared" si="0"/>
        <v>76.44707659574468</v>
      </c>
      <c r="E15" s="139">
        <f t="shared" si="1"/>
        <v>-55349.369999999995</v>
      </c>
    </row>
    <row r="16" spans="1:5" ht="14.25" customHeight="1">
      <c r="A16" s="41" t="s">
        <v>161</v>
      </c>
      <c r="B16" s="194">
        <v>29000</v>
      </c>
      <c r="C16" s="230">
        <v>20114.63</v>
      </c>
      <c r="D16" s="138">
        <f t="shared" si="0"/>
        <v>69.36079310344829</v>
      </c>
      <c r="E16" s="139">
        <f t="shared" si="1"/>
        <v>-8885.369999999999</v>
      </c>
    </row>
    <row r="17" spans="1:5" ht="12.75" customHeight="1">
      <c r="A17" s="41" t="s">
        <v>162</v>
      </c>
      <c r="B17" s="194">
        <v>206000</v>
      </c>
      <c r="C17" s="230">
        <v>159536</v>
      </c>
      <c r="D17" s="138">
        <f t="shared" si="0"/>
        <v>77.44466019417476</v>
      </c>
      <c r="E17" s="139">
        <f t="shared" si="1"/>
        <v>-46464</v>
      </c>
    </row>
    <row r="18" spans="1:5" ht="12.75" customHeight="1">
      <c r="A18" s="41" t="s">
        <v>196</v>
      </c>
      <c r="B18" s="194">
        <v>1800</v>
      </c>
      <c r="C18" s="230">
        <v>2200</v>
      </c>
      <c r="D18" s="138">
        <f t="shared" si="0"/>
        <v>122.22222222222223</v>
      </c>
      <c r="E18" s="139">
        <f t="shared" si="1"/>
        <v>400</v>
      </c>
    </row>
    <row r="19" spans="1:5" ht="13.5" customHeight="1">
      <c r="A19" s="85" t="s">
        <v>88</v>
      </c>
      <c r="B19" s="194">
        <v>0</v>
      </c>
      <c r="C19" s="195">
        <v>0</v>
      </c>
      <c r="D19" s="138" t="str">
        <f t="shared" si="0"/>
        <v>   </v>
      </c>
      <c r="E19" s="139">
        <f t="shared" si="1"/>
        <v>0</v>
      </c>
    </row>
    <row r="20" spans="1:5" ht="24.75" customHeight="1">
      <c r="A20" s="85" t="s">
        <v>28</v>
      </c>
      <c r="B20" s="194">
        <f>B21+B22</f>
        <v>48900</v>
      </c>
      <c r="C20" s="194">
        <f>SUM(C21:C22)</f>
        <v>59532.45</v>
      </c>
      <c r="D20" s="138">
        <f t="shared" si="0"/>
        <v>121.74325153374232</v>
      </c>
      <c r="E20" s="139">
        <f t="shared" si="1"/>
        <v>10632.449999999997</v>
      </c>
    </row>
    <row r="21" spans="1:5" ht="14.25" customHeight="1">
      <c r="A21" s="41" t="s">
        <v>152</v>
      </c>
      <c r="B21" s="194">
        <v>48900</v>
      </c>
      <c r="C21" s="194">
        <v>59532.45</v>
      </c>
      <c r="D21" s="138">
        <f t="shared" si="0"/>
        <v>121.74325153374232</v>
      </c>
      <c r="E21" s="139">
        <f t="shared" si="1"/>
        <v>10632.449999999997</v>
      </c>
    </row>
    <row r="22" spans="1:5" ht="12" customHeight="1">
      <c r="A22" s="85" t="s">
        <v>30</v>
      </c>
      <c r="B22" s="194">
        <v>0</v>
      </c>
      <c r="C22" s="195">
        <v>0</v>
      </c>
      <c r="D22" s="138" t="str">
        <f t="shared" si="0"/>
        <v>   </v>
      </c>
      <c r="E22" s="139">
        <f t="shared" si="1"/>
        <v>0</v>
      </c>
    </row>
    <row r="23" spans="1:5" ht="12.75" customHeight="1">
      <c r="A23" s="85" t="s">
        <v>83</v>
      </c>
      <c r="B23" s="194">
        <v>0</v>
      </c>
      <c r="C23" s="195">
        <v>0</v>
      </c>
      <c r="D23" s="138" t="str">
        <f t="shared" si="0"/>
        <v>   </v>
      </c>
      <c r="E23" s="139">
        <f t="shared" si="1"/>
        <v>0</v>
      </c>
    </row>
    <row r="24" spans="1:5" ht="13.5" customHeight="1">
      <c r="A24" s="85" t="s">
        <v>78</v>
      </c>
      <c r="B24" s="194">
        <f>SUM(B25:B25)</f>
        <v>0</v>
      </c>
      <c r="C24" s="194">
        <f>SUM(C25:C25)</f>
        <v>0</v>
      </c>
      <c r="D24" s="138" t="str">
        <f t="shared" si="0"/>
        <v>   </v>
      </c>
      <c r="E24" s="139">
        <f t="shared" si="1"/>
        <v>0</v>
      </c>
    </row>
    <row r="25" spans="1:5" ht="13.5" customHeight="1">
      <c r="A25" s="85" t="s">
        <v>125</v>
      </c>
      <c r="B25" s="194">
        <v>0</v>
      </c>
      <c r="C25" s="194"/>
      <c r="D25" s="138" t="str">
        <f t="shared" si="0"/>
        <v>   </v>
      </c>
      <c r="E25" s="139"/>
    </row>
    <row r="26" spans="1:5" ht="12.75">
      <c r="A26" s="85" t="s">
        <v>32</v>
      </c>
      <c r="B26" s="194">
        <f>B27</f>
        <v>0</v>
      </c>
      <c r="C26" s="194">
        <f>C27</f>
        <v>-14.3</v>
      </c>
      <c r="D26" s="138" t="str">
        <f t="shared" si="0"/>
        <v>   </v>
      </c>
      <c r="E26" s="139">
        <f t="shared" si="1"/>
        <v>-14.3</v>
      </c>
    </row>
    <row r="27" spans="1:5" ht="12.75">
      <c r="A27" s="16" t="s">
        <v>46</v>
      </c>
      <c r="B27" s="194">
        <v>0</v>
      </c>
      <c r="C27" s="194">
        <v>-14.3</v>
      </c>
      <c r="D27" s="138" t="str">
        <f t="shared" si="0"/>
        <v>   </v>
      </c>
      <c r="E27" s="139">
        <f t="shared" si="1"/>
        <v>-14.3</v>
      </c>
    </row>
    <row r="28" spans="1:5" ht="12.75">
      <c r="A28" s="85" t="s">
        <v>31</v>
      </c>
      <c r="B28" s="194">
        <v>0</v>
      </c>
      <c r="C28" s="194">
        <v>0</v>
      </c>
      <c r="D28" s="138" t="str">
        <f t="shared" si="0"/>
        <v>   </v>
      </c>
      <c r="E28" s="139">
        <f t="shared" si="1"/>
        <v>0</v>
      </c>
    </row>
    <row r="29" spans="1:5" ht="18" customHeight="1">
      <c r="A29" s="156" t="s">
        <v>10</v>
      </c>
      <c r="B29" s="173">
        <f>B7+B9+B11+B13+B19+B20+B24+B26+B28+B18</f>
        <v>1647400</v>
      </c>
      <c r="C29" s="173">
        <f>C7+C9+C11+C13+C19+C20+C24+C26+C28+C18</f>
        <v>1524657.99</v>
      </c>
      <c r="D29" s="140">
        <f t="shared" si="0"/>
        <v>92.54934988466674</v>
      </c>
      <c r="E29" s="141">
        <f t="shared" si="1"/>
        <v>-122742.01000000001</v>
      </c>
    </row>
    <row r="30" spans="1:5" ht="18" customHeight="1">
      <c r="A30" s="157" t="s">
        <v>140</v>
      </c>
      <c r="B30" s="184">
        <f>SUM(B31:B34,B37,B38,B42,B43,B44)</f>
        <v>10371471.9</v>
      </c>
      <c r="C30" s="184">
        <f>SUM(C31:C34,C37,C38,C42,C43,C44)</f>
        <v>9451700</v>
      </c>
      <c r="D30" s="140">
        <f t="shared" si="0"/>
        <v>91.13171294423505</v>
      </c>
      <c r="E30" s="141">
        <f t="shared" si="1"/>
        <v>-919771.9000000004</v>
      </c>
    </row>
    <row r="31" spans="1:5" ht="16.5" customHeight="1">
      <c r="A31" s="158" t="s">
        <v>34</v>
      </c>
      <c r="B31" s="159">
        <v>3082600</v>
      </c>
      <c r="C31" s="230">
        <v>3082600</v>
      </c>
      <c r="D31" s="153">
        <f t="shared" si="0"/>
        <v>100</v>
      </c>
      <c r="E31" s="154">
        <f t="shared" si="1"/>
        <v>0</v>
      </c>
    </row>
    <row r="32" spans="1:5" ht="16.5" customHeight="1">
      <c r="A32" s="17" t="s">
        <v>229</v>
      </c>
      <c r="B32" s="159">
        <v>0</v>
      </c>
      <c r="C32" s="230">
        <v>0</v>
      </c>
      <c r="D32" s="153" t="str">
        <f>IF(B32=0,"   ",C32/B32*100)</f>
        <v>   </v>
      </c>
      <c r="E32" s="154">
        <f>C32-B32</f>
        <v>0</v>
      </c>
    </row>
    <row r="33" spans="1:5" ht="27" customHeight="1">
      <c r="A33" s="155" t="s">
        <v>51</v>
      </c>
      <c r="B33" s="194">
        <v>99200</v>
      </c>
      <c r="C33" s="230">
        <v>99200</v>
      </c>
      <c r="D33" s="153">
        <f t="shared" si="0"/>
        <v>100</v>
      </c>
      <c r="E33" s="154">
        <f t="shared" si="1"/>
        <v>0</v>
      </c>
    </row>
    <row r="34" spans="1:5" ht="27" customHeight="1">
      <c r="A34" s="155" t="s">
        <v>148</v>
      </c>
      <c r="B34" s="194">
        <f>SUM(B35:B36)</f>
        <v>6700</v>
      </c>
      <c r="C34" s="194">
        <f>SUM(C35:C36)</f>
        <v>100</v>
      </c>
      <c r="D34" s="153">
        <f t="shared" si="0"/>
        <v>1.4925373134328357</v>
      </c>
      <c r="E34" s="154">
        <f t="shared" si="1"/>
        <v>-6600</v>
      </c>
    </row>
    <row r="35" spans="1:5" ht="17.25" customHeight="1">
      <c r="A35" s="108" t="s">
        <v>163</v>
      </c>
      <c r="B35" s="194">
        <v>100</v>
      </c>
      <c r="C35" s="194">
        <v>100</v>
      </c>
      <c r="D35" s="153">
        <f t="shared" si="0"/>
        <v>100</v>
      </c>
      <c r="E35" s="154">
        <f t="shared" si="1"/>
        <v>0</v>
      </c>
    </row>
    <row r="36" spans="1:5" ht="27" customHeight="1">
      <c r="A36" s="108" t="s">
        <v>164</v>
      </c>
      <c r="B36" s="194">
        <v>6600</v>
      </c>
      <c r="C36" s="194">
        <v>0</v>
      </c>
      <c r="D36" s="153">
        <f>IF(B36=0,"   ",C36/B36*100)</f>
        <v>0</v>
      </c>
      <c r="E36" s="154">
        <f>C36-B36</f>
        <v>-6600</v>
      </c>
    </row>
    <row r="37" spans="1:5" ht="54.75" customHeight="1">
      <c r="A37" s="16" t="s">
        <v>238</v>
      </c>
      <c r="B37" s="194">
        <v>3953384</v>
      </c>
      <c r="C37" s="194">
        <v>3953384</v>
      </c>
      <c r="D37" s="153">
        <f>IF(B37=0,"   ",C37/B37*100)</f>
        <v>100</v>
      </c>
      <c r="E37" s="154">
        <f>C37-B37</f>
        <v>0</v>
      </c>
    </row>
    <row r="38" spans="1:5" ht="17.25" customHeight="1">
      <c r="A38" s="155" t="s">
        <v>55</v>
      </c>
      <c r="B38" s="194">
        <f>B39+B41+B40</f>
        <v>2507220</v>
      </c>
      <c r="C38" s="194">
        <f>C39+C41+C40</f>
        <v>1594041</v>
      </c>
      <c r="D38" s="153">
        <f t="shared" si="0"/>
        <v>63.57802665900878</v>
      </c>
      <c r="E38" s="154">
        <f t="shared" si="1"/>
        <v>-913179</v>
      </c>
    </row>
    <row r="39" spans="1:5" s="7" customFormat="1" ht="14.25" customHeight="1">
      <c r="A39" s="46" t="s">
        <v>109</v>
      </c>
      <c r="B39" s="194">
        <v>670000</v>
      </c>
      <c r="C39" s="194">
        <v>670000</v>
      </c>
      <c r="D39" s="47">
        <f t="shared" si="0"/>
        <v>100</v>
      </c>
      <c r="E39" s="174">
        <f t="shared" si="1"/>
        <v>0</v>
      </c>
    </row>
    <row r="40" spans="1:5" s="7" customFormat="1" ht="14.25" customHeight="1">
      <c r="A40" s="46" t="s">
        <v>294</v>
      </c>
      <c r="B40" s="194">
        <v>1702970</v>
      </c>
      <c r="C40" s="194">
        <v>789791</v>
      </c>
      <c r="D40" s="47">
        <f t="shared" si="0"/>
        <v>46.377270298361104</v>
      </c>
      <c r="E40" s="174">
        <f t="shared" si="1"/>
        <v>-913179</v>
      </c>
    </row>
    <row r="41" spans="1:5" s="7" customFormat="1" ht="14.25" customHeight="1">
      <c r="A41" s="46" t="s">
        <v>188</v>
      </c>
      <c r="B41" s="194">
        <v>134250</v>
      </c>
      <c r="C41" s="194">
        <v>134250</v>
      </c>
      <c r="D41" s="47">
        <f t="shared" si="0"/>
        <v>100</v>
      </c>
      <c r="E41" s="174">
        <f t="shared" si="1"/>
        <v>0</v>
      </c>
    </row>
    <row r="42" spans="1:5" ht="39" customHeight="1">
      <c r="A42" s="155" t="s">
        <v>103</v>
      </c>
      <c r="B42" s="194">
        <v>0</v>
      </c>
      <c r="C42" s="230">
        <v>0</v>
      </c>
      <c r="D42" s="153" t="str">
        <f t="shared" si="0"/>
        <v>   </v>
      </c>
      <c r="E42" s="154">
        <f t="shared" si="1"/>
        <v>0</v>
      </c>
    </row>
    <row r="43" spans="1:5" ht="29.25" customHeight="1">
      <c r="A43" s="16" t="s">
        <v>310</v>
      </c>
      <c r="B43" s="194">
        <v>700000</v>
      </c>
      <c r="C43" s="230">
        <v>700000</v>
      </c>
      <c r="D43" s="153">
        <f t="shared" si="0"/>
        <v>100</v>
      </c>
      <c r="E43" s="154">
        <f t="shared" si="1"/>
        <v>0</v>
      </c>
    </row>
    <row r="44" spans="1:5" ht="15.75" customHeight="1">
      <c r="A44" s="16" t="s">
        <v>199</v>
      </c>
      <c r="B44" s="194">
        <v>22367.9</v>
      </c>
      <c r="C44" s="194">
        <v>22375</v>
      </c>
      <c r="D44" s="153">
        <f t="shared" si="0"/>
        <v>100.0317419158705</v>
      </c>
      <c r="E44" s="154">
        <f t="shared" si="1"/>
        <v>7.099999999998545</v>
      </c>
    </row>
    <row r="45" spans="1:5" ht="27" customHeight="1">
      <c r="A45" s="156" t="s">
        <v>11</v>
      </c>
      <c r="B45" s="149">
        <f>SUM(B29,B30,)</f>
        <v>12018871.9</v>
      </c>
      <c r="C45" s="149">
        <f>SUM(C29,C30,)</f>
        <v>10976357.99</v>
      </c>
      <c r="D45" s="140">
        <f t="shared" si="0"/>
        <v>91.32602528195679</v>
      </c>
      <c r="E45" s="141">
        <f t="shared" si="1"/>
        <v>-1042513.9100000001</v>
      </c>
    </row>
    <row r="46" spans="1:5" ht="20.25" customHeight="1">
      <c r="A46" s="30"/>
      <c r="B46" s="159"/>
      <c r="C46" s="151"/>
      <c r="D46" s="153" t="str">
        <f t="shared" si="0"/>
        <v>   </v>
      </c>
      <c r="E46" s="154">
        <f t="shared" si="1"/>
        <v>0</v>
      </c>
    </row>
    <row r="47" spans="1:5" ht="12.75">
      <c r="A47" s="160" t="s">
        <v>12</v>
      </c>
      <c r="B47" s="149"/>
      <c r="C47" s="161"/>
      <c r="D47" s="153" t="str">
        <f t="shared" si="0"/>
        <v>   </v>
      </c>
      <c r="E47" s="154">
        <f t="shared" si="1"/>
        <v>0</v>
      </c>
    </row>
    <row r="48" spans="1:5" ht="19.5" customHeight="1">
      <c r="A48" s="155" t="s">
        <v>35</v>
      </c>
      <c r="B48" s="151">
        <f>SUM(B49,B52,B53)</f>
        <v>1278410</v>
      </c>
      <c r="C48" s="151">
        <f>SUM(C49,C52,C53)</f>
        <v>1150202.14</v>
      </c>
      <c r="D48" s="153">
        <f t="shared" si="0"/>
        <v>89.97130341596201</v>
      </c>
      <c r="E48" s="154">
        <f t="shared" si="1"/>
        <v>-128207.8600000001</v>
      </c>
    </row>
    <row r="49" spans="1:5" ht="13.5" customHeight="1">
      <c r="A49" s="155" t="s">
        <v>36</v>
      </c>
      <c r="B49" s="151">
        <v>1276000</v>
      </c>
      <c r="C49" s="151">
        <v>1150202.14</v>
      </c>
      <c r="D49" s="153">
        <f t="shared" si="0"/>
        <v>90.14123354231974</v>
      </c>
      <c r="E49" s="154">
        <f t="shared" si="1"/>
        <v>-125797.8600000001</v>
      </c>
    </row>
    <row r="50" spans="1:5" ht="12.75">
      <c r="A50" s="155" t="s">
        <v>121</v>
      </c>
      <c r="B50" s="151">
        <v>870220.02</v>
      </c>
      <c r="C50" s="161">
        <v>820853.19</v>
      </c>
      <c r="D50" s="153">
        <f t="shared" si="0"/>
        <v>94.32708638442952</v>
      </c>
      <c r="E50" s="154">
        <f t="shared" si="1"/>
        <v>-49366.830000000075</v>
      </c>
    </row>
    <row r="51" spans="1:5" ht="12.75">
      <c r="A51" s="85" t="s">
        <v>286</v>
      </c>
      <c r="B51" s="151">
        <v>100</v>
      </c>
      <c r="C51" s="161">
        <v>100</v>
      </c>
      <c r="D51" s="153">
        <f>IF(B51=0,"   ",C51/B51*100)</f>
        <v>100</v>
      </c>
      <c r="E51" s="154">
        <f>C51-B51</f>
        <v>0</v>
      </c>
    </row>
    <row r="52" spans="1:5" ht="12.75">
      <c r="A52" s="155" t="s">
        <v>95</v>
      </c>
      <c r="B52" s="151">
        <v>0</v>
      </c>
      <c r="C52" s="152">
        <v>0</v>
      </c>
      <c r="D52" s="153" t="str">
        <f t="shared" si="0"/>
        <v>   </v>
      </c>
      <c r="E52" s="154">
        <f t="shared" si="1"/>
        <v>0</v>
      </c>
    </row>
    <row r="53" spans="1:5" ht="12.75">
      <c r="A53" s="41" t="s">
        <v>52</v>
      </c>
      <c r="B53" s="152">
        <f>SUM(B54+B55)</f>
        <v>2410</v>
      </c>
      <c r="C53" s="152">
        <f>SUM(C54+C55)</f>
        <v>0</v>
      </c>
      <c r="D53" s="153">
        <f>IF(B53=0,"   ",C53/B53*100)</f>
        <v>0</v>
      </c>
      <c r="E53" s="154">
        <f>C53-B53</f>
        <v>-2410</v>
      </c>
    </row>
    <row r="54" spans="1:5" ht="26.25">
      <c r="A54" s="104" t="s">
        <v>246</v>
      </c>
      <c r="B54" s="151">
        <v>0</v>
      </c>
      <c r="C54" s="152">
        <v>0</v>
      </c>
      <c r="D54" s="153" t="str">
        <f>IF(B54=0,"   ",C54/B54*100)</f>
        <v>   </v>
      </c>
      <c r="E54" s="154">
        <f>C54-B54</f>
        <v>0</v>
      </c>
    </row>
    <row r="55" spans="1:5" ht="12.75">
      <c r="A55" s="104" t="s">
        <v>262</v>
      </c>
      <c r="B55" s="151">
        <v>2410</v>
      </c>
      <c r="C55" s="152">
        <v>0</v>
      </c>
      <c r="D55" s="153">
        <f>IF(B55=0,"   ",C55/B55*100)</f>
        <v>0</v>
      </c>
      <c r="E55" s="154">
        <f>C55-B55</f>
        <v>-2410</v>
      </c>
    </row>
    <row r="56" spans="1:5" ht="18.75" customHeight="1">
      <c r="A56" s="155" t="s">
        <v>49</v>
      </c>
      <c r="B56" s="152">
        <f>SUM(B57)</f>
        <v>99200</v>
      </c>
      <c r="C56" s="152">
        <f>SUM(C57)</f>
        <v>99200</v>
      </c>
      <c r="D56" s="153">
        <f t="shared" si="0"/>
        <v>100</v>
      </c>
      <c r="E56" s="154">
        <f t="shared" si="1"/>
        <v>0</v>
      </c>
    </row>
    <row r="57" spans="1:5" ht="13.5" customHeight="1">
      <c r="A57" s="46" t="s">
        <v>107</v>
      </c>
      <c r="B57" s="151">
        <v>99200</v>
      </c>
      <c r="C57" s="152">
        <v>99200</v>
      </c>
      <c r="D57" s="153">
        <f t="shared" si="0"/>
        <v>100</v>
      </c>
      <c r="E57" s="154">
        <f t="shared" si="1"/>
        <v>0</v>
      </c>
    </row>
    <row r="58" spans="1:5" ht="17.25" customHeight="1">
      <c r="A58" s="155" t="s">
        <v>37</v>
      </c>
      <c r="B58" s="151">
        <f>SUM(B59)</f>
        <v>400</v>
      </c>
      <c r="C58" s="151">
        <f>SUM(C59)</f>
        <v>400</v>
      </c>
      <c r="D58" s="153">
        <f t="shared" si="0"/>
        <v>100</v>
      </c>
      <c r="E58" s="154">
        <f t="shared" si="1"/>
        <v>0</v>
      </c>
    </row>
    <row r="59" spans="1:5" ht="15" customHeight="1">
      <c r="A59" s="75" t="s">
        <v>128</v>
      </c>
      <c r="B59" s="151">
        <v>400</v>
      </c>
      <c r="C59" s="152">
        <v>400</v>
      </c>
      <c r="D59" s="153">
        <f t="shared" si="0"/>
        <v>100</v>
      </c>
      <c r="E59" s="154">
        <f t="shared" si="1"/>
        <v>0</v>
      </c>
    </row>
    <row r="60" spans="1:5" ht="15.75" customHeight="1">
      <c r="A60" s="155" t="s">
        <v>38</v>
      </c>
      <c r="B60" s="151">
        <f>B64+B61+B72</f>
        <v>5838478.79</v>
      </c>
      <c r="C60" s="151">
        <f>C64+C61+C72</f>
        <v>5690773.25</v>
      </c>
      <c r="D60" s="153">
        <f t="shared" si="0"/>
        <v>97.47013656617223</v>
      </c>
      <c r="E60" s="154">
        <f t="shared" si="1"/>
        <v>-147705.54000000004</v>
      </c>
    </row>
    <row r="61" spans="1:5" ht="15.75" customHeight="1">
      <c r="A61" s="75" t="s">
        <v>165</v>
      </c>
      <c r="B61" s="25">
        <f>SUM(B62+B63)</f>
        <v>6600</v>
      </c>
      <c r="C61" s="25">
        <f>SUM(C62+C63)</f>
        <v>0</v>
      </c>
      <c r="D61" s="153">
        <f>IF(B61=0,"   ",C61/B61*100)</f>
        <v>0</v>
      </c>
      <c r="E61" s="154">
        <f>C61-B61</f>
        <v>-6600</v>
      </c>
    </row>
    <row r="62" spans="1:5" ht="15.75" customHeight="1">
      <c r="A62" s="75" t="s">
        <v>166</v>
      </c>
      <c r="B62" s="25">
        <v>6600</v>
      </c>
      <c r="C62" s="151">
        <v>0</v>
      </c>
      <c r="D62" s="153">
        <f>IF(B62=0,"   ",C62/B62*100)</f>
        <v>0</v>
      </c>
      <c r="E62" s="154">
        <f>C62-B62</f>
        <v>-6600</v>
      </c>
    </row>
    <row r="63" spans="1:5" ht="15.75" customHeight="1">
      <c r="A63" s="75" t="s">
        <v>189</v>
      </c>
      <c r="B63" s="25">
        <v>0</v>
      </c>
      <c r="C63" s="151">
        <v>0</v>
      </c>
      <c r="D63" s="153"/>
      <c r="E63" s="154"/>
    </row>
    <row r="64" spans="1:5" ht="12.75">
      <c r="A64" s="162" t="s">
        <v>131</v>
      </c>
      <c r="B64" s="151">
        <f>SUM(B65:B71)</f>
        <v>5831878.79</v>
      </c>
      <c r="C64" s="151">
        <f>SUM(C65:C71)</f>
        <v>5690773.25</v>
      </c>
      <c r="D64" s="153">
        <f t="shared" si="0"/>
        <v>97.58044456887623</v>
      </c>
      <c r="E64" s="154">
        <f t="shared" si="1"/>
        <v>-141105.54000000004</v>
      </c>
    </row>
    <row r="65" spans="1:5" ht="21.75" customHeight="1">
      <c r="A65" s="75" t="s">
        <v>149</v>
      </c>
      <c r="B65" s="151">
        <v>100000</v>
      </c>
      <c r="C65" s="151">
        <v>42337.56</v>
      </c>
      <c r="D65" s="153">
        <f t="shared" si="0"/>
        <v>42.337559999999996</v>
      </c>
      <c r="E65" s="154">
        <f t="shared" si="1"/>
        <v>-57662.44</v>
      </c>
    </row>
    <row r="66" spans="1:5" ht="30.75" customHeight="1">
      <c r="A66" s="71" t="s">
        <v>255</v>
      </c>
      <c r="B66" s="151">
        <v>594718.79</v>
      </c>
      <c r="C66" s="151">
        <v>511275.69</v>
      </c>
      <c r="D66" s="153">
        <f t="shared" si="0"/>
        <v>85.96931837314237</v>
      </c>
      <c r="E66" s="154">
        <f t="shared" si="1"/>
        <v>-83443.10000000003</v>
      </c>
    </row>
    <row r="67" spans="1:5" ht="30" customHeight="1">
      <c r="A67" s="71" t="s">
        <v>256</v>
      </c>
      <c r="B67" s="151">
        <v>0</v>
      </c>
      <c r="C67" s="151">
        <v>0</v>
      </c>
      <c r="D67" s="153" t="str">
        <f t="shared" si="0"/>
        <v>   </v>
      </c>
      <c r="E67" s="154">
        <f t="shared" si="1"/>
        <v>0</v>
      </c>
    </row>
    <row r="68" spans="1:5" ht="26.25" customHeight="1">
      <c r="A68" s="71" t="s">
        <v>257</v>
      </c>
      <c r="B68" s="151">
        <v>3953384</v>
      </c>
      <c r="C68" s="151">
        <v>3953384</v>
      </c>
      <c r="D68" s="153">
        <f t="shared" si="0"/>
        <v>100</v>
      </c>
      <c r="E68" s="154">
        <f t="shared" si="1"/>
        <v>0</v>
      </c>
    </row>
    <row r="69" spans="1:5" ht="27" customHeight="1">
      <c r="A69" s="71" t="s">
        <v>258</v>
      </c>
      <c r="B69" s="151">
        <v>439276</v>
      </c>
      <c r="C69" s="151">
        <v>439276</v>
      </c>
      <c r="D69" s="153">
        <f t="shared" si="0"/>
        <v>100</v>
      </c>
      <c r="E69" s="154">
        <f t="shared" si="1"/>
        <v>0</v>
      </c>
    </row>
    <row r="70" spans="1:5" ht="24" customHeight="1">
      <c r="A70" s="71" t="s">
        <v>259</v>
      </c>
      <c r="B70" s="151">
        <v>670000</v>
      </c>
      <c r="C70" s="151">
        <v>670000</v>
      </c>
      <c r="D70" s="153">
        <f>IF(B70=0,"   ",C70/B70*100)</f>
        <v>100</v>
      </c>
      <c r="E70" s="154">
        <f>C70-B70</f>
        <v>0</v>
      </c>
    </row>
    <row r="71" spans="1:5" ht="31.5" customHeight="1">
      <c r="A71" s="71" t="s">
        <v>260</v>
      </c>
      <c r="B71" s="151">
        <v>74500</v>
      </c>
      <c r="C71" s="151">
        <v>74500</v>
      </c>
      <c r="D71" s="153">
        <f t="shared" si="0"/>
        <v>100</v>
      </c>
      <c r="E71" s="154">
        <f t="shared" si="1"/>
        <v>0</v>
      </c>
    </row>
    <row r="72" spans="1:5" ht="23.25" customHeight="1">
      <c r="A72" s="95" t="s">
        <v>177</v>
      </c>
      <c r="B72" s="151">
        <f>SUM(B73)</f>
        <v>0</v>
      </c>
      <c r="C72" s="151">
        <f>SUM(C73)</f>
        <v>0</v>
      </c>
      <c r="D72" s="153" t="str">
        <f>IF(B72=0,"   ",C72/B72*100)</f>
        <v>   </v>
      </c>
      <c r="E72" s="154">
        <f>C72-B72</f>
        <v>0</v>
      </c>
    </row>
    <row r="73" spans="1:5" ht="23.25" customHeight="1">
      <c r="A73" s="75" t="s">
        <v>178</v>
      </c>
      <c r="B73" s="151">
        <v>0</v>
      </c>
      <c r="C73" s="151">
        <v>0</v>
      </c>
      <c r="D73" s="153" t="str">
        <f>IF(B73=0,"   ",C73/B73*100)</f>
        <v>   </v>
      </c>
      <c r="E73" s="154">
        <f>C73-B73</f>
        <v>0</v>
      </c>
    </row>
    <row r="74" spans="1:5" ht="17.25" customHeight="1">
      <c r="A74" s="155" t="s">
        <v>13</v>
      </c>
      <c r="B74" s="151">
        <f>SUM(B82,B75)</f>
        <v>3122241.66</v>
      </c>
      <c r="C74" s="151">
        <f>C75+C82</f>
        <v>2139654.02</v>
      </c>
      <c r="D74" s="153">
        <f t="shared" si="0"/>
        <v>68.5294174186376</v>
      </c>
      <c r="E74" s="154">
        <f t="shared" si="1"/>
        <v>-982587.6400000001</v>
      </c>
    </row>
    <row r="75" spans="1:5" ht="15.75" customHeight="1">
      <c r="A75" s="155" t="s">
        <v>90</v>
      </c>
      <c r="B75" s="151">
        <f>SUM(B76+B77)</f>
        <v>1817060</v>
      </c>
      <c r="C75" s="151">
        <f>SUM(C76+C77)</f>
        <v>840204.02</v>
      </c>
      <c r="D75" s="153">
        <f t="shared" si="0"/>
        <v>46.23975102638328</v>
      </c>
      <c r="E75" s="154">
        <f t="shared" si="1"/>
        <v>-976855.98</v>
      </c>
    </row>
    <row r="76" spans="1:5" ht="15.75" customHeight="1">
      <c r="A76" s="16" t="s">
        <v>299</v>
      </c>
      <c r="B76" s="151">
        <v>1702970</v>
      </c>
      <c r="C76" s="151">
        <v>789791</v>
      </c>
      <c r="D76" s="153">
        <f>IF(B76=0,"   ",C76/B76*100)</f>
        <v>46.377270298361104</v>
      </c>
      <c r="E76" s="154">
        <f>C76-B76</f>
        <v>-913179</v>
      </c>
    </row>
    <row r="77" spans="1:5" ht="15.75" customHeight="1">
      <c r="A77" s="16" t="s">
        <v>308</v>
      </c>
      <c r="B77" s="151">
        <v>114090</v>
      </c>
      <c r="C77" s="151">
        <v>50413.02</v>
      </c>
      <c r="D77" s="153">
        <f>IF(B77=0,"   ",C77/B77*100)</f>
        <v>44.18706284512227</v>
      </c>
      <c r="E77" s="154">
        <f>C77-B77</f>
        <v>-63676.98</v>
      </c>
    </row>
    <row r="78" spans="1:5" ht="15.75" customHeight="1">
      <c r="A78" s="104" t="s">
        <v>206</v>
      </c>
      <c r="B78" s="151">
        <f>B80+B79+B81</f>
        <v>0</v>
      </c>
      <c r="C78" s="151">
        <f>C80+C79+C81</f>
        <v>0</v>
      </c>
      <c r="D78" s="153" t="str">
        <f>IF(B78=0,"   ",C78/B78*100)</f>
        <v>   </v>
      </c>
      <c r="E78" s="154">
        <f>C78-B78</f>
        <v>0</v>
      </c>
    </row>
    <row r="79" spans="1:5" ht="27.75" customHeight="1">
      <c r="A79" s="104" t="s">
        <v>187</v>
      </c>
      <c r="B79" s="151">
        <v>0</v>
      </c>
      <c r="C79" s="151">
        <v>0</v>
      </c>
      <c r="D79" s="153" t="str">
        <f t="shared" si="0"/>
        <v>   </v>
      </c>
      <c r="E79" s="154">
        <f t="shared" si="1"/>
        <v>0</v>
      </c>
    </row>
    <row r="80" spans="1:5" ht="27.75" customHeight="1">
      <c r="A80" s="104" t="s">
        <v>200</v>
      </c>
      <c r="B80" s="151">
        <v>0</v>
      </c>
      <c r="C80" s="151">
        <v>0</v>
      </c>
      <c r="D80" s="153" t="str">
        <f t="shared" si="0"/>
        <v>   </v>
      </c>
      <c r="E80" s="154">
        <f t="shared" si="1"/>
        <v>0</v>
      </c>
    </row>
    <row r="81" spans="1:5" ht="27.75" customHeight="1">
      <c r="A81" s="104" t="s">
        <v>212</v>
      </c>
      <c r="B81" s="151">
        <v>0</v>
      </c>
      <c r="C81" s="151">
        <v>0</v>
      </c>
      <c r="D81" s="153" t="str">
        <f t="shared" si="0"/>
        <v>   </v>
      </c>
      <c r="E81" s="154">
        <f t="shared" si="1"/>
        <v>0</v>
      </c>
    </row>
    <row r="82" spans="1:5" ht="12.75">
      <c r="A82" s="155" t="s">
        <v>58</v>
      </c>
      <c r="B82" s="151">
        <f>B83+B84+B85+B86+B90</f>
        <v>1305181.66</v>
      </c>
      <c r="C82" s="151">
        <f>C83+C84+C85+C86+C90</f>
        <v>1299450</v>
      </c>
      <c r="D82" s="153">
        <f t="shared" si="0"/>
        <v>99.5608534677081</v>
      </c>
      <c r="E82" s="154">
        <f t="shared" si="1"/>
        <v>-5731.659999999916</v>
      </c>
    </row>
    <row r="83" spans="1:5" ht="12.75">
      <c r="A83" s="155" t="s">
        <v>56</v>
      </c>
      <c r="B83" s="151">
        <v>375700</v>
      </c>
      <c r="C83" s="151">
        <v>375700</v>
      </c>
      <c r="D83" s="153">
        <f t="shared" si="0"/>
        <v>100</v>
      </c>
      <c r="E83" s="154">
        <f t="shared" si="1"/>
        <v>0</v>
      </c>
    </row>
    <row r="84" spans="1:5" ht="12.75">
      <c r="A84" s="155" t="s">
        <v>59</v>
      </c>
      <c r="B84" s="151">
        <v>5731.66</v>
      </c>
      <c r="C84" s="152">
        <v>0</v>
      </c>
      <c r="D84" s="153">
        <f t="shared" si="0"/>
        <v>0</v>
      </c>
      <c r="E84" s="154">
        <f t="shared" si="1"/>
        <v>-5731.66</v>
      </c>
    </row>
    <row r="85" spans="1:5" ht="26.25">
      <c r="A85" s="104" t="s">
        <v>167</v>
      </c>
      <c r="B85" s="151">
        <v>0</v>
      </c>
      <c r="C85" s="152">
        <v>0</v>
      </c>
      <c r="D85" s="153" t="str">
        <f>IF(B85=0,"   ",C85/B85*100)</f>
        <v>   </v>
      </c>
      <c r="E85" s="154">
        <f>C85-B85</f>
        <v>0</v>
      </c>
    </row>
    <row r="86" spans="1:5" ht="12.75">
      <c r="A86" s="104" t="s">
        <v>206</v>
      </c>
      <c r="B86" s="151">
        <f>B88+B87+B89</f>
        <v>223750</v>
      </c>
      <c r="C86" s="151">
        <f>C88+C87+C89</f>
        <v>223750</v>
      </c>
      <c r="D86" s="153">
        <f>IF(B86=0,"   ",C86/B86*100)</f>
        <v>100</v>
      </c>
      <c r="E86" s="154">
        <f>C86-B86</f>
        <v>0</v>
      </c>
    </row>
    <row r="87" spans="1:5" ht="26.25">
      <c r="A87" s="104" t="s">
        <v>187</v>
      </c>
      <c r="B87" s="151">
        <v>134250</v>
      </c>
      <c r="C87" s="152">
        <v>134250</v>
      </c>
      <c r="D87" s="153">
        <f>IF(B87=0,"   ",C87/B87*100)</f>
        <v>100</v>
      </c>
      <c r="E87" s="154">
        <f>C87-B87</f>
        <v>0</v>
      </c>
    </row>
    <row r="88" spans="1:5" ht="26.25">
      <c r="A88" s="104" t="s">
        <v>200</v>
      </c>
      <c r="B88" s="151">
        <v>67125</v>
      </c>
      <c r="C88" s="152">
        <v>67125</v>
      </c>
      <c r="D88" s="153">
        <f>IF(B88=0,"   ",C88/B88*100)</f>
        <v>100</v>
      </c>
      <c r="E88" s="154">
        <f>C88-B88</f>
        <v>0</v>
      </c>
    </row>
    <row r="89" spans="1:5" ht="26.25">
      <c r="A89" s="104" t="s">
        <v>212</v>
      </c>
      <c r="B89" s="151">
        <v>22375</v>
      </c>
      <c r="C89" s="152">
        <v>22375</v>
      </c>
      <c r="D89" s="153">
        <f>IF(B89=0,"   ",C89/B89*100)</f>
        <v>100</v>
      </c>
      <c r="E89" s="154">
        <f>C89-B89</f>
        <v>0</v>
      </c>
    </row>
    <row r="90" spans="1:5" ht="21.75" customHeight="1">
      <c r="A90" s="104" t="s">
        <v>300</v>
      </c>
      <c r="B90" s="151">
        <v>700000</v>
      </c>
      <c r="C90" s="152">
        <v>700000</v>
      </c>
      <c r="D90" s="153">
        <f t="shared" si="0"/>
        <v>100</v>
      </c>
      <c r="E90" s="154">
        <f t="shared" si="1"/>
        <v>0</v>
      </c>
    </row>
    <row r="91" spans="1:5" ht="12.75" customHeight="1">
      <c r="A91" s="163" t="s">
        <v>17</v>
      </c>
      <c r="B91" s="164">
        <v>0</v>
      </c>
      <c r="C91" s="164">
        <v>0</v>
      </c>
      <c r="D91" s="165" t="str">
        <f t="shared" si="0"/>
        <v>   </v>
      </c>
      <c r="E91" s="166">
        <f t="shared" si="1"/>
        <v>0</v>
      </c>
    </row>
    <row r="92" spans="1:5" ht="19.5" customHeight="1">
      <c r="A92" s="167" t="s">
        <v>41</v>
      </c>
      <c r="B92" s="168">
        <f>B93</f>
        <v>1858800</v>
      </c>
      <c r="C92" s="168">
        <f>C93</f>
        <v>1858800</v>
      </c>
      <c r="D92" s="165">
        <f t="shared" si="0"/>
        <v>100</v>
      </c>
      <c r="E92" s="166">
        <f t="shared" si="1"/>
        <v>0</v>
      </c>
    </row>
    <row r="93" spans="1:5" ht="15" customHeight="1">
      <c r="A93" s="167" t="s">
        <v>42</v>
      </c>
      <c r="B93" s="164">
        <v>1858800</v>
      </c>
      <c r="C93" s="169">
        <v>1858800</v>
      </c>
      <c r="D93" s="165">
        <f t="shared" si="0"/>
        <v>100</v>
      </c>
      <c r="E93" s="166">
        <f t="shared" si="1"/>
        <v>0</v>
      </c>
    </row>
    <row r="94" spans="1:5" ht="14.25" customHeight="1">
      <c r="A94" s="167" t="s">
        <v>124</v>
      </c>
      <c r="B94" s="164">
        <f>SUM(B95,)</f>
        <v>0</v>
      </c>
      <c r="C94" s="164">
        <f>SUM(C95,)</f>
        <v>0</v>
      </c>
      <c r="D94" s="165" t="str">
        <f t="shared" si="0"/>
        <v>   </v>
      </c>
      <c r="E94" s="166">
        <f t="shared" si="1"/>
        <v>0</v>
      </c>
    </row>
    <row r="95" spans="1:5" ht="12.75">
      <c r="A95" s="167" t="s">
        <v>43</v>
      </c>
      <c r="B95" s="164">
        <v>0</v>
      </c>
      <c r="C95" s="170">
        <v>0</v>
      </c>
      <c r="D95" s="165" t="str">
        <f t="shared" si="0"/>
        <v>   </v>
      </c>
      <c r="E95" s="166">
        <f t="shared" si="1"/>
        <v>0</v>
      </c>
    </row>
    <row r="96" spans="1:5" ht="23.25" customHeight="1">
      <c r="A96" s="156" t="s">
        <v>15</v>
      </c>
      <c r="B96" s="149">
        <f>SUM(B48,B56,B58,B60,B74,B91,B92,B94,)</f>
        <v>12197530.45</v>
      </c>
      <c r="C96" s="149">
        <f>SUM(C48,C56,C58,C60,C74,C91,C92,C94,)</f>
        <v>10939029.41</v>
      </c>
      <c r="D96" s="140">
        <f>IF(B96=0,"   ",C96/B96*100)</f>
        <v>89.68232918000217</v>
      </c>
      <c r="E96" s="141">
        <f t="shared" si="1"/>
        <v>-1258501.039999999</v>
      </c>
    </row>
    <row r="97" spans="1:5" s="59" customFormat="1" ht="31.5" customHeight="1">
      <c r="A97" s="80" t="s">
        <v>334</v>
      </c>
      <c r="B97" s="80"/>
      <c r="C97" s="336"/>
      <c r="D97" s="336"/>
      <c r="E97" s="336"/>
    </row>
    <row r="98" spans="1:5" s="59" customFormat="1" ht="12" customHeight="1">
      <c r="A98" s="80" t="s">
        <v>154</v>
      </c>
      <c r="B98" s="80"/>
      <c r="C98" s="81" t="s">
        <v>335</v>
      </c>
      <c r="D98" s="82"/>
      <c r="E98" s="83"/>
    </row>
    <row r="99" spans="1:5" ht="12.75">
      <c r="A99" s="175"/>
      <c r="B99" s="175"/>
      <c r="C99" s="176"/>
      <c r="D99" s="175"/>
      <c r="E99" s="177"/>
    </row>
    <row r="100" spans="1:5" ht="12.75">
      <c r="A100" s="175"/>
      <c r="B100" s="175"/>
      <c r="C100" s="176"/>
      <c r="D100" s="175"/>
      <c r="E100" s="177"/>
    </row>
    <row r="101" spans="1:5" ht="12.75">
      <c r="A101" s="178"/>
      <c r="B101" s="178"/>
      <c r="C101" s="178"/>
      <c r="D101" s="178"/>
      <c r="E101" s="178"/>
    </row>
    <row r="102" spans="1:5" ht="12.75">
      <c r="A102" s="178"/>
      <c r="B102" s="178"/>
      <c r="C102" s="178"/>
      <c r="D102" s="178"/>
      <c r="E102" s="178"/>
    </row>
    <row r="103" spans="1:5" ht="12.75">
      <c r="A103" s="178"/>
      <c r="B103" s="178"/>
      <c r="C103" s="178"/>
      <c r="D103" s="178"/>
      <c r="E103" s="178"/>
    </row>
    <row r="104" spans="1:5" ht="12.75">
      <c r="A104" s="178"/>
      <c r="B104" s="178"/>
      <c r="C104" s="178"/>
      <c r="D104" s="178"/>
      <c r="E104" s="178"/>
    </row>
    <row r="105" spans="1:5" ht="12.75">
      <c r="A105" s="178"/>
      <c r="B105" s="178"/>
      <c r="C105" s="178"/>
      <c r="D105" s="178"/>
      <c r="E105" s="178"/>
    </row>
    <row r="106" spans="1:5" ht="12.75">
      <c r="A106" s="178"/>
      <c r="B106" s="178"/>
      <c r="C106" s="178"/>
      <c r="D106" s="178"/>
      <c r="E106" s="178"/>
    </row>
  </sheetData>
  <sheetProtection/>
  <mergeCells count="2">
    <mergeCell ref="A1:E1"/>
    <mergeCell ref="C97:E97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zoomScalePageLayoutView="0" workbookViewId="0" topLeftCell="A100">
      <selection activeCell="A104" sqref="A104:E105"/>
    </sheetView>
  </sheetViews>
  <sheetFormatPr defaultColWidth="9.00390625" defaultRowHeight="12.75"/>
  <cols>
    <col min="1" max="1" width="109.87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7.25">
      <c r="A1" s="338" t="s">
        <v>325</v>
      </c>
      <c r="B1" s="338"/>
      <c r="C1" s="338"/>
      <c r="D1" s="338"/>
      <c r="E1" s="33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8">
      <c r="A4" s="34" t="s">
        <v>1</v>
      </c>
      <c r="B4" s="19" t="s">
        <v>249</v>
      </c>
      <c r="C4" s="32" t="s">
        <v>323</v>
      </c>
      <c r="D4" s="19" t="s">
        <v>250</v>
      </c>
      <c r="E4" s="36" t="s">
        <v>251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48">
        <f>SUM(B8)</f>
        <v>81500</v>
      </c>
      <c r="C7" s="148">
        <f>C8</f>
        <v>58034.81</v>
      </c>
      <c r="D7" s="138">
        <f aca="true" t="shared" si="0" ref="D7:D102">IF(B7=0,"   ",C7/B7*100)</f>
        <v>71.20835582822086</v>
      </c>
      <c r="E7" s="139">
        <f aca="true" t="shared" si="1" ref="E7:E103">C7-B7</f>
        <v>-23465.190000000002</v>
      </c>
    </row>
    <row r="8" spans="1:5" ht="12.75">
      <c r="A8" s="16" t="s">
        <v>44</v>
      </c>
      <c r="B8" s="84">
        <v>81500</v>
      </c>
      <c r="C8" s="230">
        <v>58034.81</v>
      </c>
      <c r="D8" s="138">
        <f t="shared" si="0"/>
        <v>71.20835582822086</v>
      </c>
      <c r="E8" s="139">
        <f t="shared" si="1"/>
        <v>-23465.190000000002</v>
      </c>
    </row>
    <row r="9" spans="1:5" ht="12.75">
      <c r="A9" s="64" t="s">
        <v>137</v>
      </c>
      <c r="B9" s="193">
        <f>SUM(B10)</f>
        <v>500700</v>
      </c>
      <c r="C9" s="193">
        <f>SUM(C10)</f>
        <v>475438.43</v>
      </c>
      <c r="D9" s="138">
        <f t="shared" si="0"/>
        <v>94.95474935090873</v>
      </c>
      <c r="E9" s="139">
        <f t="shared" si="1"/>
        <v>-25261.570000000007</v>
      </c>
    </row>
    <row r="10" spans="1:5" ht="12.75">
      <c r="A10" s="41" t="s">
        <v>138</v>
      </c>
      <c r="B10" s="194">
        <v>500700</v>
      </c>
      <c r="C10" s="230">
        <v>475438.43</v>
      </c>
      <c r="D10" s="138">
        <f t="shared" si="0"/>
        <v>94.95474935090873</v>
      </c>
      <c r="E10" s="139">
        <f t="shared" si="1"/>
        <v>-25261.570000000007</v>
      </c>
    </row>
    <row r="11" spans="1:5" ht="13.5" customHeight="1">
      <c r="A11" s="16" t="s">
        <v>7</v>
      </c>
      <c r="B11" s="194">
        <f>SUM(B12:B12)</f>
        <v>56800</v>
      </c>
      <c r="C11" s="194">
        <f>SUM(C12:C12)</f>
        <v>56836.5</v>
      </c>
      <c r="D11" s="138">
        <f t="shared" si="0"/>
        <v>100.06426056338029</v>
      </c>
      <c r="E11" s="139">
        <f t="shared" si="1"/>
        <v>36.5</v>
      </c>
    </row>
    <row r="12" spans="1:5" ht="13.5" customHeight="1">
      <c r="A12" s="16" t="s">
        <v>26</v>
      </c>
      <c r="B12" s="194">
        <v>56800</v>
      </c>
      <c r="C12" s="230">
        <v>56836.5</v>
      </c>
      <c r="D12" s="138">
        <f t="shared" si="0"/>
        <v>100.06426056338029</v>
      </c>
      <c r="E12" s="139">
        <f t="shared" si="1"/>
        <v>36.5</v>
      </c>
    </row>
    <row r="13" spans="1:5" ht="12.75">
      <c r="A13" s="16" t="s">
        <v>9</v>
      </c>
      <c r="B13" s="194">
        <f>SUM(B14:B15)</f>
        <v>340900</v>
      </c>
      <c r="C13" s="194">
        <f>SUM(C14:C15)</f>
        <v>366482.23</v>
      </c>
      <c r="D13" s="138">
        <f t="shared" si="0"/>
        <v>107.5043209152244</v>
      </c>
      <c r="E13" s="139">
        <f t="shared" si="1"/>
        <v>25582.22999999998</v>
      </c>
    </row>
    <row r="14" spans="1:5" ht="19.5" customHeight="1">
      <c r="A14" s="16" t="s">
        <v>27</v>
      </c>
      <c r="B14" s="194">
        <v>87000</v>
      </c>
      <c r="C14" s="230">
        <v>114129.75</v>
      </c>
      <c r="D14" s="138">
        <f t="shared" si="0"/>
        <v>131.18362068965516</v>
      </c>
      <c r="E14" s="139">
        <f t="shared" si="1"/>
        <v>27129.75</v>
      </c>
    </row>
    <row r="15" spans="1:5" ht="18.75" customHeight="1">
      <c r="A15" s="41" t="s">
        <v>160</v>
      </c>
      <c r="B15" s="194">
        <f>SUM(B16:B17)</f>
        <v>253900</v>
      </c>
      <c r="C15" s="194">
        <f>SUM(C16:C17)</f>
        <v>252352.48</v>
      </c>
      <c r="D15" s="138">
        <f t="shared" si="0"/>
        <v>99.39050019692793</v>
      </c>
      <c r="E15" s="139">
        <f t="shared" si="1"/>
        <v>-1547.5199999999895</v>
      </c>
    </row>
    <row r="16" spans="1:5" ht="18.75" customHeight="1">
      <c r="A16" s="41" t="s">
        <v>161</v>
      </c>
      <c r="B16" s="194">
        <v>36900</v>
      </c>
      <c r="C16" s="230">
        <v>27704.1</v>
      </c>
      <c r="D16" s="138">
        <f t="shared" si="0"/>
        <v>75.07886178861789</v>
      </c>
      <c r="E16" s="139">
        <f t="shared" si="1"/>
        <v>-9195.900000000001</v>
      </c>
    </row>
    <row r="17" spans="1:5" ht="18" customHeight="1">
      <c r="A17" s="41" t="s">
        <v>162</v>
      </c>
      <c r="B17" s="194">
        <v>217000</v>
      </c>
      <c r="C17" s="230">
        <v>224648.38</v>
      </c>
      <c r="D17" s="138">
        <f t="shared" si="0"/>
        <v>103.52459907834101</v>
      </c>
      <c r="E17" s="139">
        <f t="shared" si="1"/>
        <v>7648.380000000005</v>
      </c>
    </row>
    <row r="18" spans="1:5" ht="18" customHeight="1">
      <c r="A18" s="41" t="s">
        <v>196</v>
      </c>
      <c r="B18" s="194">
        <v>0</v>
      </c>
      <c r="C18" s="230">
        <v>0</v>
      </c>
      <c r="D18" s="138" t="str">
        <f t="shared" si="0"/>
        <v>   </v>
      </c>
      <c r="E18" s="139">
        <f t="shared" si="1"/>
        <v>0</v>
      </c>
    </row>
    <row r="19" spans="1:5" ht="15" customHeight="1">
      <c r="A19" s="16" t="s">
        <v>88</v>
      </c>
      <c r="B19" s="194">
        <v>0</v>
      </c>
      <c r="C19" s="195">
        <v>0</v>
      </c>
      <c r="D19" s="138" t="str">
        <f t="shared" si="0"/>
        <v>   </v>
      </c>
      <c r="E19" s="139">
        <f t="shared" si="1"/>
        <v>0</v>
      </c>
    </row>
    <row r="20" spans="1:5" ht="26.25" customHeight="1">
      <c r="A20" s="16" t="s">
        <v>28</v>
      </c>
      <c r="B20" s="194">
        <f>B22+B21</f>
        <v>88800</v>
      </c>
      <c r="C20" s="193">
        <f>SUM(C21:C22)</f>
        <v>86353.05</v>
      </c>
      <c r="D20" s="138">
        <f t="shared" si="0"/>
        <v>97.24442567567569</v>
      </c>
      <c r="E20" s="139">
        <f t="shared" si="1"/>
        <v>-2446.949999999997</v>
      </c>
    </row>
    <row r="21" spans="1:5" ht="15.75" customHeight="1">
      <c r="A21" s="41" t="s">
        <v>152</v>
      </c>
      <c r="B21" s="194">
        <v>88800</v>
      </c>
      <c r="C21" s="195">
        <v>86353.05</v>
      </c>
      <c r="D21" s="138">
        <f t="shared" si="0"/>
        <v>97.24442567567569</v>
      </c>
      <c r="E21" s="139">
        <f t="shared" si="1"/>
        <v>-2446.949999999997</v>
      </c>
    </row>
    <row r="22" spans="1:5" ht="15" customHeight="1">
      <c r="A22" s="16" t="s">
        <v>30</v>
      </c>
      <c r="B22" s="194">
        <v>0</v>
      </c>
      <c r="C22" s="195">
        <v>0</v>
      </c>
      <c r="D22" s="138" t="str">
        <f t="shared" si="0"/>
        <v>   </v>
      </c>
      <c r="E22" s="139">
        <f t="shared" si="1"/>
        <v>0</v>
      </c>
    </row>
    <row r="23" spans="1:5" ht="18.75" customHeight="1">
      <c r="A23" s="39" t="s">
        <v>91</v>
      </c>
      <c r="B23" s="194">
        <v>0</v>
      </c>
      <c r="C23" s="195">
        <v>0</v>
      </c>
      <c r="D23" s="138" t="str">
        <f t="shared" si="0"/>
        <v>   </v>
      </c>
      <c r="E23" s="139">
        <f t="shared" si="1"/>
        <v>0</v>
      </c>
    </row>
    <row r="24" spans="1:5" ht="18.75" customHeight="1">
      <c r="A24" s="16" t="s">
        <v>76</v>
      </c>
      <c r="B24" s="194">
        <f>SUM(B25)</f>
        <v>0</v>
      </c>
      <c r="C24" s="194">
        <f>SUM(C25)</f>
        <v>0</v>
      </c>
      <c r="D24" s="138" t="str">
        <f t="shared" si="0"/>
        <v>   </v>
      </c>
      <c r="E24" s="139">
        <f t="shared" si="1"/>
        <v>0</v>
      </c>
    </row>
    <row r="25" spans="1:5" ht="24.75" customHeight="1">
      <c r="A25" s="16" t="s">
        <v>77</v>
      </c>
      <c r="B25" s="194">
        <v>0</v>
      </c>
      <c r="C25" s="195">
        <v>0</v>
      </c>
      <c r="D25" s="138" t="str">
        <f t="shared" si="0"/>
        <v>   </v>
      </c>
      <c r="E25" s="139">
        <f t="shared" si="1"/>
        <v>0</v>
      </c>
    </row>
    <row r="26" spans="1:5" ht="24.75" customHeight="1">
      <c r="A26" s="16" t="s">
        <v>31</v>
      </c>
      <c r="B26" s="194">
        <v>0</v>
      </c>
      <c r="C26" s="195">
        <v>4891.85</v>
      </c>
      <c r="D26" s="138" t="str">
        <f t="shared" si="0"/>
        <v>   </v>
      </c>
      <c r="E26" s="139">
        <f t="shared" si="1"/>
        <v>4891.85</v>
      </c>
    </row>
    <row r="27" spans="1:5" ht="17.25" customHeight="1">
      <c r="A27" s="16" t="s">
        <v>32</v>
      </c>
      <c r="B27" s="193">
        <f>B28+B29</f>
        <v>0</v>
      </c>
      <c r="C27" s="193">
        <f>C28+C29</f>
        <v>-11.38</v>
      </c>
      <c r="D27" s="138" t="str">
        <f t="shared" si="0"/>
        <v>   </v>
      </c>
      <c r="E27" s="139">
        <f t="shared" si="1"/>
        <v>-11.38</v>
      </c>
    </row>
    <row r="28" spans="1:5" ht="14.25" customHeight="1">
      <c r="A28" s="16" t="s">
        <v>136</v>
      </c>
      <c r="B28" s="194">
        <v>0</v>
      </c>
      <c r="C28" s="195">
        <v>-11.38</v>
      </c>
      <c r="D28" s="138" t="str">
        <f t="shared" si="0"/>
        <v>   </v>
      </c>
      <c r="E28" s="139">
        <f t="shared" si="1"/>
        <v>-11.38</v>
      </c>
    </row>
    <row r="29" spans="1:5" ht="14.25" customHeight="1">
      <c r="A29" s="16" t="s">
        <v>110</v>
      </c>
      <c r="B29" s="194">
        <v>0</v>
      </c>
      <c r="C29" s="194">
        <v>0</v>
      </c>
      <c r="D29" s="138" t="str">
        <f t="shared" si="0"/>
        <v>   </v>
      </c>
      <c r="E29" s="139">
        <f t="shared" si="1"/>
        <v>0</v>
      </c>
    </row>
    <row r="30" spans="1:5" ht="18" customHeight="1">
      <c r="A30" s="171" t="s">
        <v>10</v>
      </c>
      <c r="B30" s="149">
        <f>SUM(B7,B9,B11,B13,B19,B20,B23,B24,B26,B28,B29,B18)</f>
        <v>1068700</v>
      </c>
      <c r="C30" s="149">
        <f>SUM(C7,C9,C11,C13,C19,C20,C23,C24,C26,C28,C29,C18)</f>
        <v>1048025.49</v>
      </c>
      <c r="D30" s="140">
        <f t="shared" si="0"/>
        <v>98.06545241882661</v>
      </c>
      <c r="E30" s="141">
        <f t="shared" si="1"/>
        <v>-20674.51000000001</v>
      </c>
    </row>
    <row r="31" spans="1:5" ht="18" customHeight="1">
      <c r="A31" s="147" t="s">
        <v>140</v>
      </c>
      <c r="B31" s="184">
        <f>SUM(B32:B35,B38,B39,B40,B44+B46)</f>
        <v>5348222</v>
      </c>
      <c r="C31" s="184">
        <f>SUM(C32:C35,C38,C39,C40,C44+C46)</f>
        <v>5341622</v>
      </c>
      <c r="D31" s="140">
        <f t="shared" si="0"/>
        <v>99.87659450187371</v>
      </c>
      <c r="E31" s="141">
        <f t="shared" si="1"/>
        <v>-6600</v>
      </c>
    </row>
    <row r="32" spans="1:5" ht="16.5" customHeight="1">
      <c r="A32" s="64" t="s">
        <v>34</v>
      </c>
      <c r="B32" s="159">
        <v>1039500</v>
      </c>
      <c r="C32" s="230">
        <v>1039500</v>
      </c>
      <c r="D32" s="153">
        <f t="shared" si="0"/>
        <v>100</v>
      </c>
      <c r="E32" s="154">
        <f t="shared" si="1"/>
        <v>0</v>
      </c>
    </row>
    <row r="33" spans="1:5" ht="16.5" customHeight="1">
      <c r="A33" s="17" t="s">
        <v>229</v>
      </c>
      <c r="B33" s="159">
        <v>0</v>
      </c>
      <c r="C33" s="230">
        <v>0</v>
      </c>
      <c r="D33" s="153" t="str">
        <f>IF(B33=0,"   ",C33/B33*100)</f>
        <v>   </v>
      </c>
      <c r="E33" s="154">
        <f>C33-B33</f>
        <v>0</v>
      </c>
    </row>
    <row r="34" spans="1:5" ht="24.75" customHeight="1">
      <c r="A34" s="41" t="s">
        <v>51</v>
      </c>
      <c r="B34" s="194">
        <v>99200</v>
      </c>
      <c r="C34" s="230">
        <v>99200</v>
      </c>
      <c r="D34" s="153">
        <f t="shared" si="0"/>
        <v>100</v>
      </c>
      <c r="E34" s="154">
        <f t="shared" si="1"/>
        <v>0</v>
      </c>
    </row>
    <row r="35" spans="1:5" ht="24.75" customHeight="1">
      <c r="A35" s="41" t="s">
        <v>148</v>
      </c>
      <c r="B35" s="194">
        <f>SUM(B36:B37)</f>
        <v>6700</v>
      </c>
      <c r="C35" s="194">
        <f>SUM(C36:C37)</f>
        <v>100</v>
      </c>
      <c r="D35" s="153">
        <f t="shared" si="0"/>
        <v>1.4925373134328357</v>
      </c>
      <c r="E35" s="154">
        <f t="shared" si="1"/>
        <v>-6600</v>
      </c>
    </row>
    <row r="36" spans="1:5" ht="16.5" customHeight="1">
      <c r="A36" s="108" t="s">
        <v>163</v>
      </c>
      <c r="B36" s="194">
        <v>100</v>
      </c>
      <c r="C36" s="195">
        <v>100</v>
      </c>
      <c r="D36" s="153">
        <f>IF(B36=0,"   ",C36/B36*100)</f>
        <v>100</v>
      </c>
      <c r="E36" s="154">
        <f>C36-B36</f>
        <v>0</v>
      </c>
    </row>
    <row r="37" spans="1:5" ht="26.25" customHeight="1">
      <c r="A37" s="108" t="s">
        <v>164</v>
      </c>
      <c r="B37" s="194">
        <v>6600</v>
      </c>
      <c r="C37" s="195">
        <v>0</v>
      </c>
      <c r="D37" s="153">
        <f>IF(B37=0,"   ",C37/B37*100)</f>
        <v>0</v>
      </c>
      <c r="E37" s="154">
        <f>C37-B37</f>
        <v>-6600</v>
      </c>
    </row>
    <row r="38" spans="1:5" ht="56.25" customHeight="1">
      <c r="A38" s="16" t="s">
        <v>238</v>
      </c>
      <c r="B38" s="194">
        <v>455900</v>
      </c>
      <c r="C38" s="195">
        <v>455900</v>
      </c>
      <c r="D38" s="153">
        <f>IF(B38=0,"   ",C38/B38*100)</f>
        <v>100</v>
      </c>
      <c r="E38" s="154">
        <f>C38-B38</f>
        <v>0</v>
      </c>
    </row>
    <row r="39" spans="1:5" ht="26.25" customHeight="1">
      <c r="A39" s="16" t="s">
        <v>311</v>
      </c>
      <c r="B39" s="194">
        <v>940000</v>
      </c>
      <c r="C39" s="195">
        <v>940000</v>
      </c>
      <c r="D39" s="153">
        <f>IF(B39=0,"   ",C39/B39*100)</f>
        <v>100</v>
      </c>
      <c r="E39" s="154">
        <f>C39-B39</f>
        <v>0</v>
      </c>
    </row>
    <row r="40" spans="1:5" ht="14.25" customHeight="1">
      <c r="A40" s="41" t="s">
        <v>80</v>
      </c>
      <c r="B40" s="194">
        <f>B41+B43+B42</f>
        <v>1893879</v>
      </c>
      <c r="C40" s="194">
        <f>C41+C43+C42</f>
        <v>1893879</v>
      </c>
      <c r="D40" s="153">
        <f t="shared" si="0"/>
        <v>100</v>
      </c>
      <c r="E40" s="154">
        <f t="shared" si="1"/>
        <v>0</v>
      </c>
    </row>
    <row r="41" spans="1:5" ht="16.5" customHeight="1">
      <c r="A41" s="41" t="s">
        <v>109</v>
      </c>
      <c r="B41" s="194">
        <v>310600</v>
      </c>
      <c r="C41" s="195">
        <v>310600</v>
      </c>
      <c r="D41" s="153">
        <f t="shared" si="0"/>
        <v>100</v>
      </c>
      <c r="E41" s="154">
        <f t="shared" si="1"/>
        <v>0</v>
      </c>
    </row>
    <row r="42" spans="1:5" ht="16.5" customHeight="1">
      <c r="A42" s="46" t="s">
        <v>294</v>
      </c>
      <c r="B42" s="194">
        <v>1544150</v>
      </c>
      <c r="C42" s="195">
        <v>1544150</v>
      </c>
      <c r="D42" s="153">
        <f t="shared" si="0"/>
        <v>100</v>
      </c>
      <c r="E42" s="154">
        <f t="shared" si="1"/>
        <v>0</v>
      </c>
    </row>
    <row r="43" spans="1:5" ht="16.5" customHeight="1">
      <c r="A43" s="46" t="s">
        <v>188</v>
      </c>
      <c r="B43" s="194">
        <v>39129</v>
      </c>
      <c r="C43" s="195">
        <v>39129</v>
      </c>
      <c r="D43" s="153">
        <f t="shared" si="0"/>
        <v>100</v>
      </c>
      <c r="E43" s="154">
        <f t="shared" si="1"/>
        <v>0</v>
      </c>
    </row>
    <row r="44" spans="1:5" ht="27" customHeight="1">
      <c r="A44" s="41" t="s">
        <v>296</v>
      </c>
      <c r="B44" s="194">
        <v>900000</v>
      </c>
      <c r="C44" s="195">
        <v>900000</v>
      </c>
      <c r="D44" s="153">
        <f t="shared" si="0"/>
        <v>100</v>
      </c>
      <c r="E44" s="154">
        <f t="shared" si="1"/>
        <v>0</v>
      </c>
    </row>
    <row r="45" spans="1:5" ht="37.5" customHeight="1">
      <c r="A45" s="41" t="s">
        <v>103</v>
      </c>
      <c r="B45" s="194">
        <v>0</v>
      </c>
      <c r="C45" s="194">
        <v>0</v>
      </c>
      <c r="D45" s="153" t="str">
        <f t="shared" si="0"/>
        <v>   </v>
      </c>
      <c r="E45" s="154">
        <f t="shared" si="1"/>
        <v>0</v>
      </c>
    </row>
    <row r="46" spans="1:5" ht="15" customHeight="1">
      <c r="A46" s="16" t="s">
        <v>199</v>
      </c>
      <c r="B46" s="194">
        <v>13043</v>
      </c>
      <c r="C46" s="230">
        <v>13043</v>
      </c>
      <c r="D46" s="153">
        <f t="shared" si="0"/>
        <v>100</v>
      </c>
      <c r="E46" s="154">
        <f t="shared" si="1"/>
        <v>0</v>
      </c>
    </row>
    <row r="47" spans="1:5" ht="21" customHeight="1">
      <c r="A47" s="171" t="s">
        <v>11</v>
      </c>
      <c r="B47" s="149">
        <f>SUM(B30,B31,)</f>
        <v>6416922</v>
      </c>
      <c r="C47" s="149">
        <f>SUM(C30,C31,)</f>
        <v>6389647.49</v>
      </c>
      <c r="D47" s="140">
        <f t="shared" si="0"/>
        <v>99.57495961459404</v>
      </c>
      <c r="E47" s="141">
        <f t="shared" si="1"/>
        <v>-27274.509999999776</v>
      </c>
    </row>
    <row r="48" spans="1:5" ht="21.75" customHeight="1">
      <c r="A48" s="172" t="s">
        <v>12</v>
      </c>
      <c r="B48" s="149"/>
      <c r="C48" s="161"/>
      <c r="D48" s="153" t="str">
        <f t="shared" si="0"/>
        <v>   </v>
      </c>
      <c r="E48" s="154">
        <f t="shared" si="1"/>
        <v>0</v>
      </c>
    </row>
    <row r="49" spans="1:5" ht="16.5" customHeight="1">
      <c r="A49" s="41" t="s">
        <v>35</v>
      </c>
      <c r="B49" s="151">
        <f>SUM(B50,B53:B54)</f>
        <v>1161400</v>
      </c>
      <c r="C49" s="151">
        <f>SUM(C50,C53:C54)</f>
        <v>1146155.95</v>
      </c>
      <c r="D49" s="153">
        <f t="shared" si="0"/>
        <v>98.68744188048906</v>
      </c>
      <c r="E49" s="154">
        <f t="shared" si="1"/>
        <v>-15244.050000000047</v>
      </c>
    </row>
    <row r="50" spans="1:5" ht="13.5" customHeight="1">
      <c r="A50" s="41" t="s">
        <v>36</v>
      </c>
      <c r="B50" s="151">
        <v>1160900</v>
      </c>
      <c r="C50" s="151">
        <v>1146155.95</v>
      </c>
      <c r="D50" s="153">
        <f t="shared" si="0"/>
        <v>98.72994659316048</v>
      </c>
      <c r="E50" s="154">
        <f t="shared" si="1"/>
        <v>-14744.050000000047</v>
      </c>
    </row>
    <row r="51" spans="1:5" ht="12.75">
      <c r="A51" s="41" t="s">
        <v>122</v>
      </c>
      <c r="B51" s="151">
        <v>755695.87</v>
      </c>
      <c r="C51" s="161">
        <v>755695.87</v>
      </c>
      <c r="D51" s="153">
        <f t="shared" si="0"/>
        <v>100</v>
      </c>
      <c r="E51" s="154">
        <f t="shared" si="1"/>
        <v>0</v>
      </c>
    </row>
    <row r="52" spans="1:5" ht="12.75">
      <c r="A52" s="85" t="s">
        <v>286</v>
      </c>
      <c r="B52" s="151">
        <v>100</v>
      </c>
      <c r="C52" s="161">
        <v>100</v>
      </c>
      <c r="D52" s="153">
        <f>IF(B52=0,"   ",C52/B52*100)</f>
        <v>100</v>
      </c>
      <c r="E52" s="154">
        <f>C52-B52</f>
        <v>0</v>
      </c>
    </row>
    <row r="53" spans="1:5" ht="12.75">
      <c r="A53" s="41" t="s">
        <v>95</v>
      </c>
      <c r="B53" s="151">
        <v>500</v>
      </c>
      <c r="C53" s="152">
        <v>0</v>
      </c>
      <c r="D53" s="153">
        <f t="shared" si="0"/>
        <v>0</v>
      </c>
      <c r="E53" s="154">
        <f t="shared" si="1"/>
        <v>-500</v>
      </c>
    </row>
    <row r="54" spans="1:5" ht="12.75">
      <c r="A54" s="41" t="s">
        <v>52</v>
      </c>
      <c r="B54" s="152">
        <f>SUM(B55)</f>
        <v>0</v>
      </c>
      <c r="C54" s="152">
        <f>SUM(C55)</f>
        <v>0</v>
      </c>
      <c r="D54" s="153" t="str">
        <f t="shared" si="0"/>
        <v>   </v>
      </c>
      <c r="E54" s="154">
        <f t="shared" si="1"/>
        <v>0</v>
      </c>
    </row>
    <row r="55" spans="1:5" ht="26.25">
      <c r="A55" s="104" t="s">
        <v>246</v>
      </c>
      <c r="B55" s="151">
        <v>0</v>
      </c>
      <c r="C55" s="152">
        <v>0</v>
      </c>
      <c r="D55" s="153" t="str">
        <f t="shared" si="0"/>
        <v>   </v>
      </c>
      <c r="E55" s="154">
        <f t="shared" si="1"/>
        <v>0</v>
      </c>
    </row>
    <row r="56" spans="1:5" ht="16.5" customHeight="1">
      <c r="A56" s="41" t="s">
        <v>49</v>
      </c>
      <c r="B56" s="152">
        <f>SUM(B57)</f>
        <v>99200</v>
      </c>
      <c r="C56" s="152">
        <f>SUM(C57)</f>
        <v>99200</v>
      </c>
      <c r="D56" s="153">
        <f t="shared" si="0"/>
        <v>100</v>
      </c>
      <c r="E56" s="154">
        <f t="shared" si="1"/>
        <v>0</v>
      </c>
    </row>
    <row r="57" spans="1:5" ht="17.25" customHeight="1">
      <c r="A57" s="39" t="s">
        <v>107</v>
      </c>
      <c r="B57" s="151">
        <v>99200</v>
      </c>
      <c r="C57" s="152">
        <v>99200</v>
      </c>
      <c r="D57" s="153">
        <f t="shared" si="0"/>
        <v>100</v>
      </c>
      <c r="E57" s="154">
        <f t="shared" si="1"/>
        <v>0</v>
      </c>
    </row>
    <row r="58" spans="1:5" ht="22.5" customHeight="1">
      <c r="A58" s="41" t="s">
        <v>37</v>
      </c>
      <c r="B58" s="151">
        <f>SUM(B59)</f>
        <v>1000</v>
      </c>
      <c r="C58" s="152">
        <f>SUM(C59)</f>
        <v>1000</v>
      </c>
      <c r="D58" s="153">
        <f t="shared" si="0"/>
        <v>100</v>
      </c>
      <c r="E58" s="154">
        <f t="shared" si="1"/>
        <v>0</v>
      </c>
    </row>
    <row r="59" spans="1:5" ht="17.25" customHeight="1">
      <c r="A59" s="75" t="s">
        <v>128</v>
      </c>
      <c r="B59" s="151">
        <v>1000</v>
      </c>
      <c r="C59" s="152">
        <v>1000</v>
      </c>
      <c r="D59" s="153">
        <f t="shared" si="0"/>
        <v>100</v>
      </c>
      <c r="E59" s="154">
        <f t="shared" si="1"/>
        <v>0</v>
      </c>
    </row>
    <row r="60" spans="1:5" ht="18.75" customHeight="1">
      <c r="A60" s="41" t="s">
        <v>38</v>
      </c>
      <c r="B60" s="151">
        <f>B66+B61+B74+B64</f>
        <v>1498273.81</v>
      </c>
      <c r="C60" s="151">
        <f>C66+C61+C74+C64</f>
        <v>1328970.4</v>
      </c>
      <c r="D60" s="153">
        <f t="shared" si="0"/>
        <v>88.7001021528902</v>
      </c>
      <c r="E60" s="154">
        <f t="shared" si="1"/>
        <v>-169303.41000000015</v>
      </c>
    </row>
    <row r="61" spans="1:5" ht="18.75" customHeight="1">
      <c r="A61" s="75" t="s">
        <v>165</v>
      </c>
      <c r="B61" s="25">
        <f>SUM(B62,B63)</f>
        <v>7570.4</v>
      </c>
      <c r="C61" s="151">
        <f>SUM(C62,C63)</f>
        <v>970.4</v>
      </c>
      <c r="D61" s="153">
        <f>IF(B61=0,"   ",C61/B61*100)</f>
        <v>12.818345133678537</v>
      </c>
      <c r="E61" s="154">
        <f>C61-B61</f>
        <v>-6600</v>
      </c>
    </row>
    <row r="62" spans="1:5" ht="18.75" customHeight="1">
      <c r="A62" s="75" t="s">
        <v>166</v>
      </c>
      <c r="B62" s="25">
        <v>6600</v>
      </c>
      <c r="C62" s="151">
        <v>0</v>
      </c>
      <c r="D62" s="153">
        <f>IF(B62=0,"   ",C62/B62*100)</f>
        <v>0</v>
      </c>
      <c r="E62" s="154">
        <f>C62-B62</f>
        <v>-6600</v>
      </c>
    </row>
    <row r="63" spans="1:5" ht="18.75" customHeight="1">
      <c r="A63" s="75" t="s">
        <v>189</v>
      </c>
      <c r="B63" s="25">
        <v>970.4</v>
      </c>
      <c r="C63" s="151">
        <v>970.4</v>
      </c>
      <c r="D63" s="153">
        <f>IF(B63=0,"   ",C63/B63*100)</f>
        <v>100</v>
      </c>
      <c r="E63" s="154">
        <f>C63-B63</f>
        <v>0</v>
      </c>
    </row>
    <row r="64" spans="1:5" ht="18.75" customHeight="1">
      <c r="A64" s="75" t="s">
        <v>231</v>
      </c>
      <c r="B64" s="25">
        <f>SUM(B65)</f>
        <v>98079.82</v>
      </c>
      <c r="C64" s="25">
        <f>SUM(C65)</f>
        <v>0</v>
      </c>
      <c r="D64" s="153">
        <f>IF(B64=0,"   ",C64/B64*100)</f>
        <v>0</v>
      </c>
      <c r="E64" s="154">
        <f>C64-B64</f>
        <v>-98079.82</v>
      </c>
    </row>
    <row r="65" spans="1:5" ht="18.75" customHeight="1">
      <c r="A65" s="75" t="s">
        <v>232</v>
      </c>
      <c r="B65" s="25">
        <v>98079.82</v>
      </c>
      <c r="C65" s="151">
        <v>0</v>
      </c>
      <c r="D65" s="153">
        <f>IF(B65=0,"   ",C65/B65*100)</f>
        <v>0</v>
      </c>
      <c r="E65" s="154">
        <f>C65-B65</f>
        <v>-98079.82</v>
      </c>
    </row>
    <row r="66" spans="1:5" ht="12.75">
      <c r="A66" s="95" t="s">
        <v>131</v>
      </c>
      <c r="B66" s="151">
        <f>SUM(B67:B73)</f>
        <v>1345623.59</v>
      </c>
      <c r="C66" s="151">
        <f>SUM(C67:C73)</f>
        <v>1281500</v>
      </c>
      <c r="D66" s="153">
        <f t="shared" si="0"/>
        <v>95.23465622358775</v>
      </c>
      <c r="E66" s="154">
        <f t="shared" si="1"/>
        <v>-64123.590000000084</v>
      </c>
    </row>
    <row r="67" spans="1:5" ht="16.5" customHeight="1">
      <c r="A67" s="75" t="s">
        <v>149</v>
      </c>
      <c r="B67" s="151">
        <v>0</v>
      </c>
      <c r="C67" s="151">
        <v>0</v>
      </c>
      <c r="D67" s="153" t="str">
        <f t="shared" si="0"/>
        <v>   </v>
      </c>
      <c r="E67" s="154">
        <f t="shared" si="1"/>
        <v>0</v>
      </c>
    </row>
    <row r="68" spans="1:5" ht="27" customHeight="1">
      <c r="A68" s="71" t="s">
        <v>255</v>
      </c>
      <c r="B68" s="151">
        <v>475523.59</v>
      </c>
      <c r="C68" s="151">
        <v>411400</v>
      </c>
      <c r="D68" s="153">
        <f>IF(B68=0,"   ",C68/B68*100)</f>
        <v>86.51516110904193</v>
      </c>
      <c r="E68" s="154">
        <f>C68-B68</f>
        <v>-64123.590000000026</v>
      </c>
    </row>
    <row r="69" spans="1:5" ht="26.25">
      <c r="A69" s="71" t="s">
        <v>256</v>
      </c>
      <c r="B69" s="151">
        <v>18300</v>
      </c>
      <c r="C69" s="151">
        <v>18300</v>
      </c>
      <c r="D69" s="153">
        <f t="shared" si="0"/>
        <v>100</v>
      </c>
      <c r="E69" s="154">
        <f t="shared" si="1"/>
        <v>0</v>
      </c>
    </row>
    <row r="70" spans="1:5" ht="26.25">
      <c r="A70" s="71" t="s">
        <v>257</v>
      </c>
      <c r="B70" s="151">
        <v>455900</v>
      </c>
      <c r="C70" s="151">
        <v>455900</v>
      </c>
      <c r="D70" s="153">
        <f t="shared" si="0"/>
        <v>100</v>
      </c>
      <c r="E70" s="154">
        <f t="shared" si="1"/>
        <v>0</v>
      </c>
    </row>
    <row r="71" spans="1:5" ht="26.25">
      <c r="A71" s="71" t="s">
        <v>258</v>
      </c>
      <c r="B71" s="151">
        <v>50700</v>
      </c>
      <c r="C71" s="151">
        <v>50700</v>
      </c>
      <c r="D71" s="153">
        <f t="shared" si="0"/>
        <v>100</v>
      </c>
      <c r="E71" s="154">
        <f t="shared" si="1"/>
        <v>0</v>
      </c>
    </row>
    <row r="72" spans="1:5" ht="26.25">
      <c r="A72" s="71" t="s">
        <v>259</v>
      </c>
      <c r="B72" s="151">
        <v>310600</v>
      </c>
      <c r="C72" s="151">
        <v>310600</v>
      </c>
      <c r="D72" s="153">
        <f t="shared" si="0"/>
        <v>100</v>
      </c>
      <c r="E72" s="154">
        <f t="shared" si="1"/>
        <v>0</v>
      </c>
    </row>
    <row r="73" spans="1:5" ht="27" thickBot="1">
      <c r="A73" s="71" t="s">
        <v>260</v>
      </c>
      <c r="B73" s="151">
        <v>34600</v>
      </c>
      <c r="C73" s="151">
        <v>34600</v>
      </c>
      <c r="D73" s="153">
        <f t="shared" si="0"/>
        <v>100</v>
      </c>
      <c r="E73" s="154">
        <f t="shared" si="1"/>
        <v>0</v>
      </c>
    </row>
    <row r="74" spans="1:5" ht="13.5" thickBot="1">
      <c r="A74" s="95" t="s">
        <v>177</v>
      </c>
      <c r="B74" s="98">
        <f>SUM(B75)</f>
        <v>47000</v>
      </c>
      <c r="C74" s="98">
        <f>SUM(C75)</f>
        <v>46500</v>
      </c>
      <c r="D74" s="153">
        <f>IF(B74=0,"   ",C74/B74*100)</f>
        <v>98.93617021276596</v>
      </c>
      <c r="E74" s="154">
        <f>C74-B74</f>
        <v>-500</v>
      </c>
    </row>
    <row r="75" spans="1:5" ht="26.25">
      <c r="A75" s="75" t="s">
        <v>178</v>
      </c>
      <c r="B75" s="151">
        <v>47000</v>
      </c>
      <c r="C75" s="151">
        <v>46500</v>
      </c>
      <c r="D75" s="153">
        <f>IF(B75=0,"   ",C75/B75*100)</f>
        <v>98.93617021276596</v>
      </c>
      <c r="E75" s="154">
        <f>C75-B75</f>
        <v>-500</v>
      </c>
    </row>
    <row r="76" spans="1:5" ht="21.75" customHeight="1">
      <c r="A76" s="41" t="s">
        <v>13</v>
      </c>
      <c r="B76" s="151">
        <f>B86+B77</f>
        <v>2761637.76</v>
      </c>
      <c r="C76" s="151">
        <f>C86+C77</f>
        <v>2723565.1799999997</v>
      </c>
      <c r="D76" s="153">
        <f t="shared" si="0"/>
        <v>98.62137675869553</v>
      </c>
      <c r="E76" s="154">
        <f t="shared" si="1"/>
        <v>-38072.580000000075</v>
      </c>
    </row>
    <row r="77" spans="1:5" ht="17.25" customHeight="1">
      <c r="A77" s="41" t="s">
        <v>150</v>
      </c>
      <c r="B77" s="151">
        <f>B81+B78+B79+B80</f>
        <v>1673352.18</v>
      </c>
      <c r="C77" s="151">
        <f>C81+C78+C79+C80</f>
        <v>1673350.18</v>
      </c>
      <c r="D77" s="153">
        <f aca="true" t="shared" si="2" ref="D77:D85">IF(B77=0,"   ",C77/B77*100)</f>
        <v>99.9998804794338</v>
      </c>
      <c r="E77" s="154">
        <f aca="true" t="shared" si="3" ref="E77:E85">C77-B77</f>
        <v>-2</v>
      </c>
    </row>
    <row r="78" spans="1:5" ht="28.5" customHeight="1">
      <c r="A78" s="16" t="s">
        <v>195</v>
      </c>
      <c r="B78" s="151">
        <v>6610.18</v>
      </c>
      <c r="C78" s="151">
        <v>6610.18</v>
      </c>
      <c r="D78" s="153">
        <f t="shared" si="2"/>
        <v>100</v>
      </c>
      <c r="E78" s="154">
        <f t="shared" si="3"/>
        <v>0</v>
      </c>
    </row>
    <row r="79" spans="1:5" ht="17.25" customHeight="1">
      <c r="A79" s="104" t="s">
        <v>290</v>
      </c>
      <c r="B79" s="151">
        <v>20000</v>
      </c>
      <c r="C79" s="151">
        <v>20000</v>
      </c>
      <c r="D79" s="153">
        <f t="shared" si="2"/>
        <v>100</v>
      </c>
      <c r="E79" s="154">
        <f t="shared" si="3"/>
        <v>0</v>
      </c>
    </row>
    <row r="80" spans="1:5" ht="17.25" customHeight="1">
      <c r="A80" s="16" t="s">
        <v>299</v>
      </c>
      <c r="B80" s="151">
        <v>1544150</v>
      </c>
      <c r="C80" s="151">
        <v>1544150</v>
      </c>
      <c r="D80" s="153">
        <f t="shared" si="2"/>
        <v>100</v>
      </c>
      <c r="E80" s="154">
        <f t="shared" si="3"/>
        <v>0</v>
      </c>
    </row>
    <row r="81" spans="1:5" ht="17.25" customHeight="1">
      <c r="A81" s="16" t="s">
        <v>303</v>
      </c>
      <c r="B81" s="151">
        <v>102592</v>
      </c>
      <c r="C81" s="151">
        <v>102590</v>
      </c>
      <c r="D81" s="153">
        <f t="shared" si="2"/>
        <v>99.99805053025577</v>
      </c>
      <c r="E81" s="154">
        <f t="shared" si="3"/>
        <v>-2</v>
      </c>
    </row>
    <row r="82" spans="1:5" ht="28.5" customHeight="1">
      <c r="A82" s="104" t="s">
        <v>291</v>
      </c>
      <c r="B82" s="151">
        <f>SUM(B83:B85)</f>
        <v>0</v>
      </c>
      <c r="C82" s="151">
        <f>SUM(C83:C85)</f>
        <v>0</v>
      </c>
      <c r="D82" s="153" t="str">
        <f t="shared" si="2"/>
        <v>   </v>
      </c>
      <c r="E82" s="154">
        <f t="shared" si="3"/>
        <v>0</v>
      </c>
    </row>
    <row r="83" spans="1:5" ht="28.5" customHeight="1">
      <c r="A83" s="104" t="s">
        <v>187</v>
      </c>
      <c r="B83" s="152">
        <v>0</v>
      </c>
      <c r="C83" s="152">
        <v>0</v>
      </c>
      <c r="D83" s="153" t="str">
        <f t="shared" si="2"/>
        <v>   </v>
      </c>
      <c r="E83" s="154">
        <f t="shared" si="3"/>
        <v>0</v>
      </c>
    </row>
    <row r="84" spans="1:5" ht="27.75" customHeight="1">
      <c r="A84" s="104" t="s">
        <v>200</v>
      </c>
      <c r="B84" s="152">
        <v>0</v>
      </c>
      <c r="C84" s="152">
        <v>0</v>
      </c>
      <c r="D84" s="153" t="str">
        <f t="shared" si="2"/>
        <v>   </v>
      </c>
      <c r="E84" s="154">
        <f t="shared" si="3"/>
        <v>0</v>
      </c>
    </row>
    <row r="85" spans="1:5" ht="22.5" customHeight="1">
      <c r="A85" s="104" t="s">
        <v>212</v>
      </c>
      <c r="B85" s="152">
        <v>0</v>
      </c>
      <c r="C85" s="152">
        <v>0</v>
      </c>
      <c r="D85" s="153" t="str">
        <f t="shared" si="2"/>
        <v>   </v>
      </c>
      <c r="E85" s="154">
        <f t="shared" si="3"/>
        <v>0</v>
      </c>
    </row>
    <row r="86" spans="1:5" ht="12.75">
      <c r="A86" s="41" t="s">
        <v>63</v>
      </c>
      <c r="B86" s="151">
        <f>B87+B88+B89+B93</f>
        <v>1088285.58</v>
      </c>
      <c r="C86" s="151">
        <f>C87+C88+C89+C93</f>
        <v>1050215</v>
      </c>
      <c r="D86" s="153">
        <f t="shared" si="0"/>
        <v>96.5017840262112</v>
      </c>
      <c r="E86" s="154">
        <f t="shared" si="1"/>
        <v>-38070.580000000075</v>
      </c>
    </row>
    <row r="87" spans="1:5" ht="12.75">
      <c r="A87" s="41" t="s">
        <v>62</v>
      </c>
      <c r="B87" s="151">
        <v>85000</v>
      </c>
      <c r="C87" s="152">
        <v>85000</v>
      </c>
      <c r="D87" s="153">
        <f t="shared" si="0"/>
        <v>100</v>
      </c>
      <c r="E87" s="154">
        <f t="shared" si="1"/>
        <v>0</v>
      </c>
    </row>
    <row r="88" spans="1:5" ht="12.75">
      <c r="A88" s="41" t="s">
        <v>130</v>
      </c>
      <c r="B88" s="151">
        <v>38070.58</v>
      </c>
      <c r="C88" s="151">
        <v>0</v>
      </c>
      <c r="D88" s="153">
        <f t="shared" si="0"/>
        <v>0</v>
      </c>
      <c r="E88" s="154">
        <f t="shared" si="1"/>
        <v>-38070.58</v>
      </c>
    </row>
    <row r="89" spans="1:5" ht="12.75">
      <c r="A89" s="104" t="s">
        <v>206</v>
      </c>
      <c r="B89" s="151">
        <f>SUM(B90:B92)</f>
        <v>65215</v>
      </c>
      <c r="C89" s="151">
        <f>SUM(C90:C92)</f>
        <v>65215</v>
      </c>
      <c r="D89" s="153">
        <f t="shared" si="0"/>
        <v>100</v>
      </c>
      <c r="E89" s="154">
        <f t="shared" si="1"/>
        <v>0</v>
      </c>
    </row>
    <row r="90" spans="1:5" ht="26.25">
      <c r="A90" s="104" t="s">
        <v>187</v>
      </c>
      <c r="B90" s="151">
        <v>39129</v>
      </c>
      <c r="C90" s="151">
        <v>39129</v>
      </c>
      <c r="D90" s="153">
        <f t="shared" si="0"/>
        <v>100</v>
      </c>
      <c r="E90" s="154">
        <f t="shared" si="1"/>
        <v>0</v>
      </c>
    </row>
    <row r="91" spans="1:5" ht="26.25">
      <c r="A91" s="104" t="s">
        <v>200</v>
      </c>
      <c r="B91" s="151">
        <v>13043</v>
      </c>
      <c r="C91" s="151">
        <v>13043</v>
      </c>
      <c r="D91" s="153">
        <f>IF(B91=0,"   ",C91/B91*100)</f>
        <v>100</v>
      </c>
      <c r="E91" s="154">
        <f>C91-B91</f>
        <v>0</v>
      </c>
    </row>
    <row r="92" spans="1:5" ht="26.25">
      <c r="A92" s="104" t="s">
        <v>212</v>
      </c>
      <c r="B92" s="151">
        <v>13043</v>
      </c>
      <c r="C92" s="151">
        <v>13043</v>
      </c>
      <c r="D92" s="153">
        <f>IF(B92=0,"   ",C92/B92*100)</f>
        <v>100</v>
      </c>
      <c r="E92" s="154">
        <f>C92-B92</f>
        <v>0</v>
      </c>
    </row>
    <row r="93" spans="1:5" ht="26.25">
      <c r="A93" s="104" t="s">
        <v>300</v>
      </c>
      <c r="B93" s="151">
        <v>900000</v>
      </c>
      <c r="C93" s="151">
        <v>900000</v>
      </c>
      <c r="D93" s="153">
        <f>IF(B93=0,"   ",C93/B93*100)</f>
        <v>100</v>
      </c>
      <c r="E93" s="154">
        <f>C93-B93</f>
        <v>0</v>
      </c>
    </row>
    <row r="94" spans="1:5" ht="21.75" customHeight="1">
      <c r="A94" s="18" t="s">
        <v>17</v>
      </c>
      <c r="B94" s="151">
        <v>8000</v>
      </c>
      <c r="C94" s="151">
        <v>8000</v>
      </c>
      <c r="D94" s="153">
        <f t="shared" si="0"/>
        <v>100</v>
      </c>
      <c r="E94" s="154">
        <f t="shared" si="1"/>
        <v>0</v>
      </c>
    </row>
    <row r="95" spans="1:5" ht="22.5" customHeight="1">
      <c r="A95" s="41" t="s">
        <v>41</v>
      </c>
      <c r="B95" s="159">
        <f>B96</f>
        <v>1177600</v>
      </c>
      <c r="C95" s="159">
        <f>C96</f>
        <v>1115090</v>
      </c>
      <c r="D95" s="153">
        <f t="shared" si="0"/>
        <v>94.69174592391305</v>
      </c>
      <c r="E95" s="154">
        <f t="shared" si="1"/>
        <v>-62510</v>
      </c>
    </row>
    <row r="96" spans="1:5" ht="12.75">
      <c r="A96" s="41" t="s">
        <v>42</v>
      </c>
      <c r="B96" s="151">
        <f>SUM(B97:B100)</f>
        <v>1177600</v>
      </c>
      <c r="C96" s="151">
        <f>SUM(C97:C100)</f>
        <v>1115090</v>
      </c>
      <c r="D96" s="153">
        <f t="shared" si="0"/>
        <v>94.69174592391305</v>
      </c>
      <c r="E96" s="154">
        <f t="shared" si="1"/>
        <v>-62510</v>
      </c>
    </row>
    <row r="97" spans="1:5" ht="12.75">
      <c r="A97" s="167" t="s">
        <v>143</v>
      </c>
      <c r="B97" s="151">
        <v>111600</v>
      </c>
      <c r="C97" s="152">
        <v>111600</v>
      </c>
      <c r="D97" s="153">
        <f t="shared" si="0"/>
        <v>100</v>
      </c>
      <c r="E97" s="154">
        <f t="shared" si="1"/>
        <v>0</v>
      </c>
    </row>
    <row r="98" spans="1:5" ht="12.75">
      <c r="A98" s="116" t="s">
        <v>314</v>
      </c>
      <c r="B98" s="151">
        <v>940000</v>
      </c>
      <c r="C98" s="152">
        <v>940000</v>
      </c>
      <c r="D98" s="153">
        <f t="shared" si="0"/>
        <v>100</v>
      </c>
      <c r="E98" s="154">
        <f t="shared" si="1"/>
        <v>0</v>
      </c>
    </row>
    <row r="99" spans="1:5" ht="12.75">
      <c r="A99" s="116" t="s">
        <v>315</v>
      </c>
      <c r="B99" s="151">
        <v>60000</v>
      </c>
      <c r="C99" s="152">
        <v>60000</v>
      </c>
      <c r="D99" s="153">
        <f t="shared" si="0"/>
        <v>100</v>
      </c>
      <c r="E99" s="154">
        <f t="shared" si="1"/>
        <v>0</v>
      </c>
    </row>
    <row r="100" spans="1:5" ht="12.75">
      <c r="A100" s="116" t="s">
        <v>316</v>
      </c>
      <c r="B100" s="151">
        <v>66000</v>
      </c>
      <c r="C100" s="152">
        <v>3490</v>
      </c>
      <c r="D100" s="153">
        <f t="shared" si="0"/>
        <v>5.287878787878788</v>
      </c>
      <c r="E100" s="154">
        <f t="shared" si="1"/>
        <v>-62510</v>
      </c>
    </row>
    <row r="101" spans="1:5" ht="16.5" customHeight="1">
      <c r="A101" s="41" t="s">
        <v>124</v>
      </c>
      <c r="B101" s="151">
        <f>SUM(B102,)</f>
        <v>0</v>
      </c>
      <c r="C101" s="151">
        <f>SUM(C102,)</f>
        <v>0</v>
      </c>
      <c r="D101" s="153" t="str">
        <f t="shared" si="0"/>
        <v>   </v>
      </c>
      <c r="E101" s="154">
        <f t="shared" si="1"/>
        <v>0</v>
      </c>
    </row>
    <row r="102" spans="1:5" ht="12.75">
      <c r="A102" s="41" t="s">
        <v>43</v>
      </c>
      <c r="B102" s="151">
        <v>0</v>
      </c>
      <c r="C102" s="161">
        <v>0</v>
      </c>
      <c r="D102" s="153" t="str">
        <f t="shared" si="0"/>
        <v>   </v>
      </c>
      <c r="E102" s="154">
        <f t="shared" si="1"/>
        <v>0</v>
      </c>
    </row>
    <row r="103" spans="1:5" ht="28.5" customHeight="1">
      <c r="A103" s="171" t="s">
        <v>15</v>
      </c>
      <c r="B103" s="149">
        <f>SUM(B49,B56,B58,B60,B76,B94,B95,B101,)</f>
        <v>6707111.57</v>
      </c>
      <c r="C103" s="149">
        <f>SUM(C49,C56,C58,C60,C76,C94,C95,C101,)</f>
        <v>6421981.529999999</v>
      </c>
      <c r="D103" s="140">
        <f>IF(B103=0,"   ",C103/B103*100)</f>
        <v>95.74884006290652</v>
      </c>
      <c r="E103" s="141">
        <f t="shared" si="1"/>
        <v>-285130.04000000097</v>
      </c>
    </row>
    <row r="104" spans="1:5" s="59" customFormat="1" ht="33" customHeight="1">
      <c r="A104" s="80" t="s">
        <v>334</v>
      </c>
      <c r="B104" s="80"/>
      <c r="C104" s="336"/>
      <c r="D104" s="336"/>
      <c r="E104" s="336"/>
    </row>
    <row r="105" spans="1:5" s="59" customFormat="1" ht="12" customHeight="1">
      <c r="A105" s="80" t="s">
        <v>154</v>
      </c>
      <c r="B105" s="80"/>
      <c r="C105" s="81" t="s">
        <v>335</v>
      </c>
      <c r="D105" s="82"/>
      <c r="E105" s="83"/>
    </row>
    <row r="106" spans="1:5" ht="12.75">
      <c r="A106" s="7"/>
      <c r="B106" s="7"/>
      <c r="C106" s="6"/>
      <c r="D106" s="7"/>
      <c r="E106" s="2"/>
    </row>
    <row r="107" spans="1:5" ht="12.75">
      <c r="A107" s="7"/>
      <c r="B107" s="7"/>
      <c r="C107" s="6"/>
      <c r="D107" s="7"/>
      <c r="E107" s="2"/>
    </row>
    <row r="108" spans="1:5" ht="12.75">
      <c r="A108" s="7"/>
      <c r="B108" s="7"/>
      <c r="C108" s="6"/>
      <c r="D108" s="7"/>
      <c r="E108" s="2"/>
    </row>
    <row r="109" spans="1:5" ht="12.75">
      <c r="A109" s="7"/>
      <c r="B109" s="7"/>
      <c r="C109" s="6"/>
      <c r="D109" s="7"/>
      <c r="E109" s="2"/>
    </row>
  </sheetData>
  <sheetProtection/>
  <mergeCells count="2">
    <mergeCell ref="A1:E1"/>
    <mergeCell ref="C104:E104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"/>
  <sheetViews>
    <sheetView zoomScalePageLayoutView="0" workbookViewId="0" topLeftCell="A133">
      <selection activeCell="A147" sqref="A147:E148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20.125" style="0" customWidth="1"/>
    <col min="5" max="5" width="16.375" style="0" customWidth="1"/>
  </cols>
  <sheetData>
    <row r="1" spans="1:5" ht="17.25">
      <c r="A1" s="338" t="s">
        <v>326</v>
      </c>
      <c r="B1" s="338"/>
      <c r="C1" s="338"/>
      <c r="D1" s="338"/>
      <c r="E1" s="33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239" t="s">
        <v>1</v>
      </c>
      <c r="B4" s="240" t="s">
        <v>249</v>
      </c>
      <c r="C4" s="241" t="s">
        <v>323</v>
      </c>
      <c r="D4" s="240" t="s">
        <v>253</v>
      </c>
      <c r="E4" s="242" t="s">
        <v>251</v>
      </c>
    </row>
    <row r="5" spans="1:5" ht="15">
      <c r="A5" s="243">
        <v>1</v>
      </c>
      <c r="B5" s="244">
        <v>2</v>
      </c>
      <c r="C5" s="245">
        <v>3</v>
      </c>
      <c r="D5" s="246">
        <v>4</v>
      </c>
      <c r="E5" s="247">
        <v>5</v>
      </c>
    </row>
    <row r="6" spans="1:5" ht="15.75">
      <c r="A6" s="248" t="s">
        <v>2</v>
      </c>
      <c r="B6" s="249"/>
      <c r="C6" s="250"/>
      <c r="D6" s="251"/>
      <c r="E6" s="252"/>
    </row>
    <row r="7" spans="1:5" ht="19.5" customHeight="1">
      <c r="A7" s="253" t="s">
        <v>45</v>
      </c>
      <c r="B7" s="272">
        <f>SUM(B8)</f>
        <v>10190400</v>
      </c>
      <c r="C7" s="272">
        <f>SUM(C8)</f>
        <v>10936521.25</v>
      </c>
      <c r="D7" s="255">
        <f aca="true" t="shared" si="0" ref="D7:D111">IF(B7=0,"   ",C7/B7*100)</f>
        <v>107.32180532658188</v>
      </c>
      <c r="E7" s="256">
        <f aca="true" t="shared" si="1" ref="E7:E146">C7-B7</f>
        <v>746121.25</v>
      </c>
    </row>
    <row r="8" spans="1:5" ht="15">
      <c r="A8" s="257" t="s">
        <v>44</v>
      </c>
      <c r="B8" s="251">
        <v>10190400</v>
      </c>
      <c r="C8" s="273">
        <v>10936521.25</v>
      </c>
      <c r="D8" s="255">
        <f t="shared" si="0"/>
        <v>107.32180532658188</v>
      </c>
      <c r="E8" s="256">
        <f t="shared" si="1"/>
        <v>746121.25</v>
      </c>
    </row>
    <row r="9" spans="1:5" ht="18.75" customHeight="1">
      <c r="A9" s="253" t="s">
        <v>137</v>
      </c>
      <c r="B9" s="272">
        <f>SUM(B10)</f>
        <v>1410500</v>
      </c>
      <c r="C9" s="272">
        <f>SUM(C10)</f>
        <v>1339433.12</v>
      </c>
      <c r="D9" s="255">
        <f t="shared" si="0"/>
        <v>94.96158241758242</v>
      </c>
      <c r="E9" s="256">
        <f t="shared" si="1"/>
        <v>-71066.87999999989</v>
      </c>
    </row>
    <row r="10" spans="1:5" ht="15">
      <c r="A10" s="257" t="s">
        <v>138</v>
      </c>
      <c r="B10" s="251">
        <v>1410500</v>
      </c>
      <c r="C10" s="273">
        <v>1339433.12</v>
      </c>
      <c r="D10" s="255">
        <f t="shared" si="0"/>
        <v>94.96158241758242</v>
      </c>
      <c r="E10" s="256">
        <f t="shared" si="1"/>
        <v>-71066.87999999989</v>
      </c>
    </row>
    <row r="11" spans="1:5" ht="17.25" customHeight="1">
      <c r="A11" s="257" t="s">
        <v>7</v>
      </c>
      <c r="B11" s="251">
        <f>SUM(B12:B12)</f>
        <v>0</v>
      </c>
      <c r="C11" s="272">
        <f>SUM(C12)</f>
        <v>0</v>
      </c>
      <c r="D11" s="255" t="str">
        <f t="shared" si="0"/>
        <v>   </v>
      </c>
      <c r="E11" s="256">
        <f t="shared" si="1"/>
        <v>0</v>
      </c>
    </row>
    <row r="12" spans="1:5" ht="15">
      <c r="A12" s="257" t="s">
        <v>26</v>
      </c>
      <c r="B12" s="251">
        <v>0</v>
      </c>
      <c r="C12" s="273">
        <v>0</v>
      </c>
      <c r="D12" s="255" t="str">
        <f t="shared" si="0"/>
        <v>   </v>
      </c>
      <c r="E12" s="256">
        <f t="shared" si="1"/>
        <v>0</v>
      </c>
    </row>
    <row r="13" spans="1:5" ht="16.5" customHeight="1">
      <c r="A13" s="257" t="s">
        <v>9</v>
      </c>
      <c r="B13" s="251">
        <f>SUM(B14:B15)</f>
        <v>5858000</v>
      </c>
      <c r="C13" s="251">
        <f>SUM(C14:C15)</f>
        <v>6198882.24</v>
      </c>
      <c r="D13" s="255">
        <f t="shared" si="0"/>
        <v>105.81908910891089</v>
      </c>
      <c r="E13" s="256">
        <f t="shared" si="1"/>
        <v>340882.2400000002</v>
      </c>
    </row>
    <row r="14" spans="1:5" ht="15">
      <c r="A14" s="257" t="s">
        <v>27</v>
      </c>
      <c r="B14" s="251">
        <v>3459000</v>
      </c>
      <c r="C14" s="273">
        <v>3528185.45</v>
      </c>
      <c r="D14" s="255">
        <f t="shared" si="0"/>
        <v>102.00015755998844</v>
      </c>
      <c r="E14" s="256">
        <f t="shared" si="1"/>
        <v>69185.45000000019</v>
      </c>
    </row>
    <row r="15" spans="1:5" ht="15">
      <c r="A15" s="257" t="s">
        <v>160</v>
      </c>
      <c r="B15" s="251">
        <f>SUM(B16:B17)</f>
        <v>2399000</v>
      </c>
      <c r="C15" s="251">
        <f>SUM(C16:C17)</f>
        <v>2670696.79</v>
      </c>
      <c r="D15" s="255">
        <f t="shared" si="0"/>
        <v>111.32541850771153</v>
      </c>
      <c r="E15" s="256">
        <f t="shared" si="1"/>
        <v>271696.79000000004</v>
      </c>
    </row>
    <row r="16" spans="1:5" ht="15">
      <c r="A16" s="257" t="s">
        <v>161</v>
      </c>
      <c r="B16" s="251">
        <v>1058000</v>
      </c>
      <c r="C16" s="273">
        <v>1117219.44</v>
      </c>
      <c r="D16" s="255">
        <f t="shared" si="0"/>
        <v>105.59730056710774</v>
      </c>
      <c r="E16" s="256">
        <f t="shared" si="1"/>
        <v>59219.439999999944</v>
      </c>
    </row>
    <row r="17" spans="1:5" ht="15">
      <c r="A17" s="257" t="s">
        <v>162</v>
      </c>
      <c r="B17" s="251">
        <v>1341000</v>
      </c>
      <c r="C17" s="273">
        <v>1553477.35</v>
      </c>
      <c r="D17" s="255">
        <f t="shared" si="0"/>
        <v>115.84469425801642</v>
      </c>
      <c r="E17" s="256">
        <f t="shared" si="1"/>
        <v>212477.3500000001</v>
      </c>
    </row>
    <row r="18" spans="1:5" ht="30.75">
      <c r="A18" s="257" t="s">
        <v>89</v>
      </c>
      <c r="B18" s="251">
        <v>0</v>
      </c>
      <c r="C18" s="274">
        <v>0</v>
      </c>
      <c r="D18" s="255" t="str">
        <f t="shared" si="0"/>
        <v>   </v>
      </c>
      <c r="E18" s="256">
        <f t="shared" si="1"/>
        <v>0</v>
      </c>
    </row>
    <row r="19" spans="1:5" ht="27" customHeight="1">
      <c r="A19" s="257" t="s">
        <v>28</v>
      </c>
      <c r="B19" s="251">
        <f>SUM(B20:B23)</f>
        <v>1681700</v>
      </c>
      <c r="C19" s="251">
        <f>SUM(C20:C23)</f>
        <v>759196.67</v>
      </c>
      <c r="D19" s="255">
        <f t="shared" si="0"/>
        <v>45.14459594457989</v>
      </c>
      <c r="E19" s="256">
        <f t="shared" si="1"/>
        <v>-922503.33</v>
      </c>
    </row>
    <row r="20" spans="1:5" ht="15">
      <c r="A20" s="275" t="s">
        <v>153</v>
      </c>
      <c r="B20" s="251">
        <v>1180000</v>
      </c>
      <c r="C20" s="273">
        <v>672019.3</v>
      </c>
      <c r="D20" s="255">
        <f t="shared" si="0"/>
        <v>56.95078813559322</v>
      </c>
      <c r="E20" s="256">
        <f t="shared" si="1"/>
        <v>-507980.69999999995</v>
      </c>
    </row>
    <row r="21" spans="1:5" ht="15">
      <c r="A21" s="257" t="s">
        <v>152</v>
      </c>
      <c r="B21" s="251">
        <v>0</v>
      </c>
      <c r="C21" s="274">
        <v>0</v>
      </c>
      <c r="D21" s="255" t="str">
        <f t="shared" si="0"/>
        <v>   </v>
      </c>
      <c r="E21" s="256">
        <f t="shared" si="1"/>
        <v>0</v>
      </c>
    </row>
    <row r="22" spans="1:5" ht="33" customHeight="1">
      <c r="A22" s="257" t="s">
        <v>30</v>
      </c>
      <c r="B22" s="251">
        <v>16000</v>
      </c>
      <c r="C22" s="273">
        <v>14181.86</v>
      </c>
      <c r="D22" s="255">
        <f t="shared" si="0"/>
        <v>88.63662500000001</v>
      </c>
      <c r="E22" s="256">
        <f t="shared" si="1"/>
        <v>-1818.1399999999994</v>
      </c>
    </row>
    <row r="23" spans="1:5" ht="42" customHeight="1">
      <c r="A23" s="257" t="s">
        <v>201</v>
      </c>
      <c r="B23" s="251">
        <v>485700</v>
      </c>
      <c r="C23" s="273">
        <v>72995.51</v>
      </c>
      <c r="D23" s="255">
        <f t="shared" si="0"/>
        <v>15.02892938027589</v>
      </c>
      <c r="E23" s="256">
        <f t="shared" si="1"/>
        <v>-412704.49</v>
      </c>
    </row>
    <row r="24" spans="1:5" ht="19.5" customHeight="1">
      <c r="A24" s="257" t="s">
        <v>91</v>
      </c>
      <c r="B24" s="251">
        <v>36300</v>
      </c>
      <c r="C24" s="273">
        <v>36301.24</v>
      </c>
      <c r="D24" s="255">
        <f t="shared" si="0"/>
        <v>100.00341597796142</v>
      </c>
      <c r="E24" s="256">
        <f t="shared" si="1"/>
        <v>1.2399999999979627</v>
      </c>
    </row>
    <row r="25" spans="1:5" ht="15.75" customHeight="1">
      <c r="A25" s="257" t="s">
        <v>76</v>
      </c>
      <c r="B25" s="251">
        <f>SUM(B26:B27)</f>
        <v>2554955.37</v>
      </c>
      <c r="C25" s="251">
        <f>SUM(C26:C27)</f>
        <v>461225.26</v>
      </c>
      <c r="D25" s="255">
        <f t="shared" si="0"/>
        <v>18.052184606261832</v>
      </c>
      <c r="E25" s="256">
        <f t="shared" si="1"/>
        <v>-2093730.11</v>
      </c>
    </row>
    <row r="26" spans="1:5" ht="15.75" customHeight="1">
      <c r="A26" s="257" t="s">
        <v>202</v>
      </c>
      <c r="B26" s="251">
        <v>2114955.37</v>
      </c>
      <c r="C26" s="251">
        <v>0</v>
      </c>
      <c r="D26" s="255">
        <f t="shared" si="0"/>
        <v>0</v>
      </c>
      <c r="E26" s="256">
        <f t="shared" si="1"/>
        <v>-2114955.37</v>
      </c>
    </row>
    <row r="27" spans="1:5" ht="25.5" customHeight="1">
      <c r="A27" s="257" t="s">
        <v>230</v>
      </c>
      <c r="B27" s="251">
        <v>440000</v>
      </c>
      <c r="C27" s="273">
        <v>461225.26</v>
      </c>
      <c r="D27" s="255">
        <f t="shared" si="0"/>
        <v>104.82392272727272</v>
      </c>
      <c r="E27" s="256">
        <f t="shared" si="1"/>
        <v>21225.26000000001</v>
      </c>
    </row>
    <row r="28" spans="1:5" ht="15" customHeight="1">
      <c r="A28" s="257" t="s">
        <v>31</v>
      </c>
      <c r="B28" s="251">
        <v>0</v>
      </c>
      <c r="C28" s="251">
        <v>0</v>
      </c>
      <c r="D28" s="255" t="str">
        <f t="shared" si="0"/>
        <v>   </v>
      </c>
      <c r="E28" s="256">
        <f t="shared" si="1"/>
        <v>0</v>
      </c>
    </row>
    <row r="29" spans="1:5" ht="15">
      <c r="A29" s="257" t="s">
        <v>32</v>
      </c>
      <c r="B29" s="251">
        <f>B30+B31</f>
        <v>0</v>
      </c>
      <c r="C29" s="251">
        <f>C30+C31</f>
        <v>1.2</v>
      </c>
      <c r="D29" s="255" t="str">
        <f t="shared" si="0"/>
        <v>   </v>
      </c>
      <c r="E29" s="256">
        <f t="shared" si="1"/>
        <v>1.2</v>
      </c>
    </row>
    <row r="30" spans="1:5" ht="13.5" customHeight="1">
      <c r="A30" s="257" t="s">
        <v>46</v>
      </c>
      <c r="B30" s="251">
        <v>0</v>
      </c>
      <c r="C30" s="251">
        <v>1.2</v>
      </c>
      <c r="D30" s="255" t="str">
        <f t="shared" si="0"/>
        <v>   </v>
      </c>
      <c r="E30" s="256">
        <f t="shared" si="1"/>
        <v>1.2</v>
      </c>
    </row>
    <row r="31" spans="1:5" ht="15.75" customHeight="1">
      <c r="A31" s="257" t="s">
        <v>110</v>
      </c>
      <c r="B31" s="251">
        <v>0</v>
      </c>
      <c r="C31" s="274">
        <v>0</v>
      </c>
      <c r="D31" s="255" t="str">
        <f t="shared" si="0"/>
        <v>   </v>
      </c>
      <c r="E31" s="256">
        <f t="shared" si="1"/>
        <v>0</v>
      </c>
    </row>
    <row r="32" spans="1:5" ht="15" customHeight="1">
      <c r="A32" s="259" t="s">
        <v>10</v>
      </c>
      <c r="B32" s="276">
        <f>SUM(B7,B9,B11,B13,B18,B19,B24,B25,B28,B29,)</f>
        <v>21731855.37</v>
      </c>
      <c r="C32" s="276">
        <f>SUM(C7,C9,C11,C13,C18,C19,C24,C25,C28,C29,)</f>
        <v>19731560.98</v>
      </c>
      <c r="D32" s="260">
        <f t="shared" si="0"/>
        <v>90.79556551457023</v>
      </c>
      <c r="E32" s="261">
        <f t="shared" si="1"/>
        <v>-2000294.3900000006</v>
      </c>
    </row>
    <row r="33" spans="1:5" ht="18" customHeight="1">
      <c r="A33" s="268" t="s">
        <v>140</v>
      </c>
      <c r="B33" s="277">
        <f>B34+B36+B37+B40+B43+B44+B45+B46+B47+B53+B41+B42</f>
        <v>89482094.07</v>
      </c>
      <c r="C33" s="277">
        <f>C34+C36+C37+C40+C43+C44+C45+C46+C47+C53+C41+C42</f>
        <v>61689501.26</v>
      </c>
      <c r="D33" s="260">
        <f t="shared" si="0"/>
        <v>68.94060974002416</v>
      </c>
      <c r="E33" s="261">
        <f t="shared" si="1"/>
        <v>-27792592.809999995</v>
      </c>
    </row>
    <row r="34" spans="1:5" ht="15" customHeight="1">
      <c r="A34" s="253" t="s">
        <v>34</v>
      </c>
      <c r="B34" s="272">
        <v>1845600</v>
      </c>
      <c r="C34" s="273">
        <v>1845600</v>
      </c>
      <c r="D34" s="255">
        <f t="shared" si="0"/>
        <v>100</v>
      </c>
      <c r="E34" s="256">
        <f t="shared" si="1"/>
        <v>0</v>
      </c>
    </row>
    <row r="35" spans="1:5" ht="15" customHeight="1">
      <c r="A35" s="253" t="s">
        <v>229</v>
      </c>
      <c r="B35" s="272">
        <v>0</v>
      </c>
      <c r="C35" s="273">
        <v>0</v>
      </c>
      <c r="D35" s="255" t="str">
        <f>IF(B35=0,"   ",C35/B35*100)</f>
        <v>   </v>
      </c>
      <c r="E35" s="256">
        <f>C35-B35</f>
        <v>0</v>
      </c>
    </row>
    <row r="36" spans="1:5" ht="33" customHeight="1">
      <c r="A36" s="257" t="s">
        <v>51</v>
      </c>
      <c r="B36" s="251">
        <v>396700</v>
      </c>
      <c r="C36" s="273">
        <v>396700</v>
      </c>
      <c r="D36" s="255">
        <f t="shared" si="0"/>
        <v>100</v>
      </c>
      <c r="E36" s="256">
        <f t="shared" si="1"/>
        <v>0</v>
      </c>
    </row>
    <row r="37" spans="1:5" ht="33" customHeight="1">
      <c r="A37" s="257" t="s">
        <v>148</v>
      </c>
      <c r="B37" s="251">
        <f>SUM(B38:B39)</f>
        <v>40000</v>
      </c>
      <c r="C37" s="251">
        <f>SUM(C38:C39)</f>
        <v>600</v>
      </c>
      <c r="D37" s="255">
        <f t="shared" si="0"/>
        <v>1.5</v>
      </c>
      <c r="E37" s="256">
        <f t="shared" si="1"/>
        <v>-39400</v>
      </c>
    </row>
    <row r="38" spans="1:5" ht="13.5" customHeight="1">
      <c r="A38" s="264" t="s">
        <v>163</v>
      </c>
      <c r="B38" s="251">
        <v>600</v>
      </c>
      <c r="C38" s="274">
        <v>600</v>
      </c>
      <c r="D38" s="255">
        <f>IF(B38=0,"   ",C38/B38*100)</f>
        <v>100</v>
      </c>
      <c r="E38" s="256">
        <f>C38-B38</f>
        <v>0</v>
      </c>
    </row>
    <row r="39" spans="1:5" ht="31.5" customHeight="1">
      <c r="A39" s="264" t="s">
        <v>164</v>
      </c>
      <c r="B39" s="251">
        <v>39400</v>
      </c>
      <c r="C39" s="274">
        <v>0</v>
      </c>
      <c r="D39" s="255">
        <f>IF(B39=0,"   ",C39/B39*100)</f>
        <v>0</v>
      </c>
      <c r="E39" s="256">
        <f>C39-B39</f>
        <v>-39400</v>
      </c>
    </row>
    <row r="40" spans="1:5" ht="47.25" customHeight="1">
      <c r="A40" s="257" t="s">
        <v>123</v>
      </c>
      <c r="B40" s="251">
        <v>0</v>
      </c>
      <c r="C40" s="274">
        <v>0</v>
      </c>
      <c r="D40" s="255" t="str">
        <f t="shared" si="0"/>
        <v>   </v>
      </c>
      <c r="E40" s="256">
        <f t="shared" si="1"/>
        <v>0</v>
      </c>
    </row>
    <row r="41" spans="1:5" ht="33" customHeight="1">
      <c r="A41" s="257" t="s">
        <v>296</v>
      </c>
      <c r="B41" s="251">
        <v>1700000</v>
      </c>
      <c r="C41" s="274">
        <v>1693000</v>
      </c>
      <c r="D41" s="255">
        <f t="shared" si="0"/>
        <v>99.58823529411764</v>
      </c>
      <c r="E41" s="256">
        <f t="shared" si="1"/>
        <v>-7000</v>
      </c>
    </row>
    <row r="42" spans="1:5" ht="33" customHeight="1">
      <c r="A42" s="257" t="s">
        <v>297</v>
      </c>
      <c r="B42" s="251">
        <v>280000</v>
      </c>
      <c r="C42" s="274">
        <v>280000</v>
      </c>
      <c r="D42" s="255">
        <f t="shared" si="0"/>
        <v>100</v>
      </c>
      <c r="E42" s="256">
        <f t="shared" si="1"/>
        <v>0</v>
      </c>
    </row>
    <row r="43" spans="1:5" ht="47.25" customHeight="1">
      <c r="A43" s="285" t="s">
        <v>219</v>
      </c>
      <c r="B43" s="278">
        <v>6213445.9</v>
      </c>
      <c r="C43" s="258">
        <v>6213445.9</v>
      </c>
      <c r="D43" s="262">
        <f>IF(B43=0,"   ",C43/B43)</f>
        <v>1</v>
      </c>
      <c r="E43" s="263">
        <f>C43-B43</f>
        <v>0</v>
      </c>
    </row>
    <row r="44" spans="1:5" ht="57" customHeight="1">
      <c r="A44" s="285" t="s">
        <v>263</v>
      </c>
      <c r="B44" s="278">
        <v>1761356</v>
      </c>
      <c r="C44" s="258">
        <v>1761356</v>
      </c>
      <c r="D44" s="262">
        <f>IF(B44=0,"   ",C44/B44)</f>
        <v>1</v>
      </c>
      <c r="E44" s="263">
        <f>C44-B44</f>
        <v>0</v>
      </c>
    </row>
    <row r="45" spans="1:5" ht="58.5" customHeight="1">
      <c r="A45" s="285" t="s">
        <v>240</v>
      </c>
      <c r="B45" s="251">
        <v>1612800</v>
      </c>
      <c r="C45" s="274">
        <v>1612800</v>
      </c>
      <c r="D45" s="255">
        <f t="shared" si="0"/>
        <v>100</v>
      </c>
      <c r="E45" s="256">
        <f t="shared" si="1"/>
        <v>0</v>
      </c>
    </row>
    <row r="46" spans="1:5" ht="65.25" customHeight="1">
      <c r="A46" s="285" t="s">
        <v>269</v>
      </c>
      <c r="B46" s="251">
        <v>6082988.39</v>
      </c>
      <c r="C46" s="274">
        <v>6082988.39</v>
      </c>
      <c r="D46" s="255">
        <f t="shared" si="0"/>
        <v>100</v>
      </c>
      <c r="E46" s="256">
        <f t="shared" si="1"/>
        <v>0</v>
      </c>
    </row>
    <row r="47" spans="1:5" ht="15" customHeight="1">
      <c r="A47" s="257" t="s">
        <v>55</v>
      </c>
      <c r="B47" s="251">
        <f>B52+B48+B49+B51+B50</f>
        <v>68992292.81</v>
      </c>
      <c r="C47" s="251">
        <f>C52+C48+C49+C51+C50</f>
        <v>41215071.47</v>
      </c>
      <c r="D47" s="255">
        <f t="shared" si="0"/>
        <v>59.738660350806796</v>
      </c>
      <c r="E47" s="256">
        <f t="shared" si="1"/>
        <v>-27777221.340000004</v>
      </c>
    </row>
    <row r="48" spans="1:5" ht="30" customHeight="1">
      <c r="A48" s="257" t="s">
        <v>188</v>
      </c>
      <c r="B48" s="251">
        <v>1445452.34</v>
      </c>
      <c r="C48" s="251">
        <v>856671</v>
      </c>
      <c r="D48" s="255">
        <f t="shared" si="0"/>
        <v>59.266637598026925</v>
      </c>
      <c r="E48" s="256">
        <f t="shared" si="1"/>
        <v>-588781.3400000001</v>
      </c>
    </row>
    <row r="49" spans="1:5" ht="33.75" customHeight="1">
      <c r="A49" s="257" t="s">
        <v>278</v>
      </c>
      <c r="B49" s="251">
        <v>38928450.47</v>
      </c>
      <c r="C49" s="251">
        <v>38928450.47</v>
      </c>
      <c r="D49" s="255">
        <f>IF(B49=0,"   ",C49/B49*100)</f>
        <v>100</v>
      </c>
      <c r="E49" s="256">
        <f>C49-B49</f>
        <v>0</v>
      </c>
    </row>
    <row r="50" spans="1:5" ht="24" customHeight="1">
      <c r="A50" s="257" t="s">
        <v>312</v>
      </c>
      <c r="B50" s="251">
        <v>26191000</v>
      </c>
      <c r="C50" s="251">
        <v>0</v>
      </c>
      <c r="D50" s="255">
        <f>IF(B50=0,"   ",C50/B50*100)</f>
        <v>0</v>
      </c>
      <c r="E50" s="256">
        <f>C50-B50</f>
        <v>-26191000</v>
      </c>
    </row>
    <row r="51" spans="1:5" ht="15" customHeight="1">
      <c r="A51" s="257" t="s">
        <v>294</v>
      </c>
      <c r="B51" s="251">
        <v>997440</v>
      </c>
      <c r="C51" s="251">
        <v>0</v>
      </c>
      <c r="D51" s="255">
        <f>IF(B51=0,"   ",C51/B51*100)</f>
        <v>0</v>
      </c>
      <c r="E51" s="256">
        <f>C51-B51</f>
        <v>-997440</v>
      </c>
    </row>
    <row r="52" spans="1:5" ht="18" customHeight="1">
      <c r="A52" s="257" t="s">
        <v>109</v>
      </c>
      <c r="B52" s="251">
        <v>1429950</v>
      </c>
      <c r="C52" s="274">
        <v>1429950</v>
      </c>
      <c r="D52" s="255">
        <f t="shared" si="0"/>
        <v>100</v>
      </c>
      <c r="E52" s="256">
        <f t="shared" si="1"/>
        <v>0</v>
      </c>
    </row>
    <row r="53" spans="1:5" ht="18" customHeight="1">
      <c r="A53" s="257" t="s">
        <v>185</v>
      </c>
      <c r="B53" s="251">
        <v>556910.97</v>
      </c>
      <c r="C53" s="274">
        <v>587939.5</v>
      </c>
      <c r="D53" s="255">
        <f t="shared" si="0"/>
        <v>105.57154225207668</v>
      </c>
      <c r="E53" s="256">
        <f t="shared" si="1"/>
        <v>31028.530000000028</v>
      </c>
    </row>
    <row r="54" spans="1:5" ht="29.25" customHeight="1">
      <c r="A54" s="259" t="s">
        <v>11</v>
      </c>
      <c r="B54" s="276">
        <f>SUM(B32,B33,)</f>
        <v>111213949.44</v>
      </c>
      <c r="C54" s="276">
        <f>SUM(C32,C33,)</f>
        <v>81421062.24</v>
      </c>
      <c r="D54" s="260">
        <f t="shared" si="0"/>
        <v>73.21119576274621</v>
      </c>
      <c r="E54" s="261">
        <f t="shared" si="1"/>
        <v>-29792887.200000003</v>
      </c>
    </row>
    <row r="55" spans="1:5" ht="16.5" customHeight="1">
      <c r="A55" s="259"/>
      <c r="B55" s="272"/>
      <c r="C55" s="251"/>
      <c r="D55" s="255" t="str">
        <f t="shared" si="0"/>
        <v>   </v>
      </c>
      <c r="E55" s="256"/>
    </row>
    <row r="56" spans="1:5" ht="15.75">
      <c r="A56" s="265" t="s">
        <v>12</v>
      </c>
      <c r="B56" s="276"/>
      <c r="C56" s="279"/>
      <c r="D56" s="255" t="str">
        <f t="shared" si="0"/>
        <v>   </v>
      </c>
      <c r="E56" s="256"/>
    </row>
    <row r="57" spans="1:5" ht="18" customHeight="1">
      <c r="A57" s="257" t="s">
        <v>35</v>
      </c>
      <c r="B57" s="251">
        <f>SUM(B58,B61,B62)</f>
        <v>3204983</v>
      </c>
      <c r="C57" s="251">
        <f>SUM(C58,C61,C62)</f>
        <v>3145880.81</v>
      </c>
      <c r="D57" s="255">
        <f t="shared" si="0"/>
        <v>98.15592812816793</v>
      </c>
      <c r="E57" s="256">
        <f t="shared" si="1"/>
        <v>-59102.189999999944</v>
      </c>
    </row>
    <row r="58" spans="1:5" ht="16.5" customHeight="1">
      <c r="A58" s="257" t="s">
        <v>36</v>
      </c>
      <c r="B58" s="251">
        <v>3084383</v>
      </c>
      <c r="C58" s="274">
        <v>3025280.81</v>
      </c>
      <c r="D58" s="255">
        <f t="shared" si="0"/>
        <v>98.08382454448751</v>
      </c>
      <c r="E58" s="256">
        <f t="shared" si="1"/>
        <v>-59102.189999999944</v>
      </c>
    </row>
    <row r="59" spans="1:5" ht="15">
      <c r="A59" s="257" t="s">
        <v>121</v>
      </c>
      <c r="B59" s="251">
        <v>1669806.21</v>
      </c>
      <c r="C59" s="279">
        <v>1669804.08</v>
      </c>
      <c r="D59" s="255">
        <f t="shared" si="0"/>
        <v>99.99987244028755</v>
      </c>
      <c r="E59" s="256">
        <f t="shared" si="1"/>
        <v>-2.1299999998882413</v>
      </c>
    </row>
    <row r="60" spans="1:5" ht="15">
      <c r="A60" s="257" t="s">
        <v>286</v>
      </c>
      <c r="B60" s="251">
        <v>600</v>
      </c>
      <c r="C60" s="279">
        <v>600</v>
      </c>
      <c r="D60" s="255">
        <f>IF(B60=0,"   ",C60/B60*100)</f>
        <v>100</v>
      </c>
      <c r="E60" s="256">
        <f>C60-B60</f>
        <v>0</v>
      </c>
    </row>
    <row r="61" spans="1:5" ht="15">
      <c r="A61" s="257" t="s">
        <v>95</v>
      </c>
      <c r="B61" s="251">
        <v>0</v>
      </c>
      <c r="C61" s="279">
        <v>0</v>
      </c>
      <c r="D61" s="255" t="str">
        <f t="shared" si="0"/>
        <v>   </v>
      </c>
      <c r="E61" s="256">
        <f t="shared" si="1"/>
        <v>0</v>
      </c>
    </row>
    <row r="62" spans="1:5" ht="15">
      <c r="A62" s="257" t="s">
        <v>52</v>
      </c>
      <c r="B62" s="274">
        <f>SUM(B63+B65+B66+B64)</f>
        <v>120600</v>
      </c>
      <c r="C62" s="274">
        <f>SUM(C63+C65+C66+C64)</f>
        <v>120600</v>
      </c>
      <c r="D62" s="255">
        <f t="shared" si="0"/>
        <v>100</v>
      </c>
      <c r="E62" s="256">
        <f t="shared" si="1"/>
        <v>0</v>
      </c>
    </row>
    <row r="63" spans="1:5" ht="26.25" customHeight="1">
      <c r="A63" s="266" t="s">
        <v>244</v>
      </c>
      <c r="B63" s="251">
        <v>68600</v>
      </c>
      <c r="C63" s="251">
        <v>68600</v>
      </c>
      <c r="D63" s="255">
        <f t="shared" si="0"/>
        <v>100</v>
      </c>
      <c r="E63" s="256">
        <f t="shared" si="1"/>
        <v>0</v>
      </c>
    </row>
    <row r="64" spans="1:5" ht="26.25" customHeight="1">
      <c r="A64" s="266" t="s">
        <v>243</v>
      </c>
      <c r="B64" s="251">
        <v>2000</v>
      </c>
      <c r="C64" s="251">
        <v>2000</v>
      </c>
      <c r="D64" s="255">
        <f t="shared" si="0"/>
        <v>100</v>
      </c>
      <c r="E64" s="256">
        <f t="shared" si="1"/>
        <v>0</v>
      </c>
    </row>
    <row r="65" spans="1:5" ht="26.25" customHeight="1">
      <c r="A65" s="266" t="s">
        <v>247</v>
      </c>
      <c r="B65" s="251">
        <v>0</v>
      </c>
      <c r="C65" s="251">
        <v>0</v>
      </c>
      <c r="D65" s="255" t="str">
        <f t="shared" si="0"/>
        <v>   </v>
      </c>
      <c r="E65" s="256">
        <f t="shared" si="1"/>
        <v>0</v>
      </c>
    </row>
    <row r="66" spans="1:5" ht="15">
      <c r="A66" s="266" t="s">
        <v>222</v>
      </c>
      <c r="B66" s="251">
        <v>50000</v>
      </c>
      <c r="C66" s="251">
        <v>50000</v>
      </c>
      <c r="D66" s="255">
        <f t="shared" si="0"/>
        <v>100</v>
      </c>
      <c r="E66" s="256">
        <f t="shared" si="1"/>
        <v>0</v>
      </c>
    </row>
    <row r="67" spans="1:5" ht="21" customHeight="1">
      <c r="A67" s="257" t="s">
        <v>49</v>
      </c>
      <c r="B67" s="274">
        <f>SUM(B68)</f>
        <v>396700</v>
      </c>
      <c r="C67" s="274">
        <f>SUM(C68)</f>
        <v>396700</v>
      </c>
      <c r="D67" s="255">
        <f t="shared" si="0"/>
        <v>100</v>
      </c>
      <c r="E67" s="256">
        <f t="shared" si="1"/>
        <v>0</v>
      </c>
    </row>
    <row r="68" spans="1:5" ht="17.25" customHeight="1">
      <c r="A68" s="257" t="s">
        <v>107</v>
      </c>
      <c r="B68" s="251">
        <v>396700</v>
      </c>
      <c r="C68" s="274">
        <v>396700</v>
      </c>
      <c r="D68" s="255">
        <f t="shared" si="0"/>
        <v>100</v>
      </c>
      <c r="E68" s="256">
        <f t="shared" si="1"/>
        <v>0</v>
      </c>
    </row>
    <row r="69" spans="1:5" ht="15.75" customHeight="1">
      <c r="A69" s="257" t="s">
        <v>37</v>
      </c>
      <c r="B69" s="274">
        <f>SUM(B70+B73)</f>
        <v>778400</v>
      </c>
      <c r="C69" s="274">
        <f>SUM(C70+C73)</f>
        <v>778397.75</v>
      </c>
      <c r="D69" s="255">
        <f t="shared" si="0"/>
        <v>99.99971094552929</v>
      </c>
      <c r="E69" s="256">
        <f t="shared" si="1"/>
        <v>-2.25</v>
      </c>
    </row>
    <row r="70" spans="1:5" ht="27" customHeight="1">
      <c r="A70" s="257" t="s">
        <v>86</v>
      </c>
      <c r="B70" s="251">
        <f>B71</f>
        <v>778400</v>
      </c>
      <c r="C70" s="251">
        <f>C71</f>
        <v>778397.75</v>
      </c>
      <c r="D70" s="255">
        <f t="shared" si="0"/>
        <v>99.99971094552929</v>
      </c>
      <c r="E70" s="256">
        <f t="shared" si="1"/>
        <v>-2.25</v>
      </c>
    </row>
    <row r="71" spans="1:5" ht="16.5" customHeight="1">
      <c r="A71" s="257" t="s">
        <v>96</v>
      </c>
      <c r="B71" s="251">
        <v>778400</v>
      </c>
      <c r="C71" s="251">
        <v>778397.75</v>
      </c>
      <c r="D71" s="255">
        <f t="shared" si="0"/>
        <v>99.99971094552929</v>
      </c>
      <c r="E71" s="256">
        <f t="shared" si="1"/>
        <v>-2.25</v>
      </c>
    </row>
    <row r="72" spans="1:5" ht="14.25" customHeight="1">
      <c r="A72" s="257" t="s">
        <v>121</v>
      </c>
      <c r="B72" s="251">
        <v>687711</v>
      </c>
      <c r="C72" s="274">
        <v>513396.2</v>
      </c>
      <c r="D72" s="255">
        <f t="shared" si="0"/>
        <v>74.65289925564663</v>
      </c>
      <c r="E72" s="256">
        <f t="shared" si="1"/>
        <v>-174314.8</v>
      </c>
    </row>
    <row r="73" spans="1:5" ht="17.25" customHeight="1">
      <c r="A73" s="257" t="s">
        <v>127</v>
      </c>
      <c r="B73" s="251">
        <v>0</v>
      </c>
      <c r="C73" s="274">
        <v>0</v>
      </c>
      <c r="D73" s="255" t="str">
        <f t="shared" si="0"/>
        <v>   </v>
      </c>
      <c r="E73" s="256">
        <f t="shared" si="1"/>
        <v>0</v>
      </c>
    </row>
    <row r="74" spans="1:5" ht="18" customHeight="1">
      <c r="A74" s="257" t="s">
        <v>38</v>
      </c>
      <c r="B74" s="251">
        <f>B82+B77+B80+B93+B75</f>
        <v>6644919.82</v>
      </c>
      <c r="C74" s="251">
        <f>C82+C77+C80+C93+C75</f>
        <v>6475179.73</v>
      </c>
      <c r="D74" s="255">
        <f t="shared" si="0"/>
        <v>97.44556601737897</v>
      </c>
      <c r="E74" s="256">
        <f t="shared" si="1"/>
        <v>-169740.08999999985</v>
      </c>
    </row>
    <row r="75" spans="1:5" ht="18" customHeight="1">
      <c r="A75" s="267" t="s">
        <v>241</v>
      </c>
      <c r="B75" s="251">
        <f>SUM(B76)</f>
        <v>108600</v>
      </c>
      <c r="C75" s="251">
        <f>SUM(C76)</f>
        <v>98798.73</v>
      </c>
      <c r="D75" s="255">
        <f t="shared" si="0"/>
        <v>90.97488950276242</v>
      </c>
      <c r="E75" s="256">
        <f t="shared" si="1"/>
        <v>-9801.270000000004</v>
      </c>
    </row>
    <row r="76" spans="1:5" ht="35.25" customHeight="1">
      <c r="A76" s="267" t="s">
        <v>242</v>
      </c>
      <c r="B76" s="251">
        <v>108600</v>
      </c>
      <c r="C76" s="251">
        <v>98798.73</v>
      </c>
      <c r="D76" s="255">
        <f t="shared" si="0"/>
        <v>90.97488950276242</v>
      </c>
      <c r="E76" s="256">
        <f t="shared" si="1"/>
        <v>-9801.270000000004</v>
      </c>
    </row>
    <row r="77" spans="1:5" ht="18" customHeight="1">
      <c r="A77" s="267" t="s">
        <v>165</v>
      </c>
      <c r="B77" s="251">
        <f>SUM(B79,B78)</f>
        <v>39400</v>
      </c>
      <c r="C77" s="251">
        <f>SUM(C79,C78)</f>
        <v>0</v>
      </c>
      <c r="D77" s="255">
        <f>IF(B77=0,"   ",C77/B77*100)</f>
        <v>0</v>
      </c>
      <c r="E77" s="256">
        <f>C77-B77</f>
        <v>-39400</v>
      </c>
    </row>
    <row r="78" spans="1:5" ht="18" customHeight="1">
      <c r="A78" s="267" t="s">
        <v>169</v>
      </c>
      <c r="B78" s="251">
        <v>0</v>
      </c>
      <c r="C78" s="251">
        <v>0</v>
      </c>
      <c r="D78" s="255" t="str">
        <f>IF(B78=0,"   ",C78/B78*100)</f>
        <v>   </v>
      </c>
      <c r="E78" s="256">
        <f>C78-B78</f>
        <v>0</v>
      </c>
    </row>
    <row r="79" spans="1:5" ht="18" customHeight="1">
      <c r="A79" s="267" t="s">
        <v>166</v>
      </c>
      <c r="B79" s="251">
        <v>39400</v>
      </c>
      <c r="C79" s="251">
        <v>0</v>
      </c>
      <c r="D79" s="255">
        <f>IF(B79=0,"   ",C79/B79*100)</f>
        <v>0</v>
      </c>
      <c r="E79" s="256">
        <f>C79-B79</f>
        <v>-39400</v>
      </c>
    </row>
    <row r="80" spans="1:5" ht="18" customHeight="1">
      <c r="A80" s="267" t="s">
        <v>231</v>
      </c>
      <c r="B80" s="251">
        <f>SUM(B81)</f>
        <v>0</v>
      </c>
      <c r="C80" s="251">
        <f>SUM(C81)</f>
        <v>0</v>
      </c>
      <c r="D80" s="255" t="str">
        <f>IF(B80=0,"   ",C80/B80*100)</f>
        <v>   </v>
      </c>
      <c r="E80" s="256">
        <f>C80-B80</f>
        <v>0</v>
      </c>
    </row>
    <row r="81" spans="1:5" ht="18" customHeight="1">
      <c r="A81" s="267" t="s">
        <v>232</v>
      </c>
      <c r="B81" s="251">
        <v>0</v>
      </c>
      <c r="C81" s="251">
        <v>0</v>
      </c>
      <c r="D81" s="255" t="str">
        <f>IF(B81=0,"   ",C81/B81*100)</f>
        <v>   </v>
      </c>
      <c r="E81" s="256">
        <f>C81-B81</f>
        <v>0</v>
      </c>
    </row>
    <row r="82" spans="1:5" ht="18.75" customHeight="1">
      <c r="A82" s="280" t="s">
        <v>131</v>
      </c>
      <c r="B82" s="251">
        <f>SUM(B83:B92)</f>
        <v>6400419.82</v>
      </c>
      <c r="C82" s="251">
        <f>SUM(C83:C92)</f>
        <v>6281381</v>
      </c>
      <c r="D82" s="255">
        <f t="shared" si="0"/>
        <v>98.14014043847517</v>
      </c>
      <c r="E82" s="256">
        <f t="shared" si="1"/>
        <v>-119038.8200000003</v>
      </c>
    </row>
    <row r="83" spans="1:5" ht="21" customHeight="1">
      <c r="A83" s="267" t="s">
        <v>149</v>
      </c>
      <c r="B83" s="251">
        <v>178251</v>
      </c>
      <c r="C83" s="251">
        <v>131401</v>
      </c>
      <c r="D83" s="255">
        <f t="shared" si="0"/>
        <v>73.7168374931978</v>
      </c>
      <c r="E83" s="256">
        <f t="shared" si="1"/>
        <v>-46850</v>
      </c>
    </row>
    <row r="84" spans="1:5" ht="28.5" customHeight="1">
      <c r="A84" s="266" t="s">
        <v>255</v>
      </c>
      <c r="B84" s="251">
        <v>0</v>
      </c>
      <c r="C84" s="251">
        <v>0</v>
      </c>
      <c r="D84" s="255" t="str">
        <f t="shared" si="0"/>
        <v>   </v>
      </c>
      <c r="E84" s="256">
        <f t="shared" si="1"/>
        <v>0</v>
      </c>
    </row>
    <row r="85" spans="1:5" ht="27" customHeight="1">
      <c r="A85" s="266" t="s">
        <v>256</v>
      </c>
      <c r="B85" s="251">
        <v>848513.82</v>
      </c>
      <c r="C85" s="251">
        <v>776388</v>
      </c>
      <c r="D85" s="255">
        <f t="shared" si="0"/>
        <v>91.49974716970432</v>
      </c>
      <c r="E85" s="256">
        <f t="shared" si="1"/>
        <v>-72125.81999999995</v>
      </c>
    </row>
    <row r="86" spans="1:5" ht="30" customHeight="1">
      <c r="A86" s="266" t="s">
        <v>257</v>
      </c>
      <c r="B86" s="251">
        <v>1761356</v>
      </c>
      <c r="C86" s="251">
        <v>1761356</v>
      </c>
      <c r="D86" s="255">
        <f t="shared" si="0"/>
        <v>100</v>
      </c>
      <c r="E86" s="256">
        <f t="shared" si="1"/>
        <v>0</v>
      </c>
    </row>
    <row r="87" spans="1:5" ht="35.25" customHeight="1">
      <c r="A87" s="266" t="s">
        <v>258</v>
      </c>
      <c r="B87" s="251">
        <v>195699</v>
      </c>
      <c r="C87" s="251">
        <v>195636</v>
      </c>
      <c r="D87" s="255">
        <f t="shared" si="0"/>
        <v>99.96780770468935</v>
      </c>
      <c r="E87" s="256">
        <f t="shared" si="1"/>
        <v>-63</v>
      </c>
    </row>
    <row r="88" spans="1:5" ht="35.25" customHeight="1">
      <c r="A88" s="266" t="s">
        <v>259</v>
      </c>
      <c r="B88" s="251">
        <v>1429950</v>
      </c>
      <c r="C88" s="251">
        <v>1429950</v>
      </c>
      <c r="D88" s="255">
        <f t="shared" si="0"/>
        <v>100</v>
      </c>
      <c r="E88" s="256">
        <f t="shared" si="1"/>
        <v>0</v>
      </c>
    </row>
    <row r="89" spans="1:5" ht="30" customHeight="1">
      <c r="A89" s="266" t="s">
        <v>260</v>
      </c>
      <c r="B89" s="251">
        <v>158950</v>
      </c>
      <c r="C89" s="251">
        <v>158950</v>
      </c>
      <c r="D89" s="255">
        <f t="shared" si="0"/>
        <v>100</v>
      </c>
      <c r="E89" s="256">
        <f t="shared" si="1"/>
        <v>0</v>
      </c>
    </row>
    <row r="90" spans="1:5" ht="21" customHeight="1">
      <c r="A90" s="267" t="s">
        <v>266</v>
      </c>
      <c r="B90" s="251">
        <v>130000</v>
      </c>
      <c r="C90" s="251">
        <v>130000</v>
      </c>
      <c r="D90" s="255">
        <f t="shared" si="0"/>
        <v>100</v>
      </c>
      <c r="E90" s="256">
        <f t="shared" si="1"/>
        <v>0</v>
      </c>
    </row>
    <row r="91" spans="1:5" ht="29.25" customHeight="1">
      <c r="A91" s="266" t="s">
        <v>141</v>
      </c>
      <c r="B91" s="251">
        <v>1612800</v>
      </c>
      <c r="C91" s="251">
        <v>1612800</v>
      </c>
      <c r="D91" s="255">
        <f t="shared" si="0"/>
        <v>100</v>
      </c>
      <c r="E91" s="256">
        <f t="shared" si="1"/>
        <v>0</v>
      </c>
    </row>
    <row r="92" spans="1:5" ht="32.25" customHeight="1">
      <c r="A92" s="266" t="s">
        <v>245</v>
      </c>
      <c r="B92" s="251">
        <v>84900</v>
      </c>
      <c r="C92" s="251">
        <v>84900</v>
      </c>
      <c r="D92" s="255">
        <f t="shared" si="0"/>
        <v>100</v>
      </c>
      <c r="E92" s="256">
        <f t="shared" si="1"/>
        <v>0</v>
      </c>
    </row>
    <row r="93" spans="1:5" ht="15">
      <c r="A93" s="280" t="s">
        <v>177</v>
      </c>
      <c r="B93" s="254">
        <f>B94</f>
        <v>96500</v>
      </c>
      <c r="C93" s="254">
        <f>C94</f>
        <v>95000</v>
      </c>
      <c r="D93" s="262">
        <f>IF(B93=0,"   ",C93/B93)</f>
        <v>0.9844559585492227</v>
      </c>
      <c r="E93" s="263">
        <f>C93-B93</f>
        <v>-1500</v>
      </c>
    </row>
    <row r="94" spans="1:5" ht="30.75">
      <c r="A94" s="266" t="s">
        <v>155</v>
      </c>
      <c r="B94" s="254">
        <v>96500</v>
      </c>
      <c r="C94" s="254">
        <v>95000</v>
      </c>
      <c r="D94" s="262">
        <f>IF(B94=0,"   ",C94/B94)</f>
        <v>0.9844559585492227</v>
      </c>
      <c r="E94" s="263">
        <f>C94-B94</f>
        <v>-1500</v>
      </c>
    </row>
    <row r="95" spans="1:5" ht="30.75">
      <c r="A95" s="267" t="s">
        <v>178</v>
      </c>
      <c r="B95" s="254">
        <v>0</v>
      </c>
      <c r="C95" s="254">
        <v>0</v>
      </c>
      <c r="D95" s="262" t="str">
        <f>IF(B95=0,"   ",C95/B95)</f>
        <v>   </v>
      </c>
      <c r="E95" s="263">
        <f>C95-B95</f>
        <v>0</v>
      </c>
    </row>
    <row r="96" spans="1:5" ht="18" customHeight="1">
      <c r="A96" s="257" t="s">
        <v>13</v>
      </c>
      <c r="B96" s="251">
        <f>SUM(B97,B100,B109)</f>
        <v>87067272.05</v>
      </c>
      <c r="C96" s="251">
        <f>SUM(C97,C100,C109)</f>
        <v>59191950.43</v>
      </c>
      <c r="D96" s="255">
        <f t="shared" si="0"/>
        <v>67.9841564302232</v>
      </c>
      <c r="E96" s="256">
        <f t="shared" si="1"/>
        <v>-27875321.619999997</v>
      </c>
    </row>
    <row r="97" spans="1:5" ht="18.75" customHeight="1">
      <c r="A97" s="275" t="s">
        <v>14</v>
      </c>
      <c r="B97" s="281">
        <f>SUM(B98:B99)</f>
        <v>236053.5</v>
      </c>
      <c r="C97" s="281">
        <f>SUM(C98:C99)</f>
        <v>236052.98</v>
      </c>
      <c r="D97" s="255">
        <f t="shared" si="0"/>
        <v>99.99977971095537</v>
      </c>
      <c r="E97" s="256">
        <f t="shared" si="1"/>
        <v>-0.5199999999895226</v>
      </c>
    </row>
    <row r="98" spans="1:5" ht="15">
      <c r="A98" s="257" t="s">
        <v>101</v>
      </c>
      <c r="B98" s="251">
        <v>193263</v>
      </c>
      <c r="C98" s="274">
        <v>193262.48</v>
      </c>
      <c r="D98" s="255">
        <f t="shared" si="0"/>
        <v>99.99973093659935</v>
      </c>
      <c r="E98" s="256">
        <f t="shared" si="1"/>
        <v>-0.5199999999895226</v>
      </c>
    </row>
    <row r="99" spans="1:5" ht="15">
      <c r="A99" s="257" t="s">
        <v>183</v>
      </c>
      <c r="B99" s="251">
        <v>42790.5</v>
      </c>
      <c r="C99" s="274">
        <v>42790.5</v>
      </c>
      <c r="D99" s="255">
        <f t="shared" si="0"/>
        <v>100</v>
      </c>
      <c r="E99" s="256">
        <f t="shared" si="1"/>
        <v>0</v>
      </c>
    </row>
    <row r="100" spans="1:5" ht="18" customHeight="1">
      <c r="A100" s="275" t="s">
        <v>64</v>
      </c>
      <c r="B100" s="281">
        <f>SUM(B101:B103,B107,B108)</f>
        <v>1587840</v>
      </c>
      <c r="C100" s="281">
        <f>SUM(C101:C103,C107,C108)</f>
        <v>499647.95</v>
      </c>
      <c r="D100" s="255">
        <f t="shared" si="0"/>
        <v>31.467147193671906</v>
      </c>
      <c r="E100" s="256">
        <f t="shared" si="1"/>
        <v>-1088192.05</v>
      </c>
    </row>
    <row r="101" spans="1:5" ht="15">
      <c r="A101" s="257" t="s">
        <v>142</v>
      </c>
      <c r="B101" s="251">
        <v>100000</v>
      </c>
      <c r="C101" s="251">
        <v>9247.95</v>
      </c>
      <c r="D101" s="255">
        <f t="shared" si="0"/>
        <v>9.247950000000001</v>
      </c>
      <c r="E101" s="256">
        <f t="shared" si="1"/>
        <v>-90752.05</v>
      </c>
    </row>
    <row r="102" spans="1:5" ht="15">
      <c r="A102" s="257" t="s">
        <v>158</v>
      </c>
      <c r="B102" s="251">
        <v>190400</v>
      </c>
      <c r="C102" s="251">
        <v>190400</v>
      </c>
      <c r="D102" s="255">
        <f t="shared" si="0"/>
        <v>100</v>
      </c>
      <c r="E102" s="256">
        <f t="shared" si="1"/>
        <v>0</v>
      </c>
    </row>
    <row r="103" spans="1:5" ht="30.75">
      <c r="A103" s="266" t="s">
        <v>206</v>
      </c>
      <c r="B103" s="251">
        <f>SUM(B104:B106)</f>
        <v>0</v>
      </c>
      <c r="C103" s="251">
        <f>SUM(C104:C106)</f>
        <v>0</v>
      </c>
      <c r="D103" s="255" t="str">
        <f>IF(B103=0,"   ",C103/B103*100)</f>
        <v>   </v>
      </c>
      <c r="E103" s="256">
        <f>C103-B103</f>
        <v>0</v>
      </c>
    </row>
    <row r="104" spans="1:5" ht="30.75">
      <c r="A104" s="266" t="s">
        <v>187</v>
      </c>
      <c r="B104" s="251">
        <v>0</v>
      </c>
      <c r="C104" s="251">
        <v>0</v>
      </c>
      <c r="D104" s="255" t="str">
        <f>IF(B104=0,"   ",C104/B104*100)</f>
        <v>   </v>
      </c>
      <c r="E104" s="256">
        <f>C104-B104</f>
        <v>0</v>
      </c>
    </row>
    <row r="105" spans="1:5" ht="30.75">
      <c r="A105" s="266" t="s">
        <v>200</v>
      </c>
      <c r="B105" s="251">
        <v>0</v>
      </c>
      <c r="C105" s="251">
        <v>0</v>
      </c>
      <c r="D105" s="255" t="str">
        <f t="shared" si="0"/>
        <v>   </v>
      </c>
      <c r="E105" s="256">
        <f t="shared" si="1"/>
        <v>0</v>
      </c>
    </row>
    <row r="106" spans="1:5" ht="30.75">
      <c r="A106" s="266" t="s">
        <v>212</v>
      </c>
      <c r="B106" s="251">
        <v>0</v>
      </c>
      <c r="C106" s="251">
        <v>0</v>
      </c>
      <c r="D106" s="255" t="str">
        <f t="shared" si="0"/>
        <v>   </v>
      </c>
      <c r="E106" s="256">
        <f t="shared" si="1"/>
        <v>0</v>
      </c>
    </row>
    <row r="107" spans="1:5" ht="15">
      <c r="A107" s="257" t="s">
        <v>299</v>
      </c>
      <c r="B107" s="251">
        <v>997440</v>
      </c>
      <c r="C107" s="251">
        <v>0</v>
      </c>
      <c r="D107" s="255">
        <f t="shared" si="0"/>
        <v>0</v>
      </c>
      <c r="E107" s="256">
        <f t="shared" si="1"/>
        <v>-997440</v>
      </c>
    </row>
    <row r="108" spans="1:5" ht="15">
      <c r="A108" s="257" t="s">
        <v>135</v>
      </c>
      <c r="B108" s="251">
        <v>300000</v>
      </c>
      <c r="C108" s="251">
        <v>300000</v>
      </c>
      <c r="D108" s="255">
        <f t="shared" si="0"/>
        <v>100</v>
      </c>
      <c r="E108" s="256">
        <f t="shared" si="1"/>
        <v>0</v>
      </c>
    </row>
    <row r="109" spans="1:5" ht="16.5" customHeight="1">
      <c r="A109" s="275" t="s">
        <v>63</v>
      </c>
      <c r="B109" s="281">
        <f>B110+B112+B113+B114+B115+B117+B121+B125+B127+B111+B116+B126</f>
        <v>85243378.55</v>
      </c>
      <c r="C109" s="281">
        <f>C110+C112+C113+C114+C115+C117+C121+C125+C127+C111+C116</f>
        <v>58456249.5</v>
      </c>
      <c r="D109" s="255">
        <f t="shared" si="0"/>
        <v>68.57570698668654</v>
      </c>
      <c r="E109" s="256">
        <f t="shared" si="1"/>
        <v>-26787129.049999997</v>
      </c>
    </row>
    <row r="110" spans="1:5" ht="15">
      <c r="A110" s="257" t="s">
        <v>65</v>
      </c>
      <c r="B110" s="251">
        <v>4740000</v>
      </c>
      <c r="C110" s="274">
        <v>4740000</v>
      </c>
      <c r="D110" s="255">
        <f t="shared" si="0"/>
        <v>100</v>
      </c>
      <c r="E110" s="256">
        <f t="shared" si="1"/>
        <v>0</v>
      </c>
    </row>
    <row r="111" spans="1:5" ht="30.75">
      <c r="A111" s="257" t="s">
        <v>218</v>
      </c>
      <c r="B111" s="251">
        <v>0</v>
      </c>
      <c r="C111" s="274">
        <v>0</v>
      </c>
      <c r="D111" s="255" t="str">
        <f t="shared" si="0"/>
        <v>   </v>
      </c>
      <c r="E111" s="256">
        <f t="shared" si="1"/>
        <v>0</v>
      </c>
    </row>
    <row r="112" spans="1:5" ht="15">
      <c r="A112" s="257" t="s">
        <v>66</v>
      </c>
      <c r="B112" s="251">
        <v>247900</v>
      </c>
      <c r="C112" s="274">
        <v>247900</v>
      </c>
      <c r="D112" s="255">
        <f aca="true" t="shared" si="2" ref="D112:D146">IF(B112=0,"   ",C112/B112*100)</f>
        <v>100</v>
      </c>
      <c r="E112" s="256">
        <f t="shared" si="1"/>
        <v>0</v>
      </c>
    </row>
    <row r="113" spans="1:5" ht="15">
      <c r="A113" s="257" t="s">
        <v>67</v>
      </c>
      <c r="B113" s="251">
        <v>29028</v>
      </c>
      <c r="C113" s="274">
        <v>29028</v>
      </c>
      <c r="D113" s="255">
        <f t="shared" si="2"/>
        <v>100</v>
      </c>
      <c r="E113" s="256">
        <f t="shared" si="1"/>
        <v>0</v>
      </c>
    </row>
    <row r="114" spans="1:5" ht="15">
      <c r="A114" s="257" t="s">
        <v>68</v>
      </c>
      <c r="B114" s="251">
        <v>1570993.11</v>
      </c>
      <c r="C114" s="274">
        <v>1570645.4</v>
      </c>
      <c r="D114" s="255">
        <f t="shared" si="2"/>
        <v>99.97786686664716</v>
      </c>
      <c r="E114" s="256">
        <f t="shared" si="1"/>
        <v>-347.7100000001956</v>
      </c>
    </row>
    <row r="115" spans="1:5" ht="33" customHeight="1">
      <c r="A115" s="266" t="s">
        <v>300</v>
      </c>
      <c r="B115" s="251">
        <v>1700000</v>
      </c>
      <c r="C115" s="274">
        <v>1693000</v>
      </c>
      <c r="D115" s="255">
        <f t="shared" si="2"/>
        <v>99.58823529411764</v>
      </c>
      <c r="E115" s="256">
        <f t="shared" si="1"/>
        <v>-7000</v>
      </c>
    </row>
    <row r="116" spans="1:5" ht="18" customHeight="1">
      <c r="A116" s="266" t="s">
        <v>301</v>
      </c>
      <c r="B116" s="251">
        <v>280000</v>
      </c>
      <c r="C116" s="274">
        <v>280000</v>
      </c>
      <c r="D116" s="255">
        <f t="shared" si="2"/>
        <v>100</v>
      </c>
      <c r="E116" s="256">
        <f t="shared" si="1"/>
        <v>0</v>
      </c>
    </row>
    <row r="117" spans="1:5" ht="18" customHeight="1">
      <c r="A117" s="266" t="s">
        <v>182</v>
      </c>
      <c r="B117" s="254">
        <f>B118+B120+B119</f>
        <v>6213445.9</v>
      </c>
      <c r="C117" s="254">
        <f>C118+C120+C119</f>
        <v>6213445.9</v>
      </c>
      <c r="D117" s="262">
        <f aca="true" t="shared" si="3" ref="D117:D130">IF(B117=0,"   ",C117/B117)</f>
        <v>1</v>
      </c>
      <c r="E117" s="263">
        <f aca="true" t="shared" si="4" ref="E117:E130">C117-B117</f>
        <v>0</v>
      </c>
    </row>
    <row r="118" spans="1:5" ht="15">
      <c r="A118" s="266" t="s">
        <v>180</v>
      </c>
      <c r="B118" s="254">
        <v>6151311.44</v>
      </c>
      <c r="C118" s="254">
        <v>6151311.44</v>
      </c>
      <c r="D118" s="262">
        <f t="shared" si="3"/>
        <v>1</v>
      </c>
      <c r="E118" s="263">
        <f t="shared" si="4"/>
        <v>0</v>
      </c>
    </row>
    <row r="119" spans="1:5" ht="15">
      <c r="A119" s="266" t="s">
        <v>181</v>
      </c>
      <c r="B119" s="254">
        <v>43494.12</v>
      </c>
      <c r="C119" s="254">
        <v>43494.12</v>
      </c>
      <c r="D119" s="262">
        <f t="shared" si="3"/>
        <v>1</v>
      </c>
      <c r="E119" s="263">
        <f t="shared" si="4"/>
        <v>0</v>
      </c>
    </row>
    <row r="120" spans="1:5" ht="15">
      <c r="A120" s="266" t="s">
        <v>192</v>
      </c>
      <c r="B120" s="254">
        <v>18640.34</v>
      </c>
      <c r="C120" s="254">
        <v>18640.34</v>
      </c>
      <c r="D120" s="262">
        <f t="shared" si="3"/>
        <v>1</v>
      </c>
      <c r="E120" s="263">
        <f t="shared" si="4"/>
        <v>0</v>
      </c>
    </row>
    <row r="121" spans="1:5" ht="30.75">
      <c r="A121" s="266" t="s">
        <v>206</v>
      </c>
      <c r="B121" s="254">
        <f>SUM(B122:B124)</f>
        <v>2016566.36</v>
      </c>
      <c r="C121" s="254">
        <f>SUM(C122:C124)</f>
        <v>1427785.02</v>
      </c>
      <c r="D121" s="255">
        <f>IF(B121=0,"   ",C121/B121*100)</f>
        <v>70.8027788383815</v>
      </c>
      <c r="E121" s="256">
        <f t="shared" si="4"/>
        <v>-588781.3400000001</v>
      </c>
    </row>
    <row r="122" spans="1:5" ht="30.75">
      <c r="A122" s="266" t="s">
        <v>187</v>
      </c>
      <c r="B122" s="254">
        <v>1445452.34</v>
      </c>
      <c r="C122" s="254">
        <v>856671</v>
      </c>
      <c r="D122" s="255">
        <f>IF(B122=0,"   ",C122/B122*100)</f>
        <v>59.266637598026925</v>
      </c>
      <c r="E122" s="256">
        <f t="shared" si="4"/>
        <v>-588781.3400000001</v>
      </c>
    </row>
    <row r="123" spans="1:5" ht="30.75">
      <c r="A123" s="266" t="s">
        <v>200</v>
      </c>
      <c r="B123" s="254">
        <v>428335.5</v>
      </c>
      <c r="C123" s="254">
        <v>428335.5</v>
      </c>
      <c r="D123" s="255">
        <f>IF(B123=0,"   ",C123/B123*100)</f>
        <v>100</v>
      </c>
      <c r="E123" s="256">
        <f t="shared" si="4"/>
        <v>0</v>
      </c>
    </row>
    <row r="124" spans="1:5" ht="30.75">
      <c r="A124" s="266" t="s">
        <v>212</v>
      </c>
      <c r="B124" s="254">
        <v>142778.52</v>
      </c>
      <c r="C124" s="254">
        <v>142778.52</v>
      </c>
      <c r="D124" s="255">
        <f>IF(B124=0,"   ",C124/B124*100)</f>
        <v>100</v>
      </c>
      <c r="E124" s="256">
        <f t="shared" si="4"/>
        <v>0</v>
      </c>
    </row>
    <row r="125" spans="1:5" ht="15">
      <c r="A125" s="266" t="s">
        <v>248</v>
      </c>
      <c r="B125" s="254">
        <v>841200</v>
      </c>
      <c r="C125" s="254">
        <v>841200</v>
      </c>
      <c r="D125" s="262">
        <f t="shared" si="3"/>
        <v>1</v>
      </c>
      <c r="E125" s="263">
        <f t="shared" si="4"/>
        <v>0</v>
      </c>
    </row>
    <row r="126" spans="1:5" ht="15">
      <c r="A126" s="266" t="s">
        <v>317</v>
      </c>
      <c r="B126" s="254">
        <v>26191000</v>
      </c>
      <c r="C126" s="254">
        <v>0</v>
      </c>
      <c r="D126" s="262">
        <f t="shared" si="3"/>
        <v>0</v>
      </c>
      <c r="E126" s="263">
        <f t="shared" si="4"/>
        <v>-26191000</v>
      </c>
    </row>
    <row r="127" spans="1:5" ht="17.25" customHeight="1">
      <c r="A127" s="266" t="s">
        <v>287</v>
      </c>
      <c r="B127" s="254">
        <f>SUM(B128:B130)</f>
        <v>41413245.18</v>
      </c>
      <c r="C127" s="254">
        <f>SUM(C128:C130)</f>
        <v>41413245.18</v>
      </c>
      <c r="D127" s="255">
        <f>IF(B127=0,"   ",C127/B127*100)</f>
        <v>100</v>
      </c>
      <c r="E127" s="256">
        <f>C127-B127</f>
        <v>0</v>
      </c>
    </row>
    <row r="128" spans="1:5" ht="33.75" customHeight="1">
      <c r="A128" s="266" t="s">
        <v>271</v>
      </c>
      <c r="B128" s="274">
        <v>38928450.47</v>
      </c>
      <c r="C128" s="254">
        <v>38928450.47</v>
      </c>
      <c r="D128" s="255">
        <f>IF(B128=0,"   ",C128/B128*100)</f>
        <v>100</v>
      </c>
      <c r="E128" s="256">
        <f>C128-B128</f>
        <v>0</v>
      </c>
    </row>
    <row r="129" spans="1:5" ht="15.75" customHeight="1">
      <c r="A129" s="266" t="s">
        <v>288</v>
      </c>
      <c r="B129" s="274">
        <v>2070662.26</v>
      </c>
      <c r="C129" s="254">
        <v>2070662.26</v>
      </c>
      <c r="D129" s="255">
        <f>IF(B129=0,"   ",C129/B129*100)</f>
        <v>100</v>
      </c>
      <c r="E129" s="256">
        <f>C129-B129</f>
        <v>0</v>
      </c>
    </row>
    <row r="130" spans="1:5" ht="18" customHeight="1">
      <c r="A130" s="266" t="s">
        <v>289</v>
      </c>
      <c r="B130" s="274">
        <v>414132.45</v>
      </c>
      <c r="C130" s="254">
        <v>414132.45</v>
      </c>
      <c r="D130" s="262">
        <f t="shared" si="3"/>
        <v>1</v>
      </c>
      <c r="E130" s="263">
        <f t="shared" si="4"/>
        <v>0</v>
      </c>
    </row>
    <row r="131" spans="1:5" ht="15" customHeight="1">
      <c r="A131" s="257" t="s">
        <v>17</v>
      </c>
      <c r="B131" s="251">
        <v>0</v>
      </c>
      <c r="C131" s="251">
        <v>0</v>
      </c>
      <c r="D131" s="255" t="str">
        <f t="shared" si="2"/>
        <v>   </v>
      </c>
      <c r="E131" s="256">
        <f t="shared" si="1"/>
        <v>0</v>
      </c>
    </row>
    <row r="132" spans="1:5" ht="18.75" customHeight="1">
      <c r="A132" s="257" t="s">
        <v>41</v>
      </c>
      <c r="B132" s="272">
        <f>B133</f>
        <v>13527476.78</v>
      </c>
      <c r="C132" s="272">
        <f>C133</f>
        <v>11064357.969999999</v>
      </c>
      <c r="D132" s="255">
        <f t="shared" si="2"/>
        <v>81.79173507330168</v>
      </c>
      <c r="E132" s="256">
        <f t="shared" si="1"/>
        <v>-2463118.8100000005</v>
      </c>
    </row>
    <row r="133" spans="1:5" ht="15.75" customHeight="1">
      <c r="A133" s="257" t="s">
        <v>42</v>
      </c>
      <c r="B133" s="281">
        <f>B134+B135+B136+B138+B137</f>
        <v>13527476.78</v>
      </c>
      <c r="C133" s="281">
        <f>C134+C135+C136+C138+C137</f>
        <v>11064357.969999999</v>
      </c>
      <c r="D133" s="255">
        <f t="shared" si="2"/>
        <v>81.79173507330168</v>
      </c>
      <c r="E133" s="256">
        <f t="shared" si="1"/>
        <v>-2463118.8100000005</v>
      </c>
    </row>
    <row r="134" spans="1:5" ht="19.5" customHeight="1">
      <c r="A134" s="257" t="s">
        <v>143</v>
      </c>
      <c r="B134" s="251">
        <v>3916900</v>
      </c>
      <c r="C134" s="274">
        <v>2692581.19</v>
      </c>
      <c r="D134" s="255">
        <f t="shared" si="2"/>
        <v>68.74265847992035</v>
      </c>
      <c r="E134" s="256">
        <f t="shared" si="1"/>
        <v>-1224318.81</v>
      </c>
    </row>
    <row r="135" spans="1:5" ht="16.5" customHeight="1">
      <c r="A135" s="257" t="s">
        <v>193</v>
      </c>
      <c r="B135" s="251">
        <v>1238800</v>
      </c>
      <c r="C135" s="274">
        <v>0</v>
      </c>
      <c r="D135" s="255">
        <f t="shared" si="2"/>
        <v>0</v>
      </c>
      <c r="E135" s="256">
        <f t="shared" si="1"/>
        <v>-1238800</v>
      </c>
    </row>
    <row r="136" spans="1:5" ht="18" customHeight="1">
      <c r="A136" s="257" t="s">
        <v>144</v>
      </c>
      <c r="B136" s="251">
        <v>1349988.39</v>
      </c>
      <c r="C136" s="274">
        <v>1349988.39</v>
      </c>
      <c r="D136" s="255">
        <f t="shared" si="2"/>
        <v>100</v>
      </c>
      <c r="E136" s="256">
        <f t="shared" si="1"/>
        <v>0</v>
      </c>
    </row>
    <row r="137" spans="1:5" ht="18" customHeight="1">
      <c r="A137" s="257" t="s">
        <v>292</v>
      </c>
      <c r="B137" s="251">
        <v>938800</v>
      </c>
      <c r="C137" s="274">
        <v>938800</v>
      </c>
      <c r="D137" s="255">
        <f t="shared" si="2"/>
        <v>100</v>
      </c>
      <c r="E137" s="256">
        <f t="shared" si="1"/>
        <v>0</v>
      </c>
    </row>
    <row r="138" spans="1:5" ht="18" customHeight="1">
      <c r="A138" s="257" t="s">
        <v>265</v>
      </c>
      <c r="B138" s="251">
        <f>SUM(B139:B141)</f>
        <v>6082988.39</v>
      </c>
      <c r="C138" s="251">
        <f>SUM(C139:C141)</f>
        <v>6082988.39</v>
      </c>
      <c r="D138" s="255">
        <f t="shared" si="2"/>
        <v>100</v>
      </c>
      <c r="E138" s="256">
        <f t="shared" si="1"/>
        <v>0</v>
      </c>
    </row>
    <row r="139" spans="1:5" ht="18" customHeight="1">
      <c r="A139" s="266" t="s">
        <v>180</v>
      </c>
      <c r="B139" s="251">
        <v>4340232.21</v>
      </c>
      <c r="C139" s="274">
        <v>4340232.21</v>
      </c>
      <c r="D139" s="255">
        <f>IF(B139=0,"   ",C139/B139*100)</f>
        <v>100</v>
      </c>
      <c r="E139" s="256">
        <f>C139-B139</f>
        <v>0</v>
      </c>
    </row>
    <row r="140" spans="1:5" ht="18" customHeight="1">
      <c r="A140" s="266" t="s">
        <v>181</v>
      </c>
      <c r="B140" s="251">
        <v>1659767.79</v>
      </c>
      <c r="C140" s="274">
        <v>1659767.79</v>
      </c>
      <c r="D140" s="255">
        <f>IF(B140=0,"   ",C140/B140*100)</f>
        <v>100</v>
      </c>
      <c r="E140" s="256">
        <f>C140-B140</f>
        <v>0</v>
      </c>
    </row>
    <row r="141" spans="1:5" ht="18" customHeight="1">
      <c r="A141" s="266" t="s">
        <v>192</v>
      </c>
      <c r="B141" s="251">
        <v>82988.39</v>
      </c>
      <c r="C141" s="274">
        <v>82988.39</v>
      </c>
      <c r="D141" s="255">
        <f t="shared" si="2"/>
        <v>100</v>
      </c>
      <c r="E141" s="256">
        <f t="shared" si="1"/>
        <v>0</v>
      </c>
    </row>
    <row r="142" spans="1:5" ht="15">
      <c r="A142" s="257" t="s">
        <v>124</v>
      </c>
      <c r="B142" s="251">
        <f>SUM(B143,)</f>
        <v>46000</v>
      </c>
      <c r="C142" s="251">
        <f>SUM(C143,)</f>
        <v>34480</v>
      </c>
      <c r="D142" s="255">
        <f t="shared" si="2"/>
        <v>74.95652173913044</v>
      </c>
      <c r="E142" s="256">
        <f t="shared" si="1"/>
        <v>-11520</v>
      </c>
    </row>
    <row r="143" spans="1:5" ht="14.25" customHeight="1">
      <c r="A143" s="257" t="s">
        <v>43</v>
      </c>
      <c r="B143" s="251">
        <v>46000</v>
      </c>
      <c r="C143" s="279">
        <v>34480</v>
      </c>
      <c r="D143" s="255">
        <f t="shared" si="2"/>
        <v>74.95652173913044</v>
      </c>
      <c r="E143" s="256">
        <f t="shared" si="1"/>
        <v>-11520</v>
      </c>
    </row>
    <row r="144" spans="1:5" ht="19.5" customHeight="1">
      <c r="A144" s="257" t="s">
        <v>145</v>
      </c>
      <c r="B144" s="251">
        <f>SUM(B145:B145)</f>
        <v>0</v>
      </c>
      <c r="C144" s="251">
        <f>SUM(C145:C145)</f>
        <v>0</v>
      </c>
      <c r="D144" s="255" t="str">
        <f t="shared" si="2"/>
        <v>   </v>
      </c>
      <c r="E144" s="256">
        <f t="shared" si="1"/>
        <v>0</v>
      </c>
    </row>
    <row r="145" spans="1:5" ht="19.5" customHeight="1">
      <c r="A145" s="257" t="s">
        <v>146</v>
      </c>
      <c r="B145" s="251">
        <v>0</v>
      </c>
      <c r="C145" s="274">
        <v>0</v>
      </c>
      <c r="D145" s="255" t="str">
        <f t="shared" si="2"/>
        <v>   </v>
      </c>
      <c r="E145" s="256">
        <f t="shared" si="1"/>
        <v>0</v>
      </c>
    </row>
    <row r="146" spans="1:5" ht="20.25" customHeight="1">
      <c r="A146" s="259" t="s">
        <v>15</v>
      </c>
      <c r="B146" s="276">
        <f>B57+B67+B69+B74+B96+B131+B132+B142+B144</f>
        <v>111665751.65</v>
      </c>
      <c r="C146" s="276">
        <f>C57+C67+C69+C74+C96+C131+C132+C142+C144</f>
        <v>81086946.69</v>
      </c>
      <c r="D146" s="260">
        <f t="shared" si="2"/>
        <v>72.61577116693326</v>
      </c>
      <c r="E146" s="261">
        <f t="shared" si="1"/>
        <v>-30578804.96000001</v>
      </c>
    </row>
    <row r="147" spans="1:5" s="59" customFormat="1" ht="36.75" customHeight="1">
      <c r="A147" s="80" t="s">
        <v>334</v>
      </c>
      <c r="B147" s="80"/>
      <c r="C147" s="336"/>
      <c r="D147" s="336"/>
      <c r="E147" s="336"/>
    </row>
    <row r="148" spans="1:5" s="59" customFormat="1" ht="12" customHeight="1">
      <c r="A148" s="80" t="s">
        <v>154</v>
      </c>
      <c r="B148" s="80"/>
      <c r="C148" s="81" t="s">
        <v>335</v>
      </c>
      <c r="D148" s="82"/>
      <c r="E148" s="83"/>
    </row>
    <row r="149" spans="1:5" ht="15">
      <c r="A149" s="282"/>
      <c r="B149" s="282"/>
      <c r="C149" s="283"/>
      <c r="D149" s="282"/>
      <c r="E149" s="284"/>
    </row>
    <row r="150" spans="1:5" ht="15">
      <c r="A150" s="282"/>
      <c r="B150" s="282"/>
      <c r="C150" s="283"/>
      <c r="D150" s="282"/>
      <c r="E150" s="284"/>
    </row>
    <row r="151" spans="1:5" ht="12.75">
      <c r="A151" s="7"/>
      <c r="B151" s="7"/>
      <c r="C151" s="6"/>
      <c r="D151" s="7"/>
      <c r="E151" s="2"/>
    </row>
    <row r="152" spans="1:5" ht="12.75">
      <c r="A152" s="7"/>
      <c r="B152" s="7"/>
      <c r="C152" s="6"/>
      <c r="D152" s="7"/>
      <c r="E152" s="2"/>
    </row>
  </sheetData>
  <sheetProtection/>
  <mergeCells count="2">
    <mergeCell ref="A1:E1"/>
    <mergeCell ref="C147:E147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1"/>
  <sheetViews>
    <sheetView zoomScalePageLayoutView="0" workbookViewId="0" topLeftCell="A83">
      <selection activeCell="A108" sqref="A108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7.25">
      <c r="A1" s="338" t="s">
        <v>327</v>
      </c>
      <c r="B1" s="338"/>
      <c r="C1" s="338"/>
      <c r="D1" s="338"/>
      <c r="E1" s="338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249</v>
      </c>
      <c r="C4" s="32" t="s">
        <v>328</v>
      </c>
      <c r="D4" s="19" t="s">
        <v>253</v>
      </c>
      <c r="E4" s="36" t="s">
        <v>251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48">
        <f>SUM(B8)</f>
        <v>29200</v>
      </c>
      <c r="C7" s="148">
        <f>SUM(C8)</f>
        <v>32797.21</v>
      </c>
      <c r="D7" s="26">
        <f aca="true" t="shared" si="0" ref="D7:D96">IF(B7=0,"   ",C7/B7*100)</f>
        <v>112.31921232876712</v>
      </c>
      <c r="E7" s="42">
        <f aca="true" t="shared" si="1" ref="E7:E97">C7-B7</f>
        <v>3597.209999999999</v>
      </c>
    </row>
    <row r="8" spans="1:5" ht="12.75">
      <c r="A8" s="16" t="s">
        <v>44</v>
      </c>
      <c r="B8" s="84">
        <v>29200</v>
      </c>
      <c r="C8" s="230">
        <v>32797.21</v>
      </c>
      <c r="D8" s="26">
        <f t="shared" si="0"/>
        <v>112.31921232876712</v>
      </c>
      <c r="E8" s="42">
        <f t="shared" si="1"/>
        <v>3597.209999999999</v>
      </c>
    </row>
    <row r="9" spans="1:5" ht="15" customHeight="1">
      <c r="A9" s="64" t="s">
        <v>137</v>
      </c>
      <c r="B9" s="193">
        <f>SUM(B10)</f>
        <v>645500</v>
      </c>
      <c r="C9" s="193">
        <f>SUM(C10)</f>
        <v>613001.8</v>
      </c>
      <c r="D9" s="26">
        <f t="shared" si="0"/>
        <v>94.96542215336949</v>
      </c>
      <c r="E9" s="42">
        <f t="shared" si="1"/>
        <v>-32498.199999999953</v>
      </c>
    </row>
    <row r="10" spans="1:5" ht="12.75">
      <c r="A10" s="41" t="s">
        <v>138</v>
      </c>
      <c r="B10" s="194">
        <v>645500</v>
      </c>
      <c r="C10" s="230">
        <v>613001.8</v>
      </c>
      <c r="D10" s="26">
        <f t="shared" si="0"/>
        <v>94.96542215336949</v>
      </c>
      <c r="E10" s="42">
        <f t="shared" si="1"/>
        <v>-32498.199999999953</v>
      </c>
    </row>
    <row r="11" spans="1:5" ht="18.75" customHeight="1">
      <c r="A11" s="16" t="s">
        <v>7</v>
      </c>
      <c r="B11" s="194">
        <f>SUM(B12:B12)</f>
        <v>0</v>
      </c>
      <c r="C11" s="194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21" customHeight="1">
      <c r="A12" s="16" t="s">
        <v>26</v>
      </c>
      <c r="B12" s="194">
        <v>0</v>
      </c>
      <c r="C12" s="195">
        <v>0</v>
      </c>
      <c r="D12" s="26" t="str">
        <f t="shared" si="0"/>
        <v>   </v>
      </c>
      <c r="E12" s="42">
        <f t="shared" si="1"/>
        <v>0</v>
      </c>
    </row>
    <row r="13" spans="1:5" ht="21" customHeight="1">
      <c r="A13" s="16" t="s">
        <v>9</v>
      </c>
      <c r="B13" s="194">
        <f>SUM(B14:B15)</f>
        <v>280000</v>
      </c>
      <c r="C13" s="194">
        <f>SUM(C14:C15)</f>
        <v>253317.39</v>
      </c>
      <c r="D13" s="26">
        <f t="shared" si="0"/>
        <v>90.47049642857144</v>
      </c>
      <c r="E13" s="42">
        <f t="shared" si="1"/>
        <v>-26682.609999999986</v>
      </c>
    </row>
    <row r="14" spans="1:5" ht="12.75">
      <c r="A14" s="16" t="s">
        <v>27</v>
      </c>
      <c r="B14" s="194">
        <v>82000</v>
      </c>
      <c r="C14" s="230">
        <v>75923.42</v>
      </c>
      <c r="D14" s="26">
        <f t="shared" si="0"/>
        <v>92.58953658536585</v>
      </c>
      <c r="E14" s="42">
        <f t="shared" si="1"/>
        <v>-6076.580000000002</v>
      </c>
    </row>
    <row r="15" spans="1:5" ht="12.75">
      <c r="A15" s="41" t="s">
        <v>160</v>
      </c>
      <c r="B15" s="194">
        <f>SUM(B16:B17)</f>
        <v>198000</v>
      </c>
      <c r="C15" s="194">
        <f>SUM(C16:C17)</f>
        <v>177393.97</v>
      </c>
      <c r="D15" s="26">
        <f t="shared" si="0"/>
        <v>89.59291414141414</v>
      </c>
      <c r="E15" s="42">
        <f t="shared" si="1"/>
        <v>-20606.03</v>
      </c>
    </row>
    <row r="16" spans="1:5" ht="12.75">
      <c r="A16" s="41" t="s">
        <v>161</v>
      </c>
      <c r="B16" s="194">
        <v>11200</v>
      </c>
      <c r="C16" s="230">
        <v>11251.15</v>
      </c>
      <c r="D16" s="26">
        <f t="shared" si="0"/>
        <v>100.45669642857142</v>
      </c>
      <c r="E16" s="42">
        <f t="shared" si="1"/>
        <v>51.149999999999636</v>
      </c>
    </row>
    <row r="17" spans="1:5" ht="12.75">
      <c r="A17" s="41" t="s">
        <v>162</v>
      </c>
      <c r="B17" s="194">
        <v>186800</v>
      </c>
      <c r="C17" s="230">
        <v>166142.82</v>
      </c>
      <c r="D17" s="26">
        <f t="shared" si="0"/>
        <v>88.94155246252677</v>
      </c>
      <c r="E17" s="42">
        <f t="shared" si="1"/>
        <v>-20657.179999999993</v>
      </c>
    </row>
    <row r="18" spans="1:5" ht="18.75" customHeight="1">
      <c r="A18" s="41" t="s">
        <v>196</v>
      </c>
      <c r="B18" s="194">
        <v>800</v>
      </c>
      <c r="C18" s="230">
        <v>1400</v>
      </c>
      <c r="D18" s="26">
        <f t="shared" si="0"/>
        <v>175</v>
      </c>
      <c r="E18" s="42">
        <f t="shared" si="1"/>
        <v>600</v>
      </c>
    </row>
    <row r="19" spans="1:5" ht="19.5" customHeight="1">
      <c r="A19" s="16" t="s">
        <v>89</v>
      </c>
      <c r="B19" s="194">
        <v>0</v>
      </c>
      <c r="C19" s="230">
        <v>0</v>
      </c>
      <c r="D19" s="26" t="str">
        <f t="shared" si="0"/>
        <v>   </v>
      </c>
      <c r="E19" s="42">
        <f t="shared" si="1"/>
        <v>0</v>
      </c>
    </row>
    <row r="20" spans="1:5" ht="30.75" customHeight="1">
      <c r="A20" s="16" t="s">
        <v>28</v>
      </c>
      <c r="B20" s="194">
        <f>SUM(B21:B23)</f>
        <v>130600</v>
      </c>
      <c r="C20" s="194">
        <f>SUM(C21:C23)</f>
        <v>147966.76</v>
      </c>
      <c r="D20" s="26">
        <f t="shared" si="0"/>
        <v>113.29767228177643</v>
      </c>
      <c r="E20" s="42">
        <f t="shared" si="1"/>
        <v>17366.76000000001</v>
      </c>
    </row>
    <row r="21" spans="1:5" ht="21.75" customHeight="1">
      <c r="A21" s="41" t="s">
        <v>152</v>
      </c>
      <c r="B21" s="194">
        <v>127000</v>
      </c>
      <c r="C21" s="195">
        <v>143896.16</v>
      </c>
      <c r="D21" s="26">
        <f t="shared" si="0"/>
        <v>113.30406299212599</v>
      </c>
      <c r="E21" s="42">
        <f t="shared" si="1"/>
        <v>16896.160000000003</v>
      </c>
    </row>
    <row r="22" spans="1:5" ht="21" customHeight="1">
      <c r="A22" s="16" t="s">
        <v>30</v>
      </c>
      <c r="B22" s="194">
        <v>0</v>
      </c>
      <c r="C22" s="195">
        <v>480</v>
      </c>
      <c r="D22" s="26" t="str">
        <f t="shared" si="0"/>
        <v>   </v>
      </c>
      <c r="E22" s="42">
        <f t="shared" si="1"/>
        <v>480</v>
      </c>
    </row>
    <row r="23" spans="1:5" ht="21" customHeight="1">
      <c r="A23" s="16" t="s">
        <v>270</v>
      </c>
      <c r="B23" s="194">
        <v>3600</v>
      </c>
      <c r="C23" s="195">
        <v>3590.6</v>
      </c>
      <c r="D23" s="26">
        <f t="shared" si="0"/>
        <v>99.7388888888889</v>
      </c>
      <c r="E23" s="42">
        <f t="shared" si="1"/>
        <v>-9.400000000000091</v>
      </c>
    </row>
    <row r="24" spans="1:5" ht="20.25" customHeight="1">
      <c r="A24" s="16" t="s">
        <v>83</v>
      </c>
      <c r="B24" s="194">
        <v>0</v>
      </c>
      <c r="C24" s="195">
        <v>0</v>
      </c>
      <c r="D24" s="26" t="str">
        <f t="shared" si="0"/>
        <v>   </v>
      </c>
      <c r="E24" s="42">
        <f t="shared" si="1"/>
        <v>0</v>
      </c>
    </row>
    <row r="25" spans="1:5" ht="17.25" customHeight="1">
      <c r="A25" s="16" t="s">
        <v>76</v>
      </c>
      <c r="B25" s="193">
        <f>B26</f>
        <v>0</v>
      </c>
      <c r="C25" s="193">
        <f>C26</f>
        <v>0</v>
      </c>
      <c r="D25" s="26" t="str">
        <f t="shared" si="0"/>
        <v>   </v>
      </c>
      <c r="E25" s="42">
        <f t="shared" si="1"/>
        <v>0</v>
      </c>
    </row>
    <row r="26" spans="1:5" ht="27.75" customHeight="1">
      <c r="A26" s="16" t="s">
        <v>77</v>
      </c>
      <c r="B26" s="194">
        <v>0</v>
      </c>
      <c r="C26" s="195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32</v>
      </c>
      <c r="B27" s="194">
        <f>B28+B29</f>
        <v>0</v>
      </c>
      <c r="C27" s="194">
        <f>SUM(C28:C29)</f>
        <v>-1838.54</v>
      </c>
      <c r="D27" s="26" t="str">
        <f t="shared" si="0"/>
        <v>   </v>
      </c>
      <c r="E27" s="42">
        <f t="shared" si="1"/>
        <v>-1838.54</v>
      </c>
    </row>
    <row r="28" spans="1:5" ht="12.75">
      <c r="A28" s="16" t="s">
        <v>46</v>
      </c>
      <c r="B28" s="194">
        <v>0</v>
      </c>
      <c r="C28" s="194">
        <v>-1838.54</v>
      </c>
      <c r="D28" s="26" t="str">
        <f t="shared" si="0"/>
        <v>   </v>
      </c>
      <c r="E28" s="42"/>
    </row>
    <row r="29" spans="1:5" ht="12.75">
      <c r="A29" s="16" t="s">
        <v>50</v>
      </c>
      <c r="B29" s="194">
        <v>0</v>
      </c>
      <c r="C29" s="195">
        <v>0</v>
      </c>
      <c r="D29" s="26" t="str">
        <f t="shared" si="0"/>
        <v>   </v>
      </c>
      <c r="E29" s="42">
        <f t="shared" si="1"/>
        <v>0</v>
      </c>
    </row>
    <row r="30" spans="1:5" ht="15.75" customHeight="1">
      <c r="A30" s="16" t="s">
        <v>31</v>
      </c>
      <c r="B30" s="194">
        <v>0</v>
      </c>
      <c r="C30" s="194">
        <v>0</v>
      </c>
      <c r="D30" s="26" t="str">
        <f t="shared" si="0"/>
        <v>   </v>
      </c>
      <c r="E30" s="42">
        <f t="shared" si="1"/>
        <v>0</v>
      </c>
    </row>
    <row r="31" spans="1:5" ht="16.5" customHeight="1">
      <c r="A31" s="171" t="s">
        <v>10</v>
      </c>
      <c r="B31" s="149">
        <f>SUM(B7,B9,B11,B13,B20,B24,B25,B27,B30,B19,B18)</f>
        <v>1086100</v>
      </c>
      <c r="C31" s="149">
        <f>SUM(C7,C9,C11,C13,C20,C24,C25,C27,C30,C19,C18)</f>
        <v>1046644.62</v>
      </c>
      <c r="D31" s="140">
        <f t="shared" si="0"/>
        <v>96.3672424270325</v>
      </c>
      <c r="E31" s="141">
        <f t="shared" si="1"/>
        <v>-39455.380000000005</v>
      </c>
    </row>
    <row r="32" spans="1:5" ht="13.5" customHeight="1">
      <c r="A32" s="179" t="s">
        <v>140</v>
      </c>
      <c r="B32" s="184">
        <f>SUM(B33:B36,B39:B42,B46)</f>
        <v>4808190</v>
      </c>
      <c r="C32" s="184">
        <f>SUM(C33:C36,C39:C42,C46)</f>
        <v>4556812.02</v>
      </c>
      <c r="D32" s="140">
        <f t="shared" si="0"/>
        <v>94.771879231062</v>
      </c>
      <c r="E32" s="141">
        <f t="shared" si="1"/>
        <v>-251377.98000000045</v>
      </c>
    </row>
    <row r="33" spans="1:5" ht="19.5" customHeight="1">
      <c r="A33" s="17" t="s">
        <v>34</v>
      </c>
      <c r="B33" s="159">
        <v>1767700</v>
      </c>
      <c r="C33" s="230">
        <v>1767700</v>
      </c>
      <c r="D33" s="26">
        <f t="shared" si="0"/>
        <v>100</v>
      </c>
      <c r="E33" s="42">
        <f t="shared" si="1"/>
        <v>0</v>
      </c>
    </row>
    <row r="34" spans="1:5" ht="19.5" customHeight="1">
      <c r="A34" s="17" t="s">
        <v>229</v>
      </c>
      <c r="B34" s="159">
        <v>0</v>
      </c>
      <c r="C34" s="230">
        <v>0</v>
      </c>
      <c r="D34" s="26" t="str">
        <f t="shared" si="0"/>
        <v>   </v>
      </c>
      <c r="E34" s="42">
        <f t="shared" si="1"/>
        <v>0</v>
      </c>
    </row>
    <row r="35" spans="1:5" ht="30.75" customHeight="1">
      <c r="A35" s="133" t="s">
        <v>51</v>
      </c>
      <c r="B35" s="134">
        <v>99200</v>
      </c>
      <c r="C35" s="230">
        <v>99200</v>
      </c>
      <c r="D35" s="135">
        <f t="shared" si="0"/>
        <v>100</v>
      </c>
      <c r="E35" s="136">
        <f t="shared" si="1"/>
        <v>0</v>
      </c>
    </row>
    <row r="36" spans="1:5" ht="24.75" customHeight="1">
      <c r="A36" s="108" t="s">
        <v>148</v>
      </c>
      <c r="B36" s="134">
        <f>SUM(B37:B38)</f>
        <v>23100</v>
      </c>
      <c r="C36" s="134">
        <f>SUM(C37:C38)</f>
        <v>100</v>
      </c>
      <c r="D36" s="135">
        <f t="shared" si="0"/>
        <v>0.4329004329004329</v>
      </c>
      <c r="E36" s="136">
        <f t="shared" si="1"/>
        <v>-23000</v>
      </c>
    </row>
    <row r="37" spans="1:5" ht="16.5" customHeight="1">
      <c r="A37" s="108" t="s">
        <v>163</v>
      </c>
      <c r="B37" s="134">
        <v>100</v>
      </c>
      <c r="C37" s="137">
        <v>100</v>
      </c>
      <c r="D37" s="135">
        <f t="shared" si="0"/>
        <v>100</v>
      </c>
      <c r="E37" s="136">
        <f t="shared" si="1"/>
        <v>0</v>
      </c>
    </row>
    <row r="38" spans="1:5" ht="25.5" customHeight="1">
      <c r="A38" s="108" t="s">
        <v>164</v>
      </c>
      <c r="B38" s="134">
        <v>23000</v>
      </c>
      <c r="C38" s="137">
        <v>0</v>
      </c>
      <c r="D38" s="135">
        <f t="shared" si="0"/>
        <v>0</v>
      </c>
      <c r="E38" s="136">
        <f t="shared" si="1"/>
        <v>-23000</v>
      </c>
    </row>
    <row r="39" spans="1:5" ht="40.5" customHeight="1">
      <c r="A39" s="142" t="s">
        <v>132</v>
      </c>
      <c r="B39" s="134">
        <v>0</v>
      </c>
      <c r="C39" s="134">
        <v>0</v>
      </c>
      <c r="D39" s="135" t="str">
        <f t="shared" si="0"/>
        <v>   </v>
      </c>
      <c r="E39" s="136">
        <f t="shared" si="1"/>
        <v>0</v>
      </c>
    </row>
    <row r="40" spans="1:5" ht="27.75" customHeight="1">
      <c r="A40" s="142" t="s">
        <v>296</v>
      </c>
      <c r="B40" s="134">
        <v>400000</v>
      </c>
      <c r="C40" s="134">
        <v>400000</v>
      </c>
      <c r="D40" s="135">
        <f t="shared" si="0"/>
        <v>100</v>
      </c>
      <c r="E40" s="136">
        <f t="shared" si="1"/>
        <v>0</v>
      </c>
    </row>
    <row r="41" spans="1:5" ht="61.5" customHeight="1">
      <c r="A41" s="16" t="s">
        <v>238</v>
      </c>
      <c r="B41" s="134">
        <v>536200</v>
      </c>
      <c r="C41" s="134">
        <v>536200</v>
      </c>
      <c r="D41" s="135">
        <f t="shared" si="0"/>
        <v>100</v>
      </c>
      <c r="E41" s="136">
        <f t="shared" si="1"/>
        <v>0</v>
      </c>
    </row>
    <row r="42" spans="1:5" ht="15.75" customHeight="1">
      <c r="A42" s="16" t="s">
        <v>55</v>
      </c>
      <c r="B42" s="164">
        <f>B45+B43+B44</f>
        <v>1981990</v>
      </c>
      <c r="C42" s="164">
        <f>C45+C43+C44</f>
        <v>1753612.02</v>
      </c>
      <c r="D42" s="26">
        <f t="shared" si="0"/>
        <v>88.47733944167227</v>
      </c>
      <c r="E42" s="42">
        <f t="shared" si="1"/>
        <v>-228377.97999999998</v>
      </c>
    </row>
    <row r="43" spans="1:5" ht="15" customHeight="1">
      <c r="A43" s="46" t="s">
        <v>188</v>
      </c>
      <c r="B43" s="164">
        <v>0</v>
      </c>
      <c r="C43" s="164">
        <v>0</v>
      </c>
      <c r="D43" s="26" t="str">
        <f>IF(B43=0,"   ",C43/B43*100)</f>
        <v>   </v>
      </c>
      <c r="E43" s="42">
        <f>C43-B43</f>
        <v>0</v>
      </c>
    </row>
    <row r="44" spans="1:5" ht="15" customHeight="1">
      <c r="A44" s="46" t="s">
        <v>294</v>
      </c>
      <c r="B44" s="164">
        <v>1582590</v>
      </c>
      <c r="C44" s="164">
        <v>1354212.02</v>
      </c>
      <c r="D44" s="26">
        <f>IF(B44=0,"   ",C44/B44*100)</f>
        <v>85.56935276982668</v>
      </c>
      <c r="E44" s="42">
        <f>C44-B44</f>
        <v>-228377.97999999998</v>
      </c>
    </row>
    <row r="45" spans="1:5" s="7" customFormat="1" ht="16.5" customHeight="1">
      <c r="A45" s="16" t="s">
        <v>109</v>
      </c>
      <c r="B45" s="164">
        <v>399400</v>
      </c>
      <c r="C45" s="164">
        <v>399400</v>
      </c>
      <c r="D45" s="47">
        <f t="shared" si="0"/>
        <v>100</v>
      </c>
      <c r="E45" s="40">
        <f t="shared" si="1"/>
        <v>0</v>
      </c>
    </row>
    <row r="46" spans="1:5" s="7" customFormat="1" ht="23.25" customHeight="1">
      <c r="A46" s="16" t="s">
        <v>199</v>
      </c>
      <c r="B46" s="164">
        <v>0</v>
      </c>
      <c r="C46" s="164">
        <v>0</v>
      </c>
      <c r="D46" s="47" t="str">
        <f>IF(B46=0,"   ",C46/B46*100)</f>
        <v>   </v>
      </c>
      <c r="E46" s="40">
        <f>C46-B46</f>
        <v>0</v>
      </c>
    </row>
    <row r="47" spans="1:5" ht="30.75" customHeight="1">
      <c r="A47" s="171" t="s">
        <v>11</v>
      </c>
      <c r="B47" s="149">
        <f>SUM(B31,B32,)</f>
        <v>5894290</v>
      </c>
      <c r="C47" s="149">
        <f>SUM(C31,C32,)</f>
        <v>5603456.64</v>
      </c>
      <c r="D47" s="140">
        <f t="shared" si="0"/>
        <v>95.06584575920085</v>
      </c>
      <c r="E47" s="141">
        <f t="shared" si="1"/>
        <v>-290833.36000000034</v>
      </c>
    </row>
    <row r="48" spans="1:5" ht="41.25" customHeight="1">
      <c r="A48" s="22" t="s">
        <v>12</v>
      </c>
      <c r="B48" s="44"/>
      <c r="C48" s="45"/>
      <c r="D48" s="26" t="str">
        <f t="shared" si="0"/>
        <v>   </v>
      </c>
      <c r="E48" s="42">
        <f t="shared" si="1"/>
        <v>0</v>
      </c>
    </row>
    <row r="49" spans="1:5" ht="21" customHeight="1">
      <c r="A49" s="16" t="s">
        <v>35</v>
      </c>
      <c r="B49" s="25">
        <f>SUM(B50,B53,B54)</f>
        <v>1253610</v>
      </c>
      <c r="C49" s="25">
        <f>SUM(C50,C53,C54)</f>
        <v>1247332.23</v>
      </c>
      <c r="D49" s="26">
        <f t="shared" si="0"/>
        <v>99.49922463924187</v>
      </c>
      <c r="E49" s="42">
        <f t="shared" si="1"/>
        <v>-6277.770000000019</v>
      </c>
    </row>
    <row r="50" spans="1:5" ht="14.25" customHeight="1">
      <c r="A50" s="16" t="s">
        <v>36</v>
      </c>
      <c r="B50" s="25">
        <v>1253610</v>
      </c>
      <c r="C50" s="25">
        <v>1247332.23</v>
      </c>
      <c r="D50" s="26">
        <f t="shared" si="0"/>
        <v>99.49922463924187</v>
      </c>
      <c r="E50" s="42">
        <f t="shared" si="1"/>
        <v>-6277.770000000019</v>
      </c>
    </row>
    <row r="51" spans="1:5" ht="12.75">
      <c r="A51" s="85" t="s">
        <v>121</v>
      </c>
      <c r="B51" s="25">
        <v>837775.4</v>
      </c>
      <c r="C51" s="28">
        <v>837775.4</v>
      </c>
      <c r="D51" s="26">
        <f t="shared" si="0"/>
        <v>100</v>
      </c>
      <c r="E51" s="42">
        <f t="shared" si="1"/>
        <v>0</v>
      </c>
    </row>
    <row r="52" spans="1:5" ht="12.75">
      <c r="A52" s="85" t="s">
        <v>286</v>
      </c>
      <c r="B52" s="25">
        <v>100</v>
      </c>
      <c r="C52" s="28">
        <v>100</v>
      </c>
      <c r="D52" s="26">
        <f>IF(B52=0,"   ",C52/B52*100)</f>
        <v>100</v>
      </c>
      <c r="E52" s="42">
        <f>C52-B52</f>
        <v>0</v>
      </c>
    </row>
    <row r="53" spans="1:5" ht="12.75">
      <c r="A53" s="16" t="s">
        <v>95</v>
      </c>
      <c r="B53" s="25">
        <v>0</v>
      </c>
      <c r="C53" s="27">
        <v>0</v>
      </c>
      <c r="D53" s="26" t="str">
        <f t="shared" si="0"/>
        <v>   </v>
      </c>
      <c r="E53" s="42">
        <f t="shared" si="1"/>
        <v>0</v>
      </c>
    </row>
    <row r="54" spans="1:5" ht="12.75">
      <c r="A54" s="16" t="s">
        <v>52</v>
      </c>
      <c r="B54" s="25">
        <f>B55</f>
        <v>0</v>
      </c>
      <c r="C54" s="25">
        <f>C55</f>
        <v>0</v>
      </c>
      <c r="D54" s="26" t="str">
        <f t="shared" si="0"/>
        <v>   </v>
      </c>
      <c r="E54" s="42">
        <f t="shared" si="1"/>
        <v>0</v>
      </c>
    </row>
    <row r="55" spans="1:5" ht="26.25">
      <c r="A55" s="104" t="s">
        <v>244</v>
      </c>
      <c r="B55" s="25">
        <v>0</v>
      </c>
      <c r="C55" s="27">
        <v>0</v>
      </c>
      <c r="D55" s="26" t="str">
        <f t="shared" si="0"/>
        <v>   </v>
      </c>
      <c r="E55" s="42">
        <f t="shared" si="1"/>
        <v>0</v>
      </c>
    </row>
    <row r="56" spans="1:5" ht="19.5" customHeight="1">
      <c r="A56" s="16" t="s">
        <v>49</v>
      </c>
      <c r="B56" s="27">
        <f>SUM(B57)</f>
        <v>99200</v>
      </c>
      <c r="C56" s="27">
        <f>SUM(C57)</f>
        <v>99200</v>
      </c>
      <c r="D56" s="26">
        <f t="shared" si="0"/>
        <v>100</v>
      </c>
      <c r="E56" s="42">
        <f t="shared" si="1"/>
        <v>0</v>
      </c>
    </row>
    <row r="57" spans="1:5" ht="15.75" customHeight="1">
      <c r="A57" s="16" t="s">
        <v>107</v>
      </c>
      <c r="B57" s="25">
        <v>99200</v>
      </c>
      <c r="C57" s="27">
        <v>99200</v>
      </c>
      <c r="D57" s="26">
        <f t="shared" si="0"/>
        <v>100</v>
      </c>
      <c r="E57" s="42">
        <f t="shared" si="1"/>
        <v>0</v>
      </c>
    </row>
    <row r="58" spans="1:5" ht="21" customHeight="1">
      <c r="A58" s="16" t="s">
        <v>37</v>
      </c>
      <c r="B58" s="25">
        <f>SUM(B59)</f>
        <v>1000</v>
      </c>
      <c r="C58" s="27">
        <f>SUM(C59)</f>
        <v>1000</v>
      </c>
      <c r="D58" s="26">
        <f t="shared" si="0"/>
        <v>100</v>
      </c>
      <c r="E58" s="42">
        <f t="shared" si="1"/>
        <v>0</v>
      </c>
    </row>
    <row r="59" spans="1:5" ht="15" customHeight="1">
      <c r="A59" s="75" t="s">
        <v>128</v>
      </c>
      <c r="B59" s="25">
        <v>1000</v>
      </c>
      <c r="C59" s="27">
        <v>1000</v>
      </c>
      <c r="D59" s="26">
        <f t="shared" si="0"/>
        <v>100</v>
      </c>
      <c r="E59" s="42">
        <f t="shared" si="1"/>
        <v>0</v>
      </c>
    </row>
    <row r="60" spans="1:5" ht="19.5" customHeight="1">
      <c r="A60" s="16" t="s">
        <v>38</v>
      </c>
      <c r="B60" s="25">
        <f>SUM(B66+B61+B64+B74)</f>
        <v>1764799.25</v>
      </c>
      <c r="C60" s="25">
        <f>SUM(C66+C61+C64+C74)</f>
        <v>1659200</v>
      </c>
      <c r="D60" s="26">
        <f t="shared" si="0"/>
        <v>94.0163590844681</v>
      </c>
      <c r="E60" s="42">
        <f t="shared" si="1"/>
        <v>-105599.25</v>
      </c>
    </row>
    <row r="61" spans="1:5" ht="15" customHeight="1">
      <c r="A61" s="75" t="s">
        <v>165</v>
      </c>
      <c r="B61" s="25">
        <f>SUM(B62+B63)</f>
        <v>23000</v>
      </c>
      <c r="C61" s="25">
        <f>SUM(C62+C63)</f>
        <v>0</v>
      </c>
      <c r="D61" s="26">
        <f>IF(B61=0,"   ",C61/B61*100)</f>
        <v>0</v>
      </c>
      <c r="E61" s="42">
        <f>C61-B61</f>
        <v>-23000</v>
      </c>
    </row>
    <row r="62" spans="1:5" ht="15.75" customHeight="1">
      <c r="A62" s="75" t="s">
        <v>166</v>
      </c>
      <c r="B62" s="25">
        <v>23000</v>
      </c>
      <c r="C62" s="25">
        <v>0</v>
      </c>
      <c r="D62" s="26">
        <f>IF(B62=0,"   ",C62/B62*100)</f>
        <v>0</v>
      </c>
      <c r="E62" s="42">
        <f>C62-B62</f>
        <v>-23000</v>
      </c>
    </row>
    <row r="63" spans="1:5" ht="19.5" customHeight="1">
      <c r="A63" s="75" t="s">
        <v>169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9.5" customHeight="1">
      <c r="A64" s="75" t="s">
        <v>231</v>
      </c>
      <c r="B64" s="25">
        <f>SUM(B65)</f>
        <v>60000</v>
      </c>
      <c r="C64" s="25">
        <f>SUM(C65)</f>
        <v>60000</v>
      </c>
      <c r="D64" s="26">
        <f>IF(B64=0,"   ",C64/B64*100)</f>
        <v>100</v>
      </c>
      <c r="E64" s="42">
        <f>C64-B64</f>
        <v>0</v>
      </c>
    </row>
    <row r="65" spans="1:5" ht="19.5" customHeight="1">
      <c r="A65" s="75" t="s">
        <v>232</v>
      </c>
      <c r="B65" s="25">
        <v>60000</v>
      </c>
      <c r="C65" s="25">
        <v>60000</v>
      </c>
      <c r="D65" s="26">
        <f>IF(B65=0,"   ",C65/B65*100)</f>
        <v>100</v>
      </c>
      <c r="E65" s="42">
        <f>C65-B65</f>
        <v>0</v>
      </c>
    </row>
    <row r="66" spans="1:5" ht="12.75" customHeight="1">
      <c r="A66" s="95" t="s">
        <v>131</v>
      </c>
      <c r="B66" s="25">
        <f>SUM(B67:B73)</f>
        <v>1681799.25</v>
      </c>
      <c r="C66" s="25">
        <f>SUM(C67:C73)</f>
        <v>1599200</v>
      </c>
      <c r="D66" s="26">
        <f t="shared" si="0"/>
        <v>95.08863795723538</v>
      </c>
      <c r="E66" s="42">
        <f t="shared" si="1"/>
        <v>-82599.25</v>
      </c>
    </row>
    <row r="67" spans="1:5" ht="24.75" customHeight="1">
      <c r="A67" s="75" t="s">
        <v>149</v>
      </c>
      <c r="B67" s="25">
        <v>0</v>
      </c>
      <c r="C67" s="25">
        <v>0</v>
      </c>
      <c r="D67" s="26" t="str">
        <f t="shared" si="0"/>
        <v>   </v>
      </c>
      <c r="E67" s="136">
        <f t="shared" si="1"/>
        <v>0</v>
      </c>
    </row>
    <row r="68" spans="1:5" ht="33.75" customHeight="1">
      <c r="A68" s="71" t="s">
        <v>255</v>
      </c>
      <c r="B68" s="25">
        <v>500499.25</v>
      </c>
      <c r="C68" s="25">
        <v>500499.25</v>
      </c>
      <c r="D68" s="26">
        <f t="shared" si="0"/>
        <v>100</v>
      </c>
      <c r="E68" s="136">
        <f t="shared" si="1"/>
        <v>0</v>
      </c>
    </row>
    <row r="69" spans="1:5" ht="26.25" customHeight="1">
      <c r="A69" s="71" t="s">
        <v>256</v>
      </c>
      <c r="B69" s="25">
        <v>141700</v>
      </c>
      <c r="C69" s="25">
        <v>59100.75</v>
      </c>
      <c r="D69" s="26">
        <f t="shared" si="0"/>
        <v>41.70836273817925</v>
      </c>
      <c r="E69" s="42">
        <f t="shared" si="1"/>
        <v>-82599.25</v>
      </c>
    </row>
    <row r="70" spans="1:5" ht="26.25" customHeight="1">
      <c r="A70" s="71" t="s">
        <v>257</v>
      </c>
      <c r="B70" s="25">
        <v>536200</v>
      </c>
      <c r="C70" s="25">
        <v>536200</v>
      </c>
      <c r="D70" s="26">
        <f t="shared" si="0"/>
        <v>100</v>
      </c>
      <c r="E70" s="42">
        <f t="shared" si="1"/>
        <v>0</v>
      </c>
    </row>
    <row r="71" spans="1:5" ht="26.25" customHeight="1">
      <c r="A71" s="71" t="s">
        <v>258</v>
      </c>
      <c r="B71" s="25">
        <v>59600</v>
      </c>
      <c r="C71" s="25">
        <v>59600</v>
      </c>
      <c r="D71" s="26">
        <f>IF(B71=0,"   ",C71/B71*100)</f>
        <v>100</v>
      </c>
      <c r="E71" s="42">
        <f>C71-B71</f>
        <v>0</v>
      </c>
    </row>
    <row r="72" spans="1:5" ht="26.25" customHeight="1">
      <c r="A72" s="71" t="s">
        <v>259</v>
      </c>
      <c r="B72" s="25">
        <v>399400</v>
      </c>
      <c r="C72" s="25">
        <v>399400</v>
      </c>
      <c r="D72" s="26">
        <f>IF(B72=0,"   ",C72/B72*100)</f>
        <v>100</v>
      </c>
      <c r="E72" s="42">
        <f>C72-B72</f>
        <v>0</v>
      </c>
    </row>
    <row r="73" spans="1:5" ht="23.25" customHeight="1">
      <c r="A73" s="71" t="s">
        <v>260</v>
      </c>
      <c r="B73" s="25">
        <v>44400</v>
      </c>
      <c r="C73" s="25">
        <v>44400</v>
      </c>
      <c r="D73" s="26">
        <f t="shared" si="0"/>
        <v>100</v>
      </c>
      <c r="E73" s="42">
        <f t="shared" si="1"/>
        <v>0</v>
      </c>
    </row>
    <row r="74" spans="1:5" ht="18.75" customHeight="1">
      <c r="A74" s="95" t="s">
        <v>177</v>
      </c>
      <c r="B74" s="25">
        <f>SUM(B75)</f>
        <v>0</v>
      </c>
      <c r="C74" s="25">
        <f>SUM(C75)</f>
        <v>0</v>
      </c>
      <c r="D74" s="26" t="str">
        <f>IF(B74=0,"   ",C74/B74*100)</f>
        <v>   </v>
      </c>
      <c r="E74" s="42">
        <f>C74-B74</f>
        <v>0</v>
      </c>
    </row>
    <row r="75" spans="1:5" ht="23.25" customHeight="1">
      <c r="A75" s="75" t="s">
        <v>178</v>
      </c>
      <c r="B75" s="25">
        <v>0</v>
      </c>
      <c r="C75" s="25">
        <v>0</v>
      </c>
      <c r="D75" s="26" t="str">
        <f>IF(B75=0,"   ",C75/B75*100)</f>
        <v>   </v>
      </c>
      <c r="E75" s="42">
        <f>C75-B75</f>
        <v>0</v>
      </c>
    </row>
    <row r="76" spans="1:5" ht="18.75" customHeight="1">
      <c r="A76" s="16" t="s">
        <v>13</v>
      </c>
      <c r="B76" s="25">
        <f>SUM(B83+B77+B79)</f>
        <v>2256780</v>
      </c>
      <c r="C76" s="25">
        <f>SUM(C83+C77+C79)</f>
        <v>2011857.6</v>
      </c>
      <c r="D76" s="26">
        <f t="shared" si="0"/>
        <v>89.1472629144179</v>
      </c>
      <c r="E76" s="42">
        <f t="shared" si="1"/>
        <v>-244922.3999999999</v>
      </c>
    </row>
    <row r="77" spans="1:5" ht="12.75" customHeight="1">
      <c r="A77" s="86" t="s">
        <v>14</v>
      </c>
      <c r="B77" s="25">
        <f>B78</f>
        <v>0</v>
      </c>
      <c r="C77" s="25">
        <f>C78</f>
        <v>0</v>
      </c>
      <c r="D77" s="26" t="str">
        <f aca="true" t="shared" si="2" ref="D77:D82">IF(B77=0,"   ",C77/B77*100)</f>
        <v>   </v>
      </c>
      <c r="E77" s="42">
        <f aca="true" t="shared" si="3" ref="E77:E82">C77-B77</f>
        <v>0</v>
      </c>
    </row>
    <row r="78" spans="1:5" ht="12.75" customHeight="1">
      <c r="A78" s="155" t="s">
        <v>171</v>
      </c>
      <c r="B78" s="25">
        <v>0</v>
      </c>
      <c r="C78" s="25">
        <v>0</v>
      </c>
      <c r="D78" s="26" t="str">
        <f t="shared" si="2"/>
        <v>   </v>
      </c>
      <c r="E78" s="42">
        <f t="shared" si="3"/>
        <v>0</v>
      </c>
    </row>
    <row r="79" spans="1:5" ht="13.5" customHeight="1">
      <c r="A79" s="86" t="s">
        <v>64</v>
      </c>
      <c r="B79" s="25">
        <f>B80+B81+B82</f>
        <v>1738620</v>
      </c>
      <c r="C79" s="25">
        <f>C80+C81+C82</f>
        <v>1493697.6</v>
      </c>
      <c r="D79" s="26">
        <f t="shared" si="2"/>
        <v>85.91282741484626</v>
      </c>
      <c r="E79" s="42">
        <f t="shared" si="3"/>
        <v>-244922.3999999999</v>
      </c>
    </row>
    <row r="80" spans="1:5" ht="14.25" customHeight="1">
      <c r="A80" s="155" t="s">
        <v>142</v>
      </c>
      <c r="B80" s="25">
        <v>50000</v>
      </c>
      <c r="C80" s="25">
        <v>50000</v>
      </c>
      <c r="D80" s="26">
        <f t="shared" si="2"/>
        <v>100</v>
      </c>
      <c r="E80" s="42">
        <f t="shared" si="3"/>
        <v>0</v>
      </c>
    </row>
    <row r="81" spans="1:5" ht="14.25" customHeight="1">
      <c r="A81" s="16" t="s">
        <v>299</v>
      </c>
      <c r="B81" s="25">
        <v>1582590</v>
      </c>
      <c r="C81" s="25">
        <v>1354212.02</v>
      </c>
      <c r="D81" s="26">
        <f t="shared" si="2"/>
        <v>85.56935276982668</v>
      </c>
      <c r="E81" s="42">
        <f t="shared" si="3"/>
        <v>-228377.97999999998</v>
      </c>
    </row>
    <row r="82" spans="1:5" ht="14.25" customHeight="1">
      <c r="A82" s="16" t="s">
        <v>309</v>
      </c>
      <c r="B82" s="25">
        <v>106030</v>
      </c>
      <c r="C82" s="25">
        <v>89485.58</v>
      </c>
      <c r="D82" s="26">
        <f t="shared" si="2"/>
        <v>84.39647269640668</v>
      </c>
      <c r="E82" s="42">
        <f t="shared" si="3"/>
        <v>-16544.42</v>
      </c>
    </row>
    <row r="83" spans="1:5" ht="12.75">
      <c r="A83" s="16" t="s">
        <v>58</v>
      </c>
      <c r="B83" s="25">
        <f>B84+B86+B85+B91+B87</f>
        <v>518160</v>
      </c>
      <c r="C83" s="25">
        <f>C84+C86+C85+C91+C87</f>
        <v>518160</v>
      </c>
      <c r="D83" s="26">
        <f t="shared" si="0"/>
        <v>100</v>
      </c>
      <c r="E83" s="42">
        <f t="shared" si="1"/>
        <v>0</v>
      </c>
    </row>
    <row r="84" spans="1:5" ht="12.75">
      <c r="A84" s="16" t="s">
        <v>56</v>
      </c>
      <c r="B84" s="25">
        <v>118160</v>
      </c>
      <c r="C84" s="27">
        <v>118160</v>
      </c>
      <c r="D84" s="26">
        <f t="shared" si="0"/>
        <v>100</v>
      </c>
      <c r="E84" s="42">
        <f t="shared" si="1"/>
        <v>0</v>
      </c>
    </row>
    <row r="85" spans="1:5" ht="26.25">
      <c r="A85" s="104" t="s">
        <v>300</v>
      </c>
      <c r="B85" s="25">
        <v>400000</v>
      </c>
      <c r="C85" s="27">
        <v>400000</v>
      </c>
      <c r="D85" s="26">
        <f t="shared" si="0"/>
        <v>100</v>
      </c>
      <c r="E85" s="42">
        <f t="shared" si="1"/>
        <v>0</v>
      </c>
    </row>
    <row r="86" spans="1:5" ht="12.75">
      <c r="A86" s="16" t="s">
        <v>59</v>
      </c>
      <c r="B86" s="25">
        <v>0</v>
      </c>
      <c r="C86" s="27">
        <v>0</v>
      </c>
      <c r="D86" s="26" t="str">
        <f t="shared" si="0"/>
        <v>   </v>
      </c>
      <c r="E86" s="42">
        <f t="shared" si="1"/>
        <v>0</v>
      </c>
    </row>
    <row r="87" spans="1:5" ht="13.5" customHeight="1">
      <c r="A87" s="104" t="s">
        <v>206</v>
      </c>
      <c r="B87" s="25">
        <f>SUM(B88:B90)</f>
        <v>0</v>
      </c>
      <c r="C87" s="25">
        <f>SUM(C88:C90)</f>
        <v>0</v>
      </c>
      <c r="D87" s="26" t="str">
        <f>IF(B87=0,"   ",C87/B87*100)</f>
        <v>   </v>
      </c>
      <c r="E87" s="42">
        <f>C87-B87</f>
        <v>0</v>
      </c>
    </row>
    <row r="88" spans="1:5" ht="26.25">
      <c r="A88" s="104" t="s">
        <v>213</v>
      </c>
      <c r="B88" s="25">
        <v>0</v>
      </c>
      <c r="C88" s="27">
        <v>0</v>
      </c>
      <c r="D88" s="26" t="str">
        <f t="shared" si="0"/>
        <v>   </v>
      </c>
      <c r="E88" s="42">
        <f t="shared" si="1"/>
        <v>0</v>
      </c>
    </row>
    <row r="89" spans="1:5" ht="26.25">
      <c r="A89" s="104" t="s">
        <v>214</v>
      </c>
      <c r="B89" s="25">
        <v>0</v>
      </c>
      <c r="C89" s="27">
        <v>0</v>
      </c>
      <c r="D89" s="26" t="str">
        <f t="shared" si="0"/>
        <v>   </v>
      </c>
      <c r="E89" s="42">
        <f t="shared" si="1"/>
        <v>0</v>
      </c>
    </row>
    <row r="90" spans="1:5" ht="26.25">
      <c r="A90" s="104" t="s">
        <v>215</v>
      </c>
      <c r="B90" s="25">
        <v>0</v>
      </c>
      <c r="C90" s="27">
        <v>0</v>
      </c>
      <c r="D90" s="26" t="str">
        <f t="shared" si="0"/>
        <v>   </v>
      </c>
      <c r="E90" s="42">
        <f t="shared" si="1"/>
        <v>0</v>
      </c>
    </row>
    <row r="91" spans="1:5" ht="12.75">
      <c r="A91" s="155" t="s">
        <v>94</v>
      </c>
      <c r="B91" s="25">
        <v>0</v>
      </c>
      <c r="C91" s="27">
        <v>0</v>
      </c>
      <c r="D91" s="26" t="str">
        <f t="shared" si="0"/>
        <v>   </v>
      </c>
      <c r="E91" s="42">
        <f t="shared" si="1"/>
        <v>0</v>
      </c>
    </row>
    <row r="92" spans="1:5" ht="14.25" customHeight="1">
      <c r="A92" s="18" t="s">
        <v>17</v>
      </c>
      <c r="B92" s="31">
        <v>8000</v>
      </c>
      <c r="C92" s="31">
        <v>8000</v>
      </c>
      <c r="D92" s="26">
        <f t="shared" si="0"/>
        <v>100</v>
      </c>
      <c r="E92" s="42">
        <f t="shared" si="1"/>
        <v>0</v>
      </c>
    </row>
    <row r="93" spans="1:5" ht="13.5" customHeight="1">
      <c r="A93" s="16" t="s">
        <v>41</v>
      </c>
      <c r="B93" s="24">
        <f>B94</f>
        <v>611600</v>
      </c>
      <c r="C93" s="24">
        <f>C94</f>
        <v>611600</v>
      </c>
      <c r="D93" s="26">
        <f t="shared" si="0"/>
        <v>100</v>
      </c>
      <c r="E93" s="42">
        <f t="shared" si="1"/>
        <v>0</v>
      </c>
    </row>
    <row r="94" spans="1:5" ht="12.75">
      <c r="A94" s="16" t="s">
        <v>42</v>
      </c>
      <c r="B94" s="25">
        <v>611600</v>
      </c>
      <c r="C94" s="27">
        <v>611600</v>
      </c>
      <c r="D94" s="26">
        <f t="shared" si="0"/>
        <v>100</v>
      </c>
      <c r="E94" s="42">
        <f t="shared" si="1"/>
        <v>0</v>
      </c>
    </row>
    <row r="95" spans="1:5" ht="18.75" customHeight="1">
      <c r="A95" s="16" t="s">
        <v>124</v>
      </c>
      <c r="B95" s="25">
        <f>SUM(B96,)</f>
        <v>0</v>
      </c>
      <c r="C95" s="25">
        <f>SUM(C96,)</f>
        <v>0</v>
      </c>
      <c r="D95" s="26" t="str">
        <f t="shared" si="0"/>
        <v>   </v>
      </c>
      <c r="E95" s="42">
        <f t="shared" si="1"/>
        <v>0</v>
      </c>
    </row>
    <row r="96" spans="1:5" ht="12.75">
      <c r="A96" s="16" t="s">
        <v>43</v>
      </c>
      <c r="B96" s="25">
        <v>0</v>
      </c>
      <c r="C96" s="28">
        <v>0</v>
      </c>
      <c r="D96" s="26" t="str">
        <f t="shared" si="0"/>
        <v>   </v>
      </c>
      <c r="E96" s="42">
        <f t="shared" si="1"/>
        <v>0</v>
      </c>
    </row>
    <row r="97" spans="1:5" ht="22.5" customHeight="1">
      <c r="A97" s="171" t="s">
        <v>15</v>
      </c>
      <c r="B97" s="149">
        <f>B49+B56+B58+B60+B76+B92+B93+B95</f>
        <v>5994989.25</v>
      </c>
      <c r="C97" s="149">
        <f>C49+C56+C58+C60+C76+C92+C93+C95</f>
        <v>5638189.83</v>
      </c>
      <c r="D97" s="140">
        <f>IF(B97=0,"   ",C97/B97*100)</f>
        <v>94.048372647207</v>
      </c>
      <c r="E97" s="141">
        <f t="shared" si="1"/>
        <v>-356799.4199999999</v>
      </c>
    </row>
    <row r="98" spans="1:5" s="59" customFormat="1" ht="33" customHeight="1">
      <c r="A98" s="80" t="s">
        <v>334</v>
      </c>
      <c r="B98" s="80"/>
      <c r="C98" s="336"/>
      <c r="D98" s="336"/>
      <c r="E98" s="336"/>
    </row>
    <row r="99" spans="1:5" s="59" customFormat="1" ht="12" customHeight="1">
      <c r="A99" s="80" t="s">
        <v>154</v>
      </c>
      <c r="B99" s="80"/>
      <c r="C99" s="81" t="s">
        <v>335</v>
      </c>
      <c r="D99" s="82"/>
      <c r="E99" s="83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spans="1:5" ht="12.75">
      <c r="A103" s="7"/>
      <c r="B103" s="7"/>
      <c r="C103" s="6"/>
      <c r="D103" s="7"/>
      <c r="E103" s="2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</sheetData>
  <sheetProtection/>
  <mergeCells count="2">
    <mergeCell ref="A1:E1"/>
    <mergeCell ref="C98:E98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94">
      <selection activeCell="A108" sqref="A108:E109"/>
    </sheetView>
  </sheetViews>
  <sheetFormatPr defaultColWidth="9.00390625" defaultRowHeight="12.75"/>
  <cols>
    <col min="1" max="1" width="102.503906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7.25">
      <c r="A1" s="338" t="s">
        <v>329</v>
      </c>
      <c r="B1" s="338"/>
      <c r="C1" s="338"/>
      <c r="D1" s="338"/>
      <c r="E1" s="338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249</v>
      </c>
      <c r="C4" s="32" t="s">
        <v>328</v>
      </c>
      <c r="D4" s="19" t="s">
        <v>253</v>
      </c>
      <c r="E4" s="36" t="s">
        <v>251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48">
        <f>SUM(B8)</f>
        <v>416700</v>
      </c>
      <c r="C7" s="148">
        <f>SUM(C8)</f>
        <v>397732.64</v>
      </c>
      <c r="D7" s="26">
        <f aca="true" t="shared" si="0" ref="D7:D106">IF(B7=0,"   ",C7/B7*100)</f>
        <v>95.44819774418048</v>
      </c>
      <c r="E7" s="42">
        <f aca="true" t="shared" si="1" ref="E7:E107">C7-B7</f>
        <v>-18967.359999999986</v>
      </c>
    </row>
    <row r="8" spans="1:5" ht="12.75">
      <c r="A8" s="16" t="s">
        <v>44</v>
      </c>
      <c r="B8" s="84">
        <v>416700</v>
      </c>
      <c r="C8" s="230">
        <v>397732.64</v>
      </c>
      <c r="D8" s="26">
        <f t="shared" si="0"/>
        <v>95.44819774418048</v>
      </c>
      <c r="E8" s="42">
        <f t="shared" si="1"/>
        <v>-18967.359999999986</v>
      </c>
    </row>
    <row r="9" spans="1:5" ht="18" customHeight="1">
      <c r="A9" s="64" t="s">
        <v>137</v>
      </c>
      <c r="B9" s="193">
        <f>SUM(B10)</f>
        <v>897100</v>
      </c>
      <c r="C9" s="193">
        <f>SUM(C10)</f>
        <v>851927.73</v>
      </c>
      <c r="D9" s="26">
        <f t="shared" si="0"/>
        <v>94.96463382008695</v>
      </c>
      <c r="E9" s="42">
        <f t="shared" si="1"/>
        <v>-45172.27000000002</v>
      </c>
    </row>
    <row r="10" spans="1:5" ht="12.75">
      <c r="A10" s="41" t="s">
        <v>138</v>
      </c>
      <c r="B10" s="194">
        <v>897100</v>
      </c>
      <c r="C10" s="230">
        <v>851927.73</v>
      </c>
      <c r="D10" s="26">
        <f t="shared" si="0"/>
        <v>94.96463382008695</v>
      </c>
      <c r="E10" s="42">
        <f t="shared" si="1"/>
        <v>-45172.27000000002</v>
      </c>
    </row>
    <row r="11" spans="1:5" ht="16.5" customHeight="1">
      <c r="A11" s="16" t="s">
        <v>7</v>
      </c>
      <c r="B11" s="194">
        <f>SUM(B12:B12)</f>
        <v>42600</v>
      </c>
      <c r="C11" s="194">
        <f>C12</f>
        <v>42580</v>
      </c>
      <c r="D11" s="26">
        <f t="shared" si="0"/>
        <v>99.9530516431925</v>
      </c>
      <c r="E11" s="42">
        <f t="shared" si="1"/>
        <v>-20</v>
      </c>
    </row>
    <row r="12" spans="1:5" ht="12.75">
      <c r="A12" s="16" t="s">
        <v>26</v>
      </c>
      <c r="B12" s="194">
        <v>42600</v>
      </c>
      <c r="C12" s="230">
        <v>42580</v>
      </c>
      <c r="D12" s="26">
        <f t="shared" si="0"/>
        <v>99.9530516431925</v>
      </c>
      <c r="E12" s="42">
        <f t="shared" si="1"/>
        <v>-20</v>
      </c>
    </row>
    <row r="13" spans="1:5" ht="18" customHeight="1">
      <c r="A13" s="16" t="s">
        <v>9</v>
      </c>
      <c r="B13" s="194">
        <f>SUM(B14:B15)</f>
        <v>658800</v>
      </c>
      <c r="C13" s="194">
        <f>SUM(C14:C15)</f>
        <v>724949.5700000001</v>
      </c>
      <c r="D13" s="26">
        <f t="shared" si="0"/>
        <v>110.04091833636917</v>
      </c>
      <c r="E13" s="42">
        <f t="shared" si="1"/>
        <v>66149.57000000007</v>
      </c>
    </row>
    <row r="14" spans="1:5" ht="12.75">
      <c r="A14" s="16" t="s">
        <v>27</v>
      </c>
      <c r="B14" s="194">
        <v>237500</v>
      </c>
      <c r="C14" s="230">
        <v>411396.12</v>
      </c>
      <c r="D14" s="26">
        <f t="shared" si="0"/>
        <v>173.2194189473684</v>
      </c>
      <c r="E14" s="42">
        <f t="shared" si="1"/>
        <v>173896.12</v>
      </c>
    </row>
    <row r="15" spans="1:5" ht="12.75">
      <c r="A15" s="41" t="s">
        <v>160</v>
      </c>
      <c r="B15" s="194">
        <f>SUM(B16:B17)</f>
        <v>421300</v>
      </c>
      <c r="C15" s="194">
        <f>SUM(C16:C17)</f>
        <v>313553.45</v>
      </c>
      <c r="D15" s="26">
        <f t="shared" si="0"/>
        <v>74.42521955850938</v>
      </c>
      <c r="E15" s="42">
        <f t="shared" si="1"/>
        <v>-107746.54999999999</v>
      </c>
    </row>
    <row r="16" spans="1:5" ht="12.75">
      <c r="A16" s="41" t="s">
        <v>161</v>
      </c>
      <c r="B16" s="194">
        <v>130000</v>
      </c>
      <c r="C16" s="230">
        <v>104978.36</v>
      </c>
      <c r="D16" s="26">
        <f t="shared" si="0"/>
        <v>80.75258461538462</v>
      </c>
      <c r="E16" s="42">
        <f t="shared" si="1"/>
        <v>-25021.64</v>
      </c>
    </row>
    <row r="17" spans="1:5" ht="12.75">
      <c r="A17" s="41" t="s">
        <v>162</v>
      </c>
      <c r="B17" s="194">
        <v>291300</v>
      </c>
      <c r="C17" s="230">
        <v>208575.09</v>
      </c>
      <c r="D17" s="26">
        <f t="shared" si="0"/>
        <v>71.60147270854789</v>
      </c>
      <c r="E17" s="42">
        <f t="shared" si="1"/>
        <v>-82724.91</v>
      </c>
    </row>
    <row r="18" spans="1:5" ht="12.75">
      <c r="A18" s="41" t="s">
        <v>196</v>
      </c>
      <c r="B18" s="194">
        <v>3600</v>
      </c>
      <c r="C18" s="230">
        <v>8443</v>
      </c>
      <c r="D18" s="26">
        <f t="shared" si="0"/>
        <v>234.52777777777777</v>
      </c>
      <c r="E18" s="42">
        <f t="shared" si="1"/>
        <v>4843</v>
      </c>
    </row>
    <row r="19" spans="1:5" ht="26.25" customHeight="1">
      <c r="A19" s="16" t="s">
        <v>89</v>
      </c>
      <c r="B19" s="194">
        <v>0</v>
      </c>
      <c r="C19" s="195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194">
        <f>SUM(B21:B24)</f>
        <v>153300</v>
      </c>
      <c r="C20" s="194">
        <f>SUM(C21:C24)</f>
        <v>216360.21</v>
      </c>
      <c r="D20" s="26">
        <f t="shared" si="0"/>
        <v>141.1351663405088</v>
      </c>
      <c r="E20" s="42">
        <f t="shared" si="1"/>
        <v>63060.20999999999</v>
      </c>
    </row>
    <row r="21" spans="1:5" ht="12.75">
      <c r="A21" s="16" t="s">
        <v>29</v>
      </c>
      <c r="B21" s="194">
        <v>0</v>
      </c>
      <c r="C21" s="195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152</v>
      </c>
      <c r="B22" s="194">
        <v>101300</v>
      </c>
      <c r="C22" s="195">
        <v>126536.61</v>
      </c>
      <c r="D22" s="26">
        <f t="shared" si="0"/>
        <v>124.91274432379072</v>
      </c>
      <c r="E22" s="42">
        <f t="shared" si="1"/>
        <v>25236.61</v>
      </c>
    </row>
    <row r="23" spans="1:5" ht="15.75" customHeight="1">
      <c r="A23" s="16" t="s">
        <v>30</v>
      </c>
      <c r="B23" s="194">
        <v>16000</v>
      </c>
      <c r="C23" s="194">
        <v>32000</v>
      </c>
      <c r="D23" s="26">
        <f t="shared" si="0"/>
        <v>200</v>
      </c>
      <c r="E23" s="42">
        <f t="shared" si="1"/>
        <v>16000</v>
      </c>
    </row>
    <row r="24" spans="1:5" ht="42" customHeight="1">
      <c r="A24" s="16" t="s">
        <v>226</v>
      </c>
      <c r="B24" s="194">
        <v>36000</v>
      </c>
      <c r="C24" s="230">
        <v>57823.6</v>
      </c>
      <c r="D24" s="26">
        <f t="shared" si="0"/>
        <v>160.6211111111111</v>
      </c>
      <c r="E24" s="42">
        <f t="shared" si="1"/>
        <v>21823.6</v>
      </c>
    </row>
    <row r="25" spans="1:5" ht="15.75" customHeight="1">
      <c r="A25" s="39" t="s">
        <v>91</v>
      </c>
      <c r="B25" s="194">
        <v>4500</v>
      </c>
      <c r="C25" s="230">
        <v>13274.16</v>
      </c>
      <c r="D25" s="26">
        <f t="shared" si="0"/>
        <v>294.98133333333334</v>
      </c>
      <c r="E25" s="42">
        <f t="shared" si="1"/>
        <v>8774.16</v>
      </c>
    </row>
    <row r="26" spans="1:5" ht="15" customHeight="1">
      <c r="A26" s="16" t="s">
        <v>78</v>
      </c>
      <c r="B26" s="194">
        <f>SUM(B27:B28)</f>
        <v>11000</v>
      </c>
      <c r="C26" s="194">
        <f>SUM(C27:C28)</f>
        <v>11268</v>
      </c>
      <c r="D26" s="26">
        <f t="shared" si="0"/>
        <v>102.43636363636364</v>
      </c>
      <c r="E26" s="42">
        <f t="shared" si="1"/>
        <v>268</v>
      </c>
    </row>
    <row r="27" spans="1:5" ht="13.5" customHeight="1">
      <c r="A27" s="41" t="s">
        <v>134</v>
      </c>
      <c r="B27" s="194">
        <v>11000</v>
      </c>
      <c r="C27" s="230">
        <v>11268</v>
      </c>
      <c r="D27" s="26">
        <f t="shared" si="0"/>
        <v>102.43636363636364</v>
      </c>
      <c r="E27" s="42">
        <f t="shared" si="1"/>
        <v>268</v>
      </c>
    </row>
    <row r="28" spans="1:5" ht="26.25" customHeight="1">
      <c r="A28" s="16" t="s">
        <v>79</v>
      </c>
      <c r="B28" s="194">
        <v>0</v>
      </c>
      <c r="C28" s="230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194">
        <v>0</v>
      </c>
      <c r="C29" s="194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194">
        <f>B31+B32</f>
        <v>0</v>
      </c>
      <c r="C30" s="193">
        <f>C31+C32</f>
        <v>-14786.9</v>
      </c>
      <c r="D30" s="26" t="str">
        <f t="shared" si="0"/>
        <v>   </v>
      </c>
      <c r="E30" s="42">
        <f t="shared" si="1"/>
        <v>-14786.9</v>
      </c>
    </row>
    <row r="31" spans="1:5" ht="13.5" customHeight="1">
      <c r="A31" s="16" t="s">
        <v>126</v>
      </c>
      <c r="B31" s="194">
        <v>0</v>
      </c>
      <c r="C31" s="195">
        <v>-14786.9</v>
      </c>
      <c r="D31" s="26" t="str">
        <f t="shared" si="0"/>
        <v>   </v>
      </c>
      <c r="E31" s="42">
        <f t="shared" si="1"/>
        <v>-14786.9</v>
      </c>
    </row>
    <row r="32" spans="1:5" ht="13.5" customHeight="1">
      <c r="A32" s="16" t="s">
        <v>129</v>
      </c>
      <c r="B32" s="194">
        <v>0</v>
      </c>
      <c r="C32" s="195">
        <v>0</v>
      </c>
      <c r="D32" s="26"/>
      <c r="E32" s="42">
        <f t="shared" si="1"/>
        <v>0</v>
      </c>
    </row>
    <row r="33" spans="1:5" ht="21" customHeight="1">
      <c r="A33" s="171" t="s">
        <v>10</v>
      </c>
      <c r="B33" s="173">
        <f>SUM(B7,B9,B11,B13,B19,B20,B25,B26,B29,B30,B18)</f>
        <v>2187600</v>
      </c>
      <c r="C33" s="173">
        <f>SUM(C7,C9,C11,C13,C19,C20,C25,C26,C29,C30,C18)</f>
        <v>2251748.4100000006</v>
      </c>
      <c r="D33" s="140">
        <f t="shared" si="0"/>
        <v>102.93236469189983</v>
      </c>
      <c r="E33" s="141">
        <f t="shared" si="1"/>
        <v>64148.410000000615</v>
      </c>
    </row>
    <row r="34" spans="1:5" ht="18.75" customHeight="1">
      <c r="A34" s="179" t="s">
        <v>140</v>
      </c>
      <c r="B34" s="184">
        <f>SUM(B35:B38,B42:B43,B47,B48,B49,B41)</f>
        <v>9522118.35</v>
      </c>
      <c r="C34" s="184">
        <f>SUM(C35:C38,C43:C43,C47,C48,C49,C41)</f>
        <v>7316183.43</v>
      </c>
      <c r="D34" s="140">
        <f t="shared" si="0"/>
        <v>76.83356960166327</v>
      </c>
      <c r="E34" s="141">
        <f t="shared" si="1"/>
        <v>-2205934.92</v>
      </c>
    </row>
    <row r="35" spans="1:5" ht="16.5" customHeight="1">
      <c r="A35" s="17" t="s">
        <v>34</v>
      </c>
      <c r="B35" s="159">
        <v>3239600</v>
      </c>
      <c r="C35" s="230">
        <v>3239600</v>
      </c>
      <c r="D35" s="26">
        <f t="shared" si="0"/>
        <v>100</v>
      </c>
      <c r="E35" s="42">
        <f t="shared" si="1"/>
        <v>0</v>
      </c>
    </row>
    <row r="36" spans="1:5" ht="16.5" customHeight="1">
      <c r="A36" s="17" t="s">
        <v>229</v>
      </c>
      <c r="B36" s="159">
        <v>0</v>
      </c>
      <c r="C36" s="230">
        <v>0</v>
      </c>
      <c r="D36" s="26" t="str">
        <f>IF(B36=0,"   ",C36/B36*100)</f>
        <v>   </v>
      </c>
      <c r="E36" s="42">
        <f>C36-B36</f>
        <v>0</v>
      </c>
    </row>
    <row r="37" spans="1:5" ht="24.75" customHeight="1">
      <c r="A37" s="133" t="s">
        <v>51</v>
      </c>
      <c r="B37" s="134">
        <v>198300</v>
      </c>
      <c r="C37" s="230">
        <v>198300</v>
      </c>
      <c r="D37" s="135">
        <f t="shared" si="0"/>
        <v>100</v>
      </c>
      <c r="E37" s="136">
        <f t="shared" si="1"/>
        <v>0</v>
      </c>
    </row>
    <row r="38" spans="1:5" ht="24.75" customHeight="1">
      <c r="A38" s="108" t="s">
        <v>148</v>
      </c>
      <c r="B38" s="134">
        <f>SUM(B39:B40)</f>
        <v>19800</v>
      </c>
      <c r="C38" s="134">
        <f>SUM(C39:C40)</f>
        <v>100</v>
      </c>
      <c r="D38" s="135">
        <f t="shared" si="0"/>
        <v>0.5050505050505051</v>
      </c>
      <c r="E38" s="136">
        <f t="shared" si="1"/>
        <v>-19700</v>
      </c>
    </row>
    <row r="39" spans="1:5" ht="12.75" customHeight="1">
      <c r="A39" s="108" t="s">
        <v>163</v>
      </c>
      <c r="B39" s="134">
        <v>100</v>
      </c>
      <c r="C39" s="134">
        <v>100</v>
      </c>
      <c r="D39" s="135">
        <f>IF(B39=0,"   ",C39/B39*100)</f>
        <v>100</v>
      </c>
      <c r="E39" s="136">
        <f>C39-B39</f>
        <v>0</v>
      </c>
    </row>
    <row r="40" spans="1:5" ht="24.75" customHeight="1">
      <c r="A40" s="108" t="s">
        <v>164</v>
      </c>
      <c r="B40" s="134">
        <v>19700</v>
      </c>
      <c r="C40" s="134">
        <v>0</v>
      </c>
      <c r="D40" s="135">
        <f>IF(B40=0,"   ",C40/B40*100)</f>
        <v>0</v>
      </c>
      <c r="E40" s="136">
        <f>C40-B40</f>
        <v>-19700</v>
      </c>
    </row>
    <row r="41" spans="1:5" ht="54" customHeight="1">
      <c r="A41" s="16" t="s">
        <v>238</v>
      </c>
      <c r="B41" s="134">
        <v>706300</v>
      </c>
      <c r="C41" s="134">
        <v>706300</v>
      </c>
      <c r="D41" s="135">
        <f>IF(B41=0,"   ",C41/B41*100)</f>
        <v>100</v>
      </c>
      <c r="E41" s="136">
        <f>C41-B41</f>
        <v>0</v>
      </c>
    </row>
    <row r="42" spans="1:5" ht="31.5" customHeight="1">
      <c r="A42" s="16" t="s">
        <v>277</v>
      </c>
      <c r="B42" s="134">
        <v>0</v>
      </c>
      <c r="C42" s="134">
        <v>0</v>
      </c>
      <c r="D42" s="135" t="str">
        <f>IF(B42=0,"   ",C42/B42*100)</f>
        <v>   </v>
      </c>
      <c r="E42" s="136">
        <f>C42-B42</f>
        <v>0</v>
      </c>
    </row>
    <row r="43" spans="1:5" ht="18" customHeight="1">
      <c r="A43" s="16" t="s">
        <v>55</v>
      </c>
      <c r="B43" s="164">
        <f>B46+B44+B45</f>
        <v>4224369.6</v>
      </c>
      <c r="C43" s="164">
        <f>C46+C44+C45</f>
        <v>2037870.47</v>
      </c>
      <c r="D43" s="26">
        <f t="shared" si="0"/>
        <v>48.24081846436922</v>
      </c>
      <c r="E43" s="42">
        <f t="shared" si="1"/>
        <v>-2186499.13</v>
      </c>
    </row>
    <row r="44" spans="1:5" ht="24.75" customHeight="1">
      <c r="A44" s="46" t="s">
        <v>188</v>
      </c>
      <c r="B44" s="164">
        <v>395139.6</v>
      </c>
      <c r="C44" s="164">
        <v>325960.47</v>
      </c>
      <c r="D44" s="26">
        <f t="shared" si="0"/>
        <v>82.49248366906278</v>
      </c>
      <c r="E44" s="42">
        <f t="shared" si="1"/>
        <v>-69179.13</v>
      </c>
    </row>
    <row r="45" spans="1:5" ht="24.75" customHeight="1">
      <c r="A45" s="46" t="s">
        <v>294</v>
      </c>
      <c r="B45" s="164">
        <v>3273130</v>
      </c>
      <c r="C45" s="164">
        <v>1155810</v>
      </c>
      <c r="D45" s="26">
        <f t="shared" si="0"/>
        <v>35.31207132011255</v>
      </c>
      <c r="E45" s="42">
        <f t="shared" si="1"/>
        <v>-2117320</v>
      </c>
    </row>
    <row r="46" spans="1:5" s="7" customFormat="1" ht="15.75" customHeight="1">
      <c r="A46" s="16" t="s">
        <v>109</v>
      </c>
      <c r="B46" s="164">
        <v>556100</v>
      </c>
      <c r="C46" s="164">
        <v>556100</v>
      </c>
      <c r="D46" s="47">
        <f t="shared" si="0"/>
        <v>100</v>
      </c>
      <c r="E46" s="40">
        <f t="shared" si="1"/>
        <v>0</v>
      </c>
    </row>
    <row r="47" spans="1:5" ht="39" customHeight="1">
      <c r="A47" s="16" t="s">
        <v>302</v>
      </c>
      <c r="B47" s="164">
        <v>256961.16</v>
      </c>
      <c r="C47" s="164">
        <v>256961.16</v>
      </c>
      <c r="D47" s="26">
        <f t="shared" si="0"/>
        <v>100</v>
      </c>
      <c r="E47" s="42">
        <f t="shared" si="1"/>
        <v>0</v>
      </c>
    </row>
    <row r="48" spans="1:5" ht="24" customHeight="1">
      <c r="A48" s="142" t="s">
        <v>296</v>
      </c>
      <c r="B48" s="164">
        <v>700000</v>
      </c>
      <c r="C48" s="164">
        <v>700000</v>
      </c>
      <c r="D48" s="26">
        <f t="shared" si="0"/>
        <v>100</v>
      </c>
      <c r="E48" s="42">
        <f t="shared" si="1"/>
        <v>0</v>
      </c>
    </row>
    <row r="49" spans="1:5" ht="24.75" customHeight="1">
      <c r="A49" s="16" t="s">
        <v>199</v>
      </c>
      <c r="B49" s="164">
        <v>176787.59</v>
      </c>
      <c r="C49" s="164">
        <v>177051.8</v>
      </c>
      <c r="D49" s="26">
        <f t="shared" si="0"/>
        <v>100.14945053552684</v>
      </c>
      <c r="E49" s="42">
        <f t="shared" si="1"/>
        <v>264.20999999999185</v>
      </c>
    </row>
    <row r="50" spans="1:5" ht="33" customHeight="1">
      <c r="A50" s="171" t="s">
        <v>11</v>
      </c>
      <c r="B50" s="149">
        <f>SUM(B33,B34,)</f>
        <v>11709718.35</v>
      </c>
      <c r="C50" s="149">
        <f>SUM(C33,C34,)</f>
        <v>9567931.84</v>
      </c>
      <c r="D50" s="140">
        <f t="shared" si="0"/>
        <v>81.70932514358896</v>
      </c>
      <c r="E50" s="141">
        <f t="shared" si="1"/>
        <v>-2141786.51</v>
      </c>
    </row>
    <row r="51" spans="1:5" ht="12.75" customHeight="1">
      <c r="A51" s="22" t="s">
        <v>12</v>
      </c>
      <c r="B51" s="44"/>
      <c r="C51" s="45"/>
      <c r="D51" s="26" t="str">
        <f t="shared" si="0"/>
        <v>   </v>
      </c>
      <c r="E51" s="42"/>
    </row>
    <row r="52" spans="1:5" ht="24" customHeight="1">
      <c r="A52" s="16" t="s">
        <v>35</v>
      </c>
      <c r="B52" s="25">
        <f>SUM(B53,B56,B57)</f>
        <v>1353873.42</v>
      </c>
      <c r="C52" s="25">
        <f>SUM(C53,C56,C57)</f>
        <v>1333195.96</v>
      </c>
      <c r="D52" s="26">
        <f t="shared" si="0"/>
        <v>98.47271837274123</v>
      </c>
      <c r="E52" s="42">
        <f t="shared" si="1"/>
        <v>-20677.459999999963</v>
      </c>
    </row>
    <row r="53" spans="1:5" ht="12.75" customHeight="1">
      <c r="A53" s="16" t="s">
        <v>36</v>
      </c>
      <c r="B53" s="25">
        <v>1352187.42</v>
      </c>
      <c r="C53" s="25">
        <v>1333195.96</v>
      </c>
      <c r="D53" s="26">
        <f t="shared" si="0"/>
        <v>98.59550091066518</v>
      </c>
      <c r="E53" s="42">
        <f t="shared" si="1"/>
        <v>-18991.459999999963</v>
      </c>
    </row>
    <row r="54" spans="1:5" ht="12.75">
      <c r="A54" s="85" t="s">
        <v>121</v>
      </c>
      <c r="B54" s="25">
        <v>885922.53</v>
      </c>
      <c r="C54" s="28">
        <v>885922.53</v>
      </c>
      <c r="D54" s="26">
        <f t="shared" si="0"/>
        <v>100</v>
      </c>
      <c r="E54" s="42">
        <f t="shared" si="1"/>
        <v>0</v>
      </c>
    </row>
    <row r="55" spans="1:5" ht="12.75">
      <c r="A55" s="85" t="s">
        <v>286</v>
      </c>
      <c r="B55" s="25">
        <v>100</v>
      </c>
      <c r="C55" s="28">
        <v>100</v>
      </c>
      <c r="D55" s="26">
        <f>IF(B55=0,"   ",C55/B55*100)</f>
        <v>100</v>
      </c>
      <c r="E55" s="42">
        <f>C55-B55</f>
        <v>0</v>
      </c>
    </row>
    <row r="56" spans="1:5" ht="12.75">
      <c r="A56" s="16" t="s">
        <v>95</v>
      </c>
      <c r="B56" s="25">
        <v>0</v>
      </c>
      <c r="C56" s="27">
        <v>0</v>
      </c>
      <c r="D56" s="26" t="str">
        <f t="shared" si="0"/>
        <v>   </v>
      </c>
      <c r="E56" s="42">
        <f t="shared" si="1"/>
        <v>0</v>
      </c>
    </row>
    <row r="57" spans="1:5" ht="12.75">
      <c r="A57" s="16" t="s">
        <v>52</v>
      </c>
      <c r="B57" s="27">
        <v>1686</v>
      </c>
      <c r="C57" s="27">
        <f>SUM(C58:C59)</f>
        <v>0</v>
      </c>
      <c r="D57" s="26">
        <f t="shared" si="0"/>
        <v>0</v>
      </c>
      <c r="E57" s="42">
        <f t="shared" si="1"/>
        <v>-1686</v>
      </c>
    </row>
    <row r="58" spans="1:5" ht="12.75">
      <c r="A58" s="104" t="s">
        <v>172</v>
      </c>
      <c r="B58" s="27">
        <v>0</v>
      </c>
      <c r="C58" s="27">
        <v>0</v>
      </c>
      <c r="D58" s="26" t="str">
        <f>IF(B58=0,"   ",C58/B58*100)</f>
        <v>   </v>
      </c>
      <c r="E58" s="42">
        <f>C58-B58</f>
        <v>0</v>
      </c>
    </row>
    <row r="59" spans="1:5" ht="39.75" customHeight="1">
      <c r="A59" s="104" t="s">
        <v>244</v>
      </c>
      <c r="B59" s="25">
        <v>1686</v>
      </c>
      <c r="C59" s="27">
        <v>0</v>
      </c>
      <c r="D59" s="26">
        <f t="shared" si="0"/>
        <v>0</v>
      </c>
      <c r="E59" s="42">
        <f t="shared" si="1"/>
        <v>-1686</v>
      </c>
    </row>
    <row r="60" spans="1:5" ht="22.5" customHeight="1">
      <c r="A60" s="16" t="s">
        <v>49</v>
      </c>
      <c r="B60" s="27">
        <f>SUM(B61)</f>
        <v>198300</v>
      </c>
      <c r="C60" s="27">
        <f>SUM(C61)</f>
        <v>198300</v>
      </c>
      <c r="D60" s="26">
        <f t="shared" si="0"/>
        <v>100</v>
      </c>
      <c r="E60" s="42">
        <f t="shared" si="1"/>
        <v>0</v>
      </c>
    </row>
    <row r="61" spans="1:5" ht="12" customHeight="1">
      <c r="A61" s="16" t="s">
        <v>107</v>
      </c>
      <c r="B61" s="25">
        <v>198300</v>
      </c>
      <c r="C61" s="27">
        <v>198300</v>
      </c>
      <c r="D61" s="26">
        <f t="shared" si="0"/>
        <v>100</v>
      </c>
      <c r="E61" s="42">
        <f t="shared" si="1"/>
        <v>0</v>
      </c>
    </row>
    <row r="62" spans="1:5" ht="16.5" customHeight="1">
      <c r="A62" s="16" t="s">
        <v>37</v>
      </c>
      <c r="B62" s="25">
        <f>SUM(B63)</f>
        <v>5000</v>
      </c>
      <c r="C62" s="27">
        <f>SUM(C63)</f>
        <v>5000</v>
      </c>
      <c r="D62" s="26">
        <f t="shared" si="0"/>
        <v>100</v>
      </c>
      <c r="E62" s="42">
        <f t="shared" si="1"/>
        <v>0</v>
      </c>
    </row>
    <row r="63" spans="1:5" ht="16.5" customHeight="1">
      <c r="A63" s="41" t="s">
        <v>128</v>
      </c>
      <c r="B63" s="25">
        <v>5000</v>
      </c>
      <c r="C63" s="27">
        <v>5000</v>
      </c>
      <c r="D63" s="26">
        <f t="shared" si="0"/>
        <v>100</v>
      </c>
      <c r="E63" s="42">
        <f t="shared" si="1"/>
        <v>0</v>
      </c>
    </row>
    <row r="64" spans="1:5" ht="21.75" customHeight="1">
      <c r="A64" s="16" t="s">
        <v>38</v>
      </c>
      <c r="B64" s="27">
        <f>B68+B65+B76</f>
        <v>2256372.2199999997</v>
      </c>
      <c r="C64" s="27">
        <f>C68+C65+C76</f>
        <v>2191799.2199999997</v>
      </c>
      <c r="D64" s="26">
        <f t="shared" si="0"/>
        <v>97.13819380385742</v>
      </c>
      <c r="E64" s="42">
        <f t="shared" si="1"/>
        <v>-64573</v>
      </c>
    </row>
    <row r="65" spans="1:5" ht="21.75" customHeight="1">
      <c r="A65" s="75" t="s">
        <v>165</v>
      </c>
      <c r="B65" s="25">
        <f>SUM(B66+B67)</f>
        <v>19700</v>
      </c>
      <c r="C65" s="25">
        <f>SUM(C66+C67)</f>
        <v>0</v>
      </c>
      <c r="D65" s="26">
        <f>IF(B65=0,"   ",C65/B65*100)</f>
        <v>0</v>
      </c>
      <c r="E65" s="42">
        <f>C65-B65</f>
        <v>-19700</v>
      </c>
    </row>
    <row r="66" spans="1:5" ht="21.75" customHeight="1">
      <c r="A66" s="75" t="s">
        <v>166</v>
      </c>
      <c r="B66" s="25">
        <v>19700</v>
      </c>
      <c r="C66" s="125">
        <v>0</v>
      </c>
      <c r="D66" s="26">
        <f>IF(B66=0,"   ",C66/B66*100)</f>
        <v>0</v>
      </c>
      <c r="E66" s="42">
        <f>C66-B66</f>
        <v>-19700</v>
      </c>
    </row>
    <row r="67" spans="1:5" ht="21.75" customHeight="1">
      <c r="A67" s="75" t="s">
        <v>169</v>
      </c>
      <c r="B67" s="117">
        <v>0</v>
      </c>
      <c r="C67" s="125">
        <v>0</v>
      </c>
      <c r="D67" s="26"/>
      <c r="E67" s="42"/>
    </row>
    <row r="68" spans="1:5" ht="12" customHeight="1">
      <c r="A68" s="95" t="s">
        <v>131</v>
      </c>
      <c r="B68" s="117">
        <f>SUM(B69:B75)</f>
        <v>2236672.2199999997</v>
      </c>
      <c r="C68" s="117">
        <f>SUM(C69:C75)</f>
        <v>2191799.2199999997</v>
      </c>
      <c r="D68" s="26">
        <f t="shared" si="0"/>
        <v>97.99376056988807</v>
      </c>
      <c r="E68" s="42">
        <f t="shared" si="1"/>
        <v>-44873</v>
      </c>
    </row>
    <row r="69" spans="1:5" ht="27" customHeight="1">
      <c r="A69" s="75" t="s">
        <v>149</v>
      </c>
      <c r="B69" s="25">
        <v>30000</v>
      </c>
      <c r="C69" s="27">
        <v>0</v>
      </c>
      <c r="D69" s="26">
        <f t="shared" si="0"/>
        <v>0</v>
      </c>
      <c r="E69" s="42">
        <f t="shared" si="1"/>
        <v>-30000</v>
      </c>
    </row>
    <row r="70" spans="1:5" ht="30.75" customHeight="1">
      <c r="A70" s="71" t="s">
        <v>255</v>
      </c>
      <c r="B70" s="25">
        <v>753972.22</v>
      </c>
      <c r="C70" s="27">
        <v>739099.22</v>
      </c>
      <c r="D70" s="26">
        <f t="shared" si="0"/>
        <v>98.02738090270753</v>
      </c>
      <c r="E70" s="42">
        <f t="shared" si="1"/>
        <v>-14873</v>
      </c>
    </row>
    <row r="71" spans="1:5" ht="29.25" customHeight="1">
      <c r="A71" s="71" t="s">
        <v>256</v>
      </c>
      <c r="B71" s="25">
        <v>50000</v>
      </c>
      <c r="C71" s="27">
        <v>50000</v>
      </c>
      <c r="D71" s="26">
        <f t="shared" si="0"/>
        <v>100</v>
      </c>
      <c r="E71" s="42">
        <f t="shared" si="1"/>
        <v>0</v>
      </c>
    </row>
    <row r="72" spans="1:5" ht="27" customHeight="1">
      <c r="A72" s="71" t="s">
        <v>257</v>
      </c>
      <c r="B72" s="25">
        <v>706300</v>
      </c>
      <c r="C72" s="27">
        <v>706300</v>
      </c>
      <c r="D72" s="26">
        <f t="shared" si="0"/>
        <v>100</v>
      </c>
      <c r="E72" s="42">
        <f t="shared" si="1"/>
        <v>0</v>
      </c>
    </row>
    <row r="73" spans="1:5" ht="27" customHeight="1">
      <c r="A73" s="71" t="s">
        <v>258</v>
      </c>
      <c r="B73" s="113">
        <v>78500</v>
      </c>
      <c r="C73" s="27">
        <v>78500</v>
      </c>
      <c r="D73" s="26">
        <f t="shared" si="0"/>
        <v>100</v>
      </c>
      <c r="E73" s="42">
        <f t="shared" si="1"/>
        <v>0</v>
      </c>
    </row>
    <row r="74" spans="1:5" ht="27" customHeight="1">
      <c r="A74" s="71" t="s">
        <v>259</v>
      </c>
      <c r="B74" s="113">
        <v>556100</v>
      </c>
      <c r="C74" s="27">
        <v>556100</v>
      </c>
      <c r="D74" s="26">
        <f t="shared" si="0"/>
        <v>100</v>
      </c>
      <c r="E74" s="42">
        <f t="shared" si="1"/>
        <v>0</v>
      </c>
    </row>
    <row r="75" spans="1:5" ht="27" customHeight="1">
      <c r="A75" s="71" t="s">
        <v>260</v>
      </c>
      <c r="B75" s="113">
        <v>61800</v>
      </c>
      <c r="C75" s="27">
        <v>61800</v>
      </c>
      <c r="D75" s="26">
        <f t="shared" si="0"/>
        <v>100</v>
      </c>
      <c r="E75" s="42">
        <f t="shared" si="1"/>
        <v>0</v>
      </c>
    </row>
    <row r="76" spans="1:5" ht="17.25" customHeight="1">
      <c r="A76" s="95" t="s">
        <v>177</v>
      </c>
      <c r="B76" s="113">
        <f>SUM(B77:B78)</f>
        <v>0</v>
      </c>
      <c r="C76" s="113">
        <f>SUM(C77:C78)</f>
        <v>0</v>
      </c>
      <c r="D76" s="26" t="str">
        <f>IF(B76=0,"   ",C76/B76*100)</f>
        <v>   </v>
      </c>
      <c r="E76" s="42">
        <f>C76-B76</f>
        <v>0</v>
      </c>
    </row>
    <row r="77" spans="1:5" ht="33" customHeight="1">
      <c r="A77" s="104" t="s">
        <v>155</v>
      </c>
      <c r="B77" s="113">
        <v>0</v>
      </c>
      <c r="C77" s="27">
        <v>0</v>
      </c>
      <c r="D77" s="26" t="str">
        <f>IF(B77=0,"   ",C77/B77*100)</f>
        <v>   </v>
      </c>
      <c r="E77" s="42">
        <f>C77-B77</f>
        <v>0</v>
      </c>
    </row>
    <row r="78" spans="1:5" ht="27" customHeight="1">
      <c r="A78" s="75" t="s">
        <v>178</v>
      </c>
      <c r="B78" s="113">
        <v>0</v>
      </c>
      <c r="C78" s="27">
        <v>0</v>
      </c>
      <c r="D78" s="26" t="str">
        <f>IF(B78=0,"   ",C78/B78*100)</f>
        <v>   </v>
      </c>
      <c r="E78" s="42">
        <f>C78-B78</f>
        <v>0</v>
      </c>
    </row>
    <row r="79" spans="1:5" ht="20.25" customHeight="1">
      <c r="A79" s="16" t="s">
        <v>13</v>
      </c>
      <c r="B79" s="25">
        <f>SUM(B80,B82,B89,)</f>
        <v>5785009.0600000005</v>
      </c>
      <c r="C79" s="25">
        <f>SUM(C80,C82,C89,)</f>
        <v>3552390.51</v>
      </c>
      <c r="D79" s="26">
        <f t="shared" si="0"/>
        <v>61.406827079368476</v>
      </c>
      <c r="E79" s="42">
        <f t="shared" si="1"/>
        <v>-2232618.5500000007</v>
      </c>
    </row>
    <row r="80" spans="1:5" ht="12.75">
      <c r="A80" s="16" t="s">
        <v>14</v>
      </c>
      <c r="B80" s="25">
        <f>SUM(B81:B81)</f>
        <v>0</v>
      </c>
      <c r="C80" s="25">
        <f>SUM(C81:C81)</f>
        <v>0</v>
      </c>
      <c r="D80" s="26" t="str">
        <f t="shared" si="0"/>
        <v>   </v>
      </c>
      <c r="E80" s="42">
        <f t="shared" si="1"/>
        <v>0</v>
      </c>
    </row>
    <row r="81" spans="1:5" ht="15.75" customHeight="1">
      <c r="A81" s="16" t="s">
        <v>98</v>
      </c>
      <c r="B81" s="25">
        <v>0</v>
      </c>
      <c r="C81" s="27">
        <v>0</v>
      </c>
      <c r="D81" s="26" t="str">
        <f t="shared" si="0"/>
        <v>   </v>
      </c>
      <c r="E81" s="42">
        <f t="shared" si="1"/>
        <v>0</v>
      </c>
    </row>
    <row r="82" spans="1:5" ht="12.75">
      <c r="A82" s="16" t="s">
        <v>90</v>
      </c>
      <c r="B82" s="25">
        <f>SUM(B83:B85)</f>
        <v>3862997.2</v>
      </c>
      <c r="C82" s="25">
        <f>SUM(C83:C85)</f>
        <v>1630378.65</v>
      </c>
      <c r="D82" s="26">
        <f t="shared" si="0"/>
        <v>42.205017647954804</v>
      </c>
      <c r="E82" s="42">
        <f t="shared" si="1"/>
        <v>-2232618.5500000003</v>
      </c>
    </row>
    <row r="83" spans="1:5" ht="12.75">
      <c r="A83" s="16" t="s">
        <v>299</v>
      </c>
      <c r="B83" s="25">
        <v>3273130</v>
      </c>
      <c r="C83" s="25">
        <v>1155810</v>
      </c>
      <c r="D83" s="26">
        <f>IF(B83=0,"   ",C83/B83*100)</f>
        <v>35.31207132011255</v>
      </c>
      <c r="E83" s="42">
        <f>C83-B83</f>
        <v>-2117320</v>
      </c>
    </row>
    <row r="84" spans="1:5" ht="12.75">
      <c r="A84" s="16" t="s">
        <v>309</v>
      </c>
      <c r="B84" s="25">
        <v>77430</v>
      </c>
      <c r="C84" s="25">
        <v>77430</v>
      </c>
      <c r="D84" s="26">
        <f>IF(B84=0,"   ",C84/B84*100)</f>
        <v>100</v>
      </c>
      <c r="E84" s="42">
        <f>C84-B84</f>
        <v>0</v>
      </c>
    </row>
    <row r="85" spans="1:5" ht="26.25">
      <c r="A85" s="104" t="s">
        <v>206</v>
      </c>
      <c r="B85" s="25">
        <f>SUM(B86:B88)</f>
        <v>512437.2</v>
      </c>
      <c r="C85" s="25">
        <f>SUM(C86:C88)</f>
        <v>397138.64999999997</v>
      </c>
      <c r="D85" s="26">
        <f>IF(B85=0,"   ",C85/B85*100)</f>
        <v>77.49996487374452</v>
      </c>
      <c r="E85" s="42">
        <f>C85-B85</f>
        <v>-115298.55000000005</v>
      </c>
    </row>
    <row r="86" spans="1:5" ht="26.25">
      <c r="A86" s="104" t="s">
        <v>213</v>
      </c>
      <c r="B86" s="25">
        <v>307462.32</v>
      </c>
      <c r="C86" s="25">
        <v>238283.19</v>
      </c>
      <c r="D86" s="26">
        <f>IF(B86=0,"   ",C86/B86*100)</f>
        <v>77.49996487374453</v>
      </c>
      <c r="E86" s="42">
        <f>C86-B86</f>
        <v>-69179.13</v>
      </c>
    </row>
    <row r="87" spans="1:5" ht="26.25">
      <c r="A87" s="104" t="s">
        <v>214</v>
      </c>
      <c r="B87" s="25">
        <v>102487.44</v>
      </c>
      <c r="C87" s="25">
        <v>79427.73</v>
      </c>
      <c r="D87" s="26">
        <f>IF(B87=0,"   ",C87/B87*100)</f>
        <v>77.49996487374452</v>
      </c>
      <c r="E87" s="42">
        <f>C87-B87</f>
        <v>-23059.710000000006</v>
      </c>
    </row>
    <row r="88" spans="1:5" ht="26.25">
      <c r="A88" s="104" t="s">
        <v>215</v>
      </c>
      <c r="B88" s="25">
        <v>102487.44</v>
      </c>
      <c r="C88" s="27">
        <v>79427.73</v>
      </c>
      <c r="D88" s="26">
        <f t="shared" si="0"/>
        <v>77.49996487374452</v>
      </c>
      <c r="E88" s="42">
        <f t="shared" si="1"/>
        <v>-23059.710000000006</v>
      </c>
    </row>
    <row r="89" spans="1:5" ht="12.75">
      <c r="A89" s="16" t="s">
        <v>69</v>
      </c>
      <c r="B89" s="25">
        <f>B90+B91+B93+B97+B92</f>
        <v>1922011.8599999999</v>
      </c>
      <c r="C89" s="25">
        <f>C90+C91+C93+C97+C92</f>
        <v>1922011.8599999999</v>
      </c>
      <c r="D89" s="26">
        <f t="shared" si="0"/>
        <v>100</v>
      </c>
      <c r="E89" s="42">
        <f t="shared" si="1"/>
        <v>0</v>
      </c>
    </row>
    <row r="90" spans="1:5" ht="12.75">
      <c r="A90" s="16" t="s">
        <v>56</v>
      </c>
      <c r="B90" s="25">
        <v>773582.58</v>
      </c>
      <c r="C90" s="27">
        <v>773582.58</v>
      </c>
      <c r="D90" s="26">
        <f t="shared" si="0"/>
        <v>100</v>
      </c>
      <c r="E90" s="42">
        <f t="shared" si="1"/>
        <v>0</v>
      </c>
    </row>
    <row r="91" spans="1:5" ht="12.75">
      <c r="A91" s="16" t="s">
        <v>57</v>
      </c>
      <c r="B91" s="25">
        <v>0</v>
      </c>
      <c r="C91" s="27">
        <v>0</v>
      </c>
      <c r="D91" s="26" t="str">
        <f t="shared" si="0"/>
        <v>   </v>
      </c>
      <c r="E91" s="42">
        <f t="shared" si="1"/>
        <v>0</v>
      </c>
    </row>
    <row r="92" spans="1:5" ht="26.25">
      <c r="A92" s="104" t="s">
        <v>300</v>
      </c>
      <c r="B92" s="25">
        <v>700000</v>
      </c>
      <c r="C92" s="27">
        <v>700000</v>
      </c>
      <c r="D92" s="26">
        <f t="shared" si="0"/>
        <v>100</v>
      </c>
      <c r="E92" s="42">
        <f t="shared" si="1"/>
        <v>0</v>
      </c>
    </row>
    <row r="93" spans="1:5" ht="26.25">
      <c r="A93" s="104" t="s">
        <v>206</v>
      </c>
      <c r="B93" s="25">
        <f>SUM(B94:B96)</f>
        <v>146129.28</v>
      </c>
      <c r="C93" s="25">
        <f>SUM(C94:C96)</f>
        <v>146129.28</v>
      </c>
      <c r="D93" s="26">
        <f aca="true" t="shared" si="2" ref="D93:D101">IF(B93=0,"   ",C93/B93*100)</f>
        <v>100</v>
      </c>
      <c r="E93" s="42">
        <f aca="true" t="shared" si="3" ref="E93:E101">C93-B93</f>
        <v>0</v>
      </c>
    </row>
    <row r="94" spans="1:5" ht="26.25">
      <c r="A94" s="104" t="s">
        <v>213</v>
      </c>
      <c r="B94" s="25">
        <v>87677.28</v>
      </c>
      <c r="C94" s="27">
        <v>87677.28</v>
      </c>
      <c r="D94" s="26">
        <f t="shared" si="2"/>
        <v>100</v>
      </c>
      <c r="E94" s="42">
        <f t="shared" si="3"/>
        <v>0</v>
      </c>
    </row>
    <row r="95" spans="1:5" ht="26.25">
      <c r="A95" s="104" t="s">
        <v>214</v>
      </c>
      <c r="B95" s="25">
        <v>29226</v>
      </c>
      <c r="C95" s="27">
        <v>29226</v>
      </c>
      <c r="D95" s="26">
        <f t="shared" si="2"/>
        <v>100</v>
      </c>
      <c r="E95" s="42">
        <f t="shared" si="3"/>
        <v>0</v>
      </c>
    </row>
    <row r="96" spans="1:5" ht="26.25">
      <c r="A96" s="104" t="s">
        <v>215</v>
      </c>
      <c r="B96" s="25">
        <v>29226</v>
      </c>
      <c r="C96" s="27">
        <v>29226</v>
      </c>
      <c r="D96" s="26">
        <f t="shared" si="2"/>
        <v>100</v>
      </c>
      <c r="E96" s="42">
        <f t="shared" si="3"/>
        <v>0</v>
      </c>
    </row>
    <row r="97" spans="1:5" ht="15">
      <c r="A97" s="266" t="s">
        <v>272</v>
      </c>
      <c r="B97" s="25">
        <f>SUM(B98:B101)</f>
        <v>302300</v>
      </c>
      <c r="C97" s="25">
        <f>SUM(C98:C101)</f>
        <v>302300</v>
      </c>
      <c r="D97" s="26">
        <f t="shared" si="2"/>
        <v>100</v>
      </c>
      <c r="E97" s="42">
        <f t="shared" si="3"/>
        <v>0</v>
      </c>
    </row>
    <row r="98" spans="1:5" ht="15">
      <c r="A98" s="266" t="s">
        <v>273</v>
      </c>
      <c r="B98" s="25">
        <v>209498.2</v>
      </c>
      <c r="C98" s="25">
        <v>209498.2</v>
      </c>
      <c r="D98" s="26">
        <f t="shared" si="2"/>
        <v>100</v>
      </c>
      <c r="E98" s="42">
        <f t="shared" si="3"/>
        <v>0</v>
      </c>
    </row>
    <row r="99" spans="1:5" ht="15">
      <c r="A99" s="266" t="s">
        <v>274</v>
      </c>
      <c r="B99" s="25">
        <v>2116.14</v>
      </c>
      <c r="C99" s="27">
        <v>2116.14</v>
      </c>
      <c r="D99" s="26">
        <f t="shared" si="2"/>
        <v>100</v>
      </c>
      <c r="E99" s="42">
        <f t="shared" si="3"/>
        <v>0</v>
      </c>
    </row>
    <row r="100" spans="1:5" ht="15">
      <c r="A100" s="266" t="s">
        <v>275</v>
      </c>
      <c r="B100" s="25">
        <v>45346.82</v>
      </c>
      <c r="C100" s="27">
        <v>45346.82</v>
      </c>
      <c r="D100" s="26">
        <f t="shared" si="2"/>
        <v>100</v>
      </c>
      <c r="E100" s="42">
        <f t="shared" si="3"/>
        <v>0</v>
      </c>
    </row>
    <row r="101" spans="1:5" ht="15">
      <c r="A101" s="266" t="s">
        <v>276</v>
      </c>
      <c r="B101" s="25">
        <v>45338.84</v>
      </c>
      <c r="C101" s="27">
        <v>45338.84</v>
      </c>
      <c r="D101" s="26">
        <f t="shared" si="2"/>
        <v>100</v>
      </c>
      <c r="E101" s="42">
        <f t="shared" si="3"/>
        <v>0</v>
      </c>
    </row>
    <row r="102" spans="1:5" ht="20.25" customHeight="1">
      <c r="A102" s="18" t="s">
        <v>17</v>
      </c>
      <c r="B102" s="31">
        <v>0</v>
      </c>
      <c r="C102" s="31">
        <v>0</v>
      </c>
      <c r="D102" s="26" t="str">
        <f t="shared" si="0"/>
        <v>   </v>
      </c>
      <c r="E102" s="42">
        <f t="shared" si="1"/>
        <v>0</v>
      </c>
    </row>
    <row r="103" spans="1:5" ht="21.75" customHeight="1">
      <c r="A103" s="16" t="s">
        <v>41</v>
      </c>
      <c r="B103" s="24">
        <f>SUM(B104,)</f>
        <v>2489545</v>
      </c>
      <c r="C103" s="24">
        <f>SUM(C104,)</f>
        <v>2489545</v>
      </c>
      <c r="D103" s="26">
        <f t="shared" si="0"/>
        <v>100</v>
      </c>
      <c r="E103" s="42">
        <f t="shared" si="1"/>
        <v>0</v>
      </c>
    </row>
    <row r="104" spans="1:5" ht="14.25" customHeight="1">
      <c r="A104" s="16" t="s">
        <v>42</v>
      </c>
      <c r="B104" s="25">
        <v>2489545</v>
      </c>
      <c r="C104" s="27">
        <v>2489545</v>
      </c>
      <c r="D104" s="26">
        <f t="shared" si="0"/>
        <v>100</v>
      </c>
      <c r="E104" s="42">
        <f t="shared" si="1"/>
        <v>0</v>
      </c>
    </row>
    <row r="105" spans="1:5" ht="18.75" customHeight="1">
      <c r="A105" s="16" t="s">
        <v>124</v>
      </c>
      <c r="B105" s="25">
        <f>SUM(B106,)</f>
        <v>0</v>
      </c>
      <c r="C105" s="25">
        <f>C106</f>
        <v>0</v>
      </c>
      <c r="D105" s="26" t="str">
        <f t="shared" si="0"/>
        <v>   </v>
      </c>
      <c r="E105" s="42">
        <f t="shared" si="1"/>
        <v>0</v>
      </c>
    </row>
    <row r="106" spans="1:5" ht="12.75" customHeight="1">
      <c r="A106" s="16" t="s">
        <v>43</v>
      </c>
      <c r="B106" s="25">
        <v>0</v>
      </c>
      <c r="C106" s="28">
        <v>0</v>
      </c>
      <c r="D106" s="26" t="str">
        <f t="shared" si="0"/>
        <v>   </v>
      </c>
      <c r="E106" s="42">
        <f t="shared" si="1"/>
        <v>0</v>
      </c>
    </row>
    <row r="107" spans="1:5" ht="30.75" customHeight="1">
      <c r="A107" s="171" t="s">
        <v>15</v>
      </c>
      <c r="B107" s="149">
        <f>SUM(B52,B60,B62,B64,B79,B102,B103,B105,)</f>
        <v>12088099.7</v>
      </c>
      <c r="C107" s="149">
        <f>SUM(C52,C60,C62,C64,C79,C102,C103,C105,)</f>
        <v>9770230.69</v>
      </c>
      <c r="D107" s="140">
        <f>IF(B107=0,"   ",C107/B107*100)</f>
        <v>80.82519943147061</v>
      </c>
      <c r="E107" s="141">
        <f t="shared" si="1"/>
        <v>-2317869.01</v>
      </c>
    </row>
    <row r="108" spans="1:5" s="59" customFormat="1" ht="30.75" customHeight="1">
      <c r="A108" s="80" t="s">
        <v>334</v>
      </c>
      <c r="B108" s="80"/>
      <c r="C108" s="336"/>
      <c r="D108" s="336"/>
      <c r="E108" s="336"/>
    </row>
    <row r="109" spans="1:5" s="59" customFormat="1" ht="12" customHeight="1">
      <c r="A109" s="80" t="s">
        <v>154</v>
      </c>
      <c r="B109" s="80"/>
      <c r="C109" s="81" t="s">
        <v>335</v>
      </c>
      <c r="D109" s="82"/>
      <c r="E109" s="83"/>
    </row>
    <row r="110" spans="1:5" ht="15" customHeight="1">
      <c r="A110" s="7"/>
      <c r="B110" s="7"/>
      <c r="C110" s="6"/>
      <c r="D110" s="7"/>
      <c r="E110" s="2"/>
    </row>
    <row r="111" spans="1:5" ht="12" customHeight="1">
      <c r="A111" s="48"/>
      <c r="B111" s="48"/>
      <c r="C111" s="49"/>
      <c r="D111" s="50"/>
      <c r="E111" s="51"/>
    </row>
    <row r="112" spans="1:5" ht="12.75">
      <c r="A112" s="7"/>
      <c r="B112" s="7"/>
      <c r="C112" s="6"/>
      <c r="D112" s="7"/>
      <c r="E112" s="2"/>
    </row>
    <row r="113" spans="1:5" ht="12.75">
      <c r="A113" s="7"/>
      <c r="B113" s="7"/>
      <c r="C113" s="6"/>
      <c r="D113" s="7"/>
      <c r="E113" s="2"/>
    </row>
    <row r="114" spans="1:5" ht="12.75">
      <c r="A114" s="7"/>
      <c r="B114" s="7"/>
      <c r="C114" s="6"/>
      <c r="D114" s="7"/>
      <c r="E114" s="2"/>
    </row>
    <row r="115" spans="1:5" ht="12.75">
      <c r="A115" s="7"/>
      <c r="B115" s="7"/>
      <c r="C115" s="6"/>
      <c r="D115" s="7"/>
      <c r="E115" s="2"/>
    </row>
  </sheetData>
  <sheetProtection/>
  <mergeCells count="2">
    <mergeCell ref="A1:E1"/>
    <mergeCell ref="C108:E108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2021-01-18T11:06:08Z</cp:lastPrinted>
  <dcterms:created xsi:type="dcterms:W3CDTF">2001-03-21T05:21:19Z</dcterms:created>
  <dcterms:modified xsi:type="dcterms:W3CDTF">2021-01-18T11:10:56Z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