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'Лист1'!$A$1:$J$137</definedName>
  </definedNames>
  <calcPr fullCalcOnLoad="1"/>
</workbook>
</file>

<file path=xl/sharedStrings.xml><?xml version="1.0" encoding="utf-8"?>
<sst xmlns="http://schemas.openxmlformats.org/spreadsheetml/2006/main" count="1338" uniqueCount="344">
  <si>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</si>
  <si>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</si>
  <si>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</si>
  <si>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</si>
  <si>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</si>
  <si>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</si>
  <si>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</si>
  <si>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</si>
  <si>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</si>
  <si>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</si>
  <si>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</si>
  <si>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</si>
  <si>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</si>
  <si>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</si>
  <si>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</si>
  <si>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</si>
  <si>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</si>
  <si>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</si>
  <si>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</si>
  <si>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</si>
  <si>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</si>
  <si>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</si>
  <si>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</si>
  <si>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</si>
  <si>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</si>
  <si>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</si>
  <si>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</si>
  <si>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</si>
  <si>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</si>
  <si>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</si>
  <si>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</si>
  <si>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</si>
  <si>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</si>
  <si>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</si>
  <si>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</si>
  <si>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</si>
  <si>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</si>
  <si>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</si>
  <si>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</si>
  <si>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</si>
  <si>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</si>
  <si>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</si>
  <si>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</si>
  <si>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</si>
  <si>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</si>
  <si>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</si>
  <si>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</si>
  <si>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</si>
  <si>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</si>
  <si>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</si>
  <si>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</si>
  <si>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</si>
  <si>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</si>
  <si>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</si>
  <si>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</si>
  <si>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</si>
  <si>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</si>
  <si>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</si>
  <si>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</si>
  <si>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</si>
  <si>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</si>
  <si>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</si>
  <si>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</si>
  <si>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</si>
  <si>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</si>
  <si>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</si>
  <si>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</si>
  <si>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</si>
  <si>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</si>
  <si>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</si>
  <si>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</si>
  <si>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</si>
  <si>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</si>
  <si>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</si>
  <si>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</si>
  <si>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</si>
  <si>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</si>
  <si>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</si>
  <si>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</si>
  <si>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</si>
  <si>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</si>
  <si>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</si>
  <si>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</si>
  <si>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</si>
  <si>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</si>
  <si>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</si>
  <si>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</si>
  <si>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</si>
  <si>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</si>
  <si>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</si>
  <si>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</si>
  <si>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</si>
  <si>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</si>
  <si>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</si>
  <si>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</si>
  <si>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</si>
  <si>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</si>
  <si>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</si>
  <si>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</si>
  <si>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</si>
  <si>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</si>
  <si>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</si>
  <si>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</si>
  <si>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</si>
  <si>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</si>
  <si>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</si>
  <si>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</si>
  <si>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</si>
  <si>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</si>
  <si>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</si>
  <si>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</si>
  <si>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</si>
  <si>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</si>
  <si>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</si>
  <si>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</si>
  <si>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</si>
  <si>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</si>
  <si>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</si>
  <si>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</si>
  <si>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</si>
  <si>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</si>
  <si>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</si>
  <si>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</si>
  <si>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</si>
  <si>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</si>
  <si>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</si>
  <si>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</si>
  <si>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</si>
  <si>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</si>
  <si>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</si>
  <si>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</si>
  <si>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</si>
  <si>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</si>
  <si>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</si>
  <si>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</si>
  <si>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</si>
  <si>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</si>
  <si>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</si>
  <si>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</si>
  <si>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</si>
  <si>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</si>
  <si>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</si>
  <si>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</si>
  <si>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</si>
  <si>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</si>
  <si>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</si>
  <si>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</si>
  <si>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</si>
  <si>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</si>
  <si>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</si>
  <si>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</si>
  <si>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</si>
  <si>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</si>
  <si>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</si>
  <si>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</si>
  <si>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</si>
  <si>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</si>
  <si>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</si>
  <si>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</si>
  <si>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</si>
  <si>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</si>
  <si>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</si>
  <si>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</si>
  <si>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</si>
  <si>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</si>
  <si>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</si>
  <si>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</si>
  <si>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</si>
  <si>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</si>
  <si>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</si>
  <si>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</si>
  <si>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</si>
  <si>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</si>
  <si>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</si>
  <si>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</si>
  <si>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</si>
  <si>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</si>
  <si>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</si>
  <si>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</si>
  <si>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</si>
  <si>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</si>
  <si>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</si>
  <si>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</si>
  <si>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</si>
  <si>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</si>
  <si>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</si>
  <si>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</si>
  <si>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</si>
  <si>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</si>
  <si>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</si>
  <si>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</si>
  <si>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</si>
  <si>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</si>
  <si>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</si>
  <si>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</si>
  <si>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</si>
  <si>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</si>
  <si>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</si>
  <si>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</si>
  <si>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</si>
  <si>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</si>
  <si>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</si>
  <si>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</si>
  <si>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</si>
  <si>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</si>
  <si>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</si>
  <si>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</si>
  <si>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</si>
  <si>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</si>
  <si>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</si>
  <si>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</si>
  <si>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</si>
  <si>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</si>
  <si>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</si>
  <si>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</si>
  <si>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</si>
  <si>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</si>
  <si>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</si>
  <si>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</si>
  <si>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</si>
  <si>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</si>
  <si>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</si>
  <si>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</si>
  <si>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</si>
  <si>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</si>
  <si>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</si>
  <si>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</si>
  <si>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</si>
  <si>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</si>
  <si>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</si>
  <si>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</si>
  <si>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</si>
  <si>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</si>
  <si>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</si>
  <si>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</si>
  <si>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</si>
  <si>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</si>
  <si>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</si>
  <si>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</si>
  <si>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</si>
  <si>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</si>
  <si>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</si>
  <si>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</si>
  <si>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</si>
  <si>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</si>
  <si>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</si>
  <si>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</si>
  <si>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</si>
  <si>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</si>
  <si>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</si>
  <si>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</si>
  <si>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</si>
  <si>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</si>
  <si>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</si>
  <si>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</si>
  <si>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СУБСИДИИ БЮДЖЕТАМ ГОРОДСКИХ ПОСЕЛЕНИЙ НА ПОДГОТОВКУ И ПРОВЕДЕНИЕ  ПРАЗДНОВАНИЯ НА ФЕДЕРАЛЬНОМ УРОВНЕ ПАМЯТНЫХ ДАТ СУБЪЕКТОВ РОССИЙСКОЙ  ФЕДЕРАЦИИ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</si>
  <si>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</si>
  <si>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</si>
  <si>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</si>
  <si>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((НА ПОДГОТ. И ПРОВЕД. ПРАЗДНОВАНИЯ ПАМЯТНЫХ ДАТ)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</si>
  <si>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</si>
  <si>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</si>
  <si>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 xml:space="preserve">          Благоустройство сельских территорий - всего       </t>
  </si>
  <si>
    <t xml:space="preserve">           в том числе за счет  средств фед. бюдж.             </t>
  </si>
  <si>
    <t xml:space="preserve">           в том числе за счет  средств  респ. бюдж.             </t>
  </si>
  <si>
    <t xml:space="preserve">          в том числе за счет  средств  бюдж.  посел.      </t>
  </si>
  <si>
    <t xml:space="preserve">      в том числе за счет  средств  от насел.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</si>
  <si>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</si>
  <si>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</si>
  <si>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</si>
  <si>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</si>
  <si>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</si>
  <si>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</si>
  <si>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</si>
  <si>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</si>
  <si>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</si>
  <si>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</si>
  <si>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</si>
  <si>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</si>
  <si>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</si>
  <si>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</si>
  <si>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</si>
  <si>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</si>
  <si>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</si>
  <si>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</si>
  <si>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 (На благоустройство и развитие  территорий  поселения)</t>
  </si>
  <si>
    <t>ПРОЧИЕ МЕЖБЮДЖЕТНЫЕ ТРАНСФЕРТЫ, ПЕРЕДАВАЕМЫЕ БЮДЖЕТАМ ПОСЕЛЕНИЙ(На благоустройство и развитие  территорий  поселения)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</si>
  <si>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</si>
  <si>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</si>
  <si>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</si>
  <si>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</si>
  <si>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           на поощрение победителей конкурса "Лучшая муниципальная практика" 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</si>
  <si>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</si>
  <si>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</si>
  <si>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</si>
  <si>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</si>
  <si>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</si>
  <si>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</si>
  <si>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</si>
  <si>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</si>
  <si>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ПРОЧИЕ МЕЖБЮДЖЕТНЫЕ ТРАНСФЕРТЫ, ПЕРЕДАВАЕМЫЕ БЮДЖЕТАМ ПОСЕЛЕНИЙ  (На благоустройство и развитие  территорий  поселения)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</si>
  <si>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</si>
  <si>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</si>
  <si>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</si>
  <si>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</si>
  <si>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</si>
  <si>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</si>
  <si>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</si>
  <si>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</si>
  <si>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</si>
  <si>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</si>
  <si>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Анализ  исполнения бюджета Андреево-Базарского сельского поселения за  январь  2021 года</t>
  </si>
  <si>
    <t>Фактическое исполнение за  январь  2021 года</t>
  </si>
  <si>
    <t>Анализ исполнения бюджета Аттиковского сельского поселения за  январь  2021 года</t>
  </si>
  <si>
    <t>Фактическое исполнение за  январь 2021 года</t>
  </si>
  <si>
    <t>Анализ исполнения бюджета  Байгуловского сельского поселения за  январь  2021 года</t>
  </si>
  <si>
    <t>Фактическое исполнение за   январь 2021 года</t>
  </si>
  <si>
    <t>Уточненный план на 2021 год</t>
  </si>
  <si>
    <t>% исполне-ния к  годовому плану  на 2021 г.</t>
  </si>
  <si>
    <t>Отклонение от годового плана 2021 г ( +, - )</t>
  </si>
  <si>
    <t>% исполнения к  годовому плану  на 2021 г.</t>
  </si>
  <si>
    <t xml:space="preserve">Отклонение от годового плана 2021 г ( +, - )         </t>
  </si>
  <si>
    <t>Анализ исполнения бюджета  Еметкинского сельского поселения за  январь  2021 года</t>
  </si>
  <si>
    <t>Анализ исполнения бюджета  Карамышевского сельского поселения за  январь  2021 года</t>
  </si>
  <si>
    <t>Анализ исполнения бюджета  Карачевского сельского поселения за  январь  2021 года</t>
  </si>
  <si>
    <t>Анализ исполнения бюджета  Козловского  городского  поселения  за  январь  2021 года</t>
  </si>
  <si>
    <t>Анализ исполнения бюджета  Солдыбаевского сельского поселения за   январь  2021 года</t>
  </si>
  <si>
    <t>Фактическое исполнение за   январь  2021 года</t>
  </si>
  <si>
    <t>Анализ исполнения бюджета  Тюрлеминского сельского поселения за   январь  2021 года</t>
  </si>
  <si>
    <t>Анализ исполнения бюджета  Янгильдинского сельского поселения за   январь  2021 года</t>
  </si>
  <si>
    <t>% исполне-ния к  годовому плану  на  2021 г.</t>
  </si>
  <si>
    <t>Анализ   исполнения   бюджетов   поселений   за  январь  2021 года.</t>
  </si>
  <si>
    <t>Фактическое исполнение за  январь   2021 года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</si>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</sst>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67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" fontId="15" fillId="20" borderId="1">
      <alignment horizontal="right" vertical="top" shrinkToFit="1"/>
      <protection/>
    </xf>
    <xf numFmtId="4" fontId="15" fillId="0" borderId="1">
      <alignment horizontal="right" vertical="top" shrinkToFit="1"/>
      <protection/>
    </xf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3" borderId="0" applyNumberFormat="0" applyBorder="0" applyAlignment="0" applyProtection="0"/>
  </cellStyleXfs>
  <cellXfs count="34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4" fillId="0" borderId="19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4" fontId="16" fillId="0" borderId="1" xfId="34" applyFont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Protection="1">
      <alignment horizontal="right" vertical="top" shrinkToFit="1"/>
      <protection/>
    </xf>
    <xf numFmtId="4" fontId="16" fillId="0" borderId="1" xfId="34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vertical="center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4" fontId="16" fillId="0" borderId="1" xfId="33" applyFont="1" applyFill="1" applyAlignment="1" applyProtection="1">
      <alignment horizontal="right" shrinkToFit="1"/>
      <protection/>
    </xf>
    <xf numFmtId="2" fontId="16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1" fontId="17" fillId="0" borderId="15" xfId="61" applyFont="1" applyFill="1" applyBorder="1" applyAlignment="1">
      <alignment horizontal="center" vertical="center" wrapText="1"/>
    </xf>
    <xf numFmtId="41" fontId="17" fillId="0" borderId="18" xfId="6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61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wrapText="1"/>
    </xf>
    <xf numFmtId="1" fontId="18" fillId="0" borderId="13" xfId="6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right" wrapText="1"/>
    </xf>
    <xf numFmtId="41" fontId="18" fillId="0" borderId="11" xfId="6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41" fontId="18" fillId="0" borderId="13" xfId="6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horizontal="right" wrapText="1"/>
    </xf>
    <xf numFmtId="2" fontId="18" fillId="0" borderId="11" xfId="57" applyNumberFormat="1" applyFont="1" applyFill="1" applyBorder="1" applyAlignment="1">
      <alignment wrapText="1"/>
    </xf>
    <xf numFmtId="2" fontId="18" fillId="0" borderId="13" xfId="61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wrapText="1"/>
    </xf>
    <xf numFmtId="4" fontId="18" fillId="0" borderId="11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wrapText="1"/>
    </xf>
    <xf numFmtId="2" fontId="17" fillId="0" borderId="11" xfId="57" applyNumberFormat="1" applyFont="1" applyFill="1" applyBorder="1" applyAlignment="1">
      <alignment wrapText="1"/>
    </xf>
    <xf numFmtId="2" fontId="17" fillId="0" borderId="13" xfId="61" applyNumberFormat="1" applyFont="1" applyFill="1" applyBorder="1" applyAlignment="1">
      <alignment horizontal="right" wrapText="1"/>
    </xf>
    <xf numFmtId="164" fontId="18" fillId="0" borderId="11" xfId="57" applyNumberFormat="1" applyFont="1" applyFill="1" applyBorder="1" applyAlignment="1">
      <alignment wrapText="1"/>
    </xf>
    <xf numFmtId="4" fontId="18" fillId="0" borderId="13" xfId="0" applyNumberFormat="1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right" wrapText="1"/>
    </xf>
    <xf numFmtId="0" fontId="18" fillId="0" borderId="19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2" fontId="0" fillId="0" borderId="33" xfId="0" applyNumberFormat="1" applyFont="1" applyFill="1" applyBorder="1" applyAlignment="1">
      <alignment wrapText="1"/>
    </xf>
    <xf numFmtId="2" fontId="0" fillId="0" borderId="34" xfId="61" applyNumberFormat="1" applyFont="1" applyFill="1" applyBorder="1" applyAlignment="1">
      <alignment horizontal="right" wrapText="1"/>
    </xf>
    <xf numFmtId="2" fontId="0" fillId="0" borderId="0" xfId="61" applyNumberFormat="1" applyFont="1" applyFill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wrapText="1"/>
    </xf>
    <xf numFmtId="4" fontId="24" fillId="0" borderId="1" xfId="33" applyFont="1" applyFill="1" applyAlignment="1" applyProtection="1">
      <alignment horizontal="right" shrinkToFit="1"/>
      <protection/>
    </xf>
    <xf numFmtId="2" fontId="18" fillId="0" borderId="11" xfId="61" applyNumberFormat="1" applyFont="1" applyFill="1" applyBorder="1" applyAlignment="1">
      <alignment horizontal="right" wrapText="1"/>
    </xf>
    <xf numFmtId="0" fontId="23" fillId="0" borderId="12" xfId="0" applyFont="1" applyFill="1" applyBorder="1" applyAlignment="1">
      <alignment wrapText="1"/>
    </xf>
    <xf numFmtId="2" fontId="17" fillId="0" borderId="11" xfId="0" applyNumberFormat="1" applyFont="1" applyFill="1" applyBorder="1" applyAlignment="1">
      <alignment horizontal="right" wrapText="1"/>
    </xf>
    <xf numFmtId="2" fontId="17" fillId="0" borderId="16" xfId="0" applyNumberFormat="1" applyFont="1" applyFill="1" applyBorder="1" applyAlignment="1">
      <alignment horizontal="right" wrapText="1"/>
    </xf>
    <xf numFmtId="2" fontId="18" fillId="34" borderId="11" xfId="0" applyNumberFormat="1" applyFont="1" applyFill="1" applyBorder="1" applyAlignment="1">
      <alignment wrapText="1"/>
    </xf>
    <xf numFmtId="2" fontId="18" fillId="0" borderId="11" xfId="61" applyNumberFormat="1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41" fontId="18" fillId="0" borderId="0" xfId="61" applyFont="1" applyFill="1" applyAlignment="1">
      <alignment wrapText="1"/>
    </xf>
    <xf numFmtId="41" fontId="18" fillId="0" borderId="0" xfId="61" applyFont="1" applyFill="1" applyAlignment="1">
      <alignment horizontal="right" wrapText="1"/>
    </xf>
    <xf numFmtId="0" fontId="14" fillId="0" borderId="12" xfId="0" applyFont="1" applyFill="1" applyBorder="1" applyAlignment="1">
      <alignment wrapText="1"/>
    </xf>
    <xf numFmtId="0" fontId="14" fillId="0" borderId="0" xfId="0" applyFont="1" applyFill="1" applyAlignment="1">
      <alignment/>
    </xf>
    <xf numFmtId="41" fontId="14" fillId="0" borderId="0" xfId="61" applyFont="1" applyFill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1" fontId="25" fillId="0" borderId="15" xfId="61" applyFont="1" applyFill="1" applyBorder="1" applyAlignment="1">
      <alignment horizontal="center" vertical="center" wrapText="1"/>
    </xf>
    <xf numFmtId="41" fontId="25" fillId="0" borderId="18" xfId="6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1" xfId="61" applyNumberFormat="1" applyFont="1" applyFill="1" applyBorder="1" applyAlignment="1">
      <alignment horizontal="center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3" xfId="61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right" wrapText="1"/>
    </xf>
    <xf numFmtId="41" fontId="14" fillId="0" borderId="11" xfId="6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41" fontId="14" fillId="0" borderId="13" xfId="6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left" wrapText="1"/>
    </xf>
    <xf numFmtId="4" fontId="14" fillId="0" borderId="11" xfId="0" applyNumberFormat="1" applyFont="1" applyFill="1" applyBorder="1" applyAlignment="1">
      <alignment horizontal="righ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horizontal="right" wrapText="1"/>
    </xf>
    <xf numFmtId="2" fontId="25" fillId="0" borderId="11" xfId="57" applyNumberFormat="1" applyFont="1" applyFill="1" applyBorder="1" applyAlignment="1">
      <alignment wrapText="1"/>
    </xf>
    <xf numFmtId="2" fontId="25" fillId="0" borderId="13" xfId="61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center" wrapText="1"/>
    </xf>
    <xf numFmtId="4" fontId="14" fillId="34" borderId="11" xfId="0" applyNumberFormat="1" applyFont="1" applyFill="1" applyBorder="1" applyAlignment="1">
      <alignment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" fontId="28" fillId="0" borderId="11" xfId="0" applyNumberFormat="1" applyFont="1" applyFill="1" applyBorder="1" applyAlignment="1">
      <alignment wrapText="1"/>
    </xf>
    <xf numFmtId="2" fontId="28" fillId="0" borderId="11" xfId="57" applyNumberFormat="1" applyFont="1" applyFill="1" applyBorder="1" applyAlignment="1">
      <alignment wrapText="1"/>
    </xf>
    <xf numFmtId="2" fontId="28" fillId="0" borderId="13" xfId="61" applyNumberFormat="1" applyFont="1" applyFill="1" applyBorder="1" applyAlignment="1">
      <alignment horizontal="right" wrapText="1"/>
    </xf>
    <xf numFmtId="0" fontId="29" fillId="0" borderId="12" xfId="0" applyFont="1" applyFill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30" fillId="0" borderId="11" xfId="61" applyNumberFormat="1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" fontId="25" fillId="0" borderId="11" xfId="0" applyNumberFormat="1" applyFont="1" applyFill="1" applyBorder="1" applyAlignment="1">
      <alignment wrapText="1"/>
    </xf>
    <xf numFmtId="2" fontId="25" fillId="0" borderId="11" xfId="61" applyNumberFormat="1" applyFont="1" applyFill="1" applyBorder="1" applyAlignment="1">
      <alignment wrapText="1"/>
    </xf>
    <xf numFmtId="41" fontId="25" fillId="0" borderId="11" xfId="6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41" fontId="9" fillId="0" borderId="11" xfId="61" applyFont="1" applyFill="1" applyBorder="1" applyAlignment="1">
      <alignment wrapText="1"/>
    </xf>
    <xf numFmtId="41" fontId="9" fillId="0" borderId="11" xfId="61" applyFont="1" applyFill="1" applyBorder="1" applyAlignment="1">
      <alignment horizontal="right" wrapText="1"/>
    </xf>
    <xf numFmtId="0" fontId="32" fillId="0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41" fontId="25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SheetLayoutView="100" workbookViewId="0" topLeftCell="A43">
      <selection activeCell="C60" sqref="C60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338" t="s">
        <v>311</v>
      </c>
      <c r="B1" s="338"/>
      <c r="C1" s="338"/>
      <c r="D1" s="338"/>
      <c r="E1" s="33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317</v>
      </c>
      <c r="C3" s="32" t="s">
        <v>312</v>
      </c>
      <c r="D3" s="19" t="s">
        <v>318</v>
      </c>
      <c r="E3" s="36" t="s">
        <v>319</v>
      </c>
    </row>
    <row r="4" spans="1:5" s="56" customFormat="1" ht="10.5" customHeight="1">
      <c r="A4" s="52">
        <v>1</v>
      </c>
      <c r="B4" s="236">
        <v>2</v>
      </c>
      <c r="C4" s="53">
        <v>3</v>
      </c>
      <c r="D4" s="54">
        <v>4</v>
      </c>
      <c r="E4" s="55">
        <v>5</v>
      </c>
    </row>
    <row r="5" spans="1:5" s="59" customFormat="1" ht="12.75">
      <c r="A5" s="22" t="s">
        <v>2</v>
      </c>
      <c r="B5" s="11"/>
      <c r="C5" s="57"/>
      <c r="D5" s="31"/>
      <c r="E5" s="58"/>
    </row>
    <row r="6" spans="1:5" s="9" customFormat="1" ht="12.75" customHeight="1" hidden="1">
      <c r="A6" s="60" t="s">
        <v>25</v>
      </c>
      <c r="B6" s="61"/>
      <c r="C6" s="61" t="e">
        <f>SUM(C7,C11,C16,C19,#REF!,#REF!,C10,)</f>
        <v>#REF!</v>
      </c>
      <c r="D6" s="62" t="e">
        <f>IF(#REF!=0,"   ",C6/#REF!)</f>
        <v>#REF!</v>
      </c>
      <c r="E6" s="63" t="e">
        <f>C6-#REF!</f>
        <v>#REF!</v>
      </c>
    </row>
    <row r="7" spans="1:5" s="67" customFormat="1" ht="12.75">
      <c r="A7" s="64" t="s">
        <v>45</v>
      </c>
      <c r="B7" s="196">
        <f>SUM(B9)</f>
        <v>140500</v>
      </c>
      <c r="C7" s="196">
        <f>C9</f>
        <v>7009.27</v>
      </c>
      <c r="D7" s="65">
        <f>IF(B7=0,"   ",C7/B7*100)</f>
        <v>4.988804270462634</v>
      </c>
      <c r="E7" s="66">
        <f>C7-B7</f>
        <v>-133490.73</v>
      </c>
    </row>
    <row r="8" spans="1:5" s="59" customFormat="1" ht="12.75" customHeight="1" hidden="1">
      <c r="A8" s="41" t="s">
        <v>3</v>
      </c>
      <c r="B8" s="197">
        <v>387940</v>
      </c>
      <c r="C8" s="198">
        <v>217766</v>
      </c>
      <c r="D8" s="65" t="e">
        <f>IF(#REF!=0,"   ",C8/#REF!)</f>
        <v>#REF!</v>
      </c>
      <c r="E8" s="66" t="e">
        <f>C8-#REF!</f>
        <v>#REF!</v>
      </c>
    </row>
    <row r="9" spans="1:5" s="59" customFormat="1" ht="12.75">
      <c r="A9" s="41" t="s">
        <v>112</v>
      </c>
      <c r="B9" s="197">
        <v>140500</v>
      </c>
      <c r="C9" s="225">
        <v>7009.27</v>
      </c>
      <c r="D9" s="65">
        <f>IF(B9=0,"   ",C9/B9*100)</f>
        <v>4.988804270462634</v>
      </c>
      <c r="E9" s="66">
        <f>C9-B9</f>
        <v>-133490.73</v>
      </c>
    </row>
    <row r="10" spans="1:5" s="59" customFormat="1" ht="12.75" customHeight="1" hidden="1">
      <c r="A10" s="41" t="s">
        <v>24</v>
      </c>
      <c r="B10" s="197"/>
      <c r="C10" s="198">
        <v>175</v>
      </c>
      <c r="D10" s="65"/>
      <c r="E10" s="66"/>
    </row>
    <row r="11" spans="1:5" s="67" customFormat="1" ht="12.75" customHeight="1" hidden="1">
      <c r="A11" s="41" t="s">
        <v>4</v>
      </c>
      <c r="B11" s="197">
        <f>SUM(B12:B13)</f>
        <v>1848003</v>
      </c>
      <c r="C11" s="197">
        <f>SUM(C12:C13)</f>
        <v>1704024</v>
      </c>
      <c r="D11" s="65" t="e">
        <f>IF(#REF!=0,"   ",C11/#REF!)</f>
        <v>#REF!</v>
      </c>
      <c r="E11" s="66" t="e">
        <f>C11-#REF!</f>
        <v>#REF!</v>
      </c>
    </row>
    <row r="12" spans="1:5" s="59" customFormat="1" ht="12.75" customHeight="1" hidden="1">
      <c r="A12" s="41" t="s">
        <v>5</v>
      </c>
      <c r="B12" s="197">
        <v>17853</v>
      </c>
      <c r="C12" s="198">
        <v>13730</v>
      </c>
      <c r="D12" s="65" t="e">
        <f>IF(#REF!=0,"   ",C12/#REF!)</f>
        <v>#REF!</v>
      </c>
      <c r="E12" s="66" t="e">
        <f>C12-#REF!</f>
        <v>#REF!</v>
      </c>
    </row>
    <row r="13" spans="1:5" s="59" customFormat="1" ht="12.75" customHeight="1" hidden="1">
      <c r="A13" s="41" t="s">
        <v>6</v>
      </c>
      <c r="B13" s="197">
        <v>1830150</v>
      </c>
      <c r="C13" s="198">
        <v>1690294</v>
      </c>
      <c r="D13" s="65" t="e">
        <f>IF(#REF!=0,"   ",C13/#REF!)</f>
        <v>#REF!</v>
      </c>
      <c r="E13" s="66" t="e">
        <f>C13-#REF!</f>
        <v>#REF!</v>
      </c>
    </row>
    <row r="14" spans="1:5" s="59" customFormat="1" ht="12.75" customHeight="1">
      <c r="A14" s="64" t="s">
        <v>137</v>
      </c>
      <c r="B14" s="196">
        <f>SUM(B15)</f>
        <v>608800</v>
      </c>
      <c r="C14" s="196">
        <f>SUM(C15)</f>
        <v>48855.55</v>
      </c>
      <c r="D14" s="65">
        <f>IF(B14=0,"   ",C14/B14*100)</f>
        <v>8.024893232588699</v>
      </c>
      <c r="E14" s="66">
        <f>C14-B14</f>
        <v>-559944.45</v>
      </c>
    </row>
    <row r="15" spans="1:5" s="59" customFormat="1" ht="15.75" customHeight="1">
      <c r="A15" s="41" t="s">
        <v>138</v>
      </c>
      <c r="B15" s="197">
        <v>608800</v>
      </c>
      <c r="C15" s="225">
        <v>48855.55</v>
      </c>
      <c r="D15" s="65">
        <f>IF(B15=0,"   ",C15/B15*100)</f>
        <v>8.024893232588699</v>
      </c>
      <c r="E15" s="66">
        <f>C15-B15</f>
        <v>-559944.45</v>
      </c>
    </row>
    <row r="16" spans="1:5" s="67" customFormat="1" ht="17.25" customHeight="1">
      <c r="A16" s="41" t="s">
        <v>7</v>
      </c>
      <c r="B16" s="196">
        <f>SUM(B18)</f>
        <v>40800</v>
      </c>
      <c r="C16" s="197">
        <f>SUM(C18:C18)</f>
        <v>-163.8</v>
      </c>
      <c r="D16" s="65">
        <f>IF(B16=0,"   ",C16/B16*100)</f>
        <v>-0.40147058823529413</v>
      </c>
      <c r="E16" s="66">
        <f>C16-B16</f>
        <v>-40963.8</v>
      </c>
    </row>
    <row r="17" spans="1:5" s="59" customFormat="1" ht="12.75" customHeight="1" hidden="1">
      <c r="A17" s="41" t="s">
        <v>8</v>
      </c>
      <c r="B17" s="197">
        <v>103725</v>
      </c>
      <c r="C17" s="198">
        <v>92515</v>
      </c>
      <c r="D17" s="65" t="e">
        <f>IF(#REF!=0,"   ",C17/#REF!)</f>
        <v>#REF!</v>
      </c>
      <c r="E17" s="66" t="e">
        <f>C17-#REF!</f>
        <v>#REF!</v>
      </c>
    </row>
    <row r="18" spans="1:5" s="59" customFormat="1" ht="17.25" customHeight="1">
      <c r="A18" s="41" t="s">
        <v>113</v>
      </c>
      <c r="B18" s="197">
        <v>40800</v>
      </c>
      <c r="C18" s="225">
        <v>-163.8</v>
      </c>
      <c r="D18" s="65">
        <f aca="true" t="shared" si="0" ref="D18:D36">IF(B18=0,"   ",C18/B18*100)</f>
        <v>-0.40147058823529413</v>
      </c>
      <c r="E18" s="66">
        <f aca="true" t="shared" si="1" ref="E18:E36">C18-B18</f>
        <v>-40963.8</v>
      </c>
    </row>
    <row r="19" spans="1:5" s="59" customFormat="1" ht="18" customHeight="1">
      <c r="A19" s="41" t="s">
        <v>9</v>
      </c>
      <c r="B19" s="197">
        <f>SUM(B20:B21)</f>
        <v>755000</v>
      </c>
      <c r="C19" s="197">
        <f>SUM(C20:C21)</f>
        <v>10182.15</v>
      </c>
      <c r="D19" s="65">
        <f t="shared" si="0"/>
        <v>1.3486291390728478</v>
      </c>
      <c r="E19" s="66">
        <f t="shared" si="1"/>
        <v>-744817.85</v>
      </c>
    </row>
    <row r="20" spans="1:5" s="59" customFormat="1" ht="12.75">
      <c r="A20" s="41" t="s">
        <v>114</v>
      </c>
      <c r="B20" s="197">
        <v>260000</v>
      </c>
      <c r="C20" s="225">
        <v>1629.81</v>
      </c>
      <c r="D20" s="65">
        <f t="shared" si="0"/>
        <v>0.62685</v>
      </c>
      <c r="E20" s="66">
        <f t="shared" si="1"/>
        <v>-258370.19</v>
      </c>
    </row>
    <row r="21" spans="1:5" s="59" customFormat="1" ht="16.5" customHeight="1">
      <c r="A21" s="41" t="s">
        <v>160</v>
      </c>
      <c r="B21" s="197">
        <f>SUM(B22:B23)</f>
        <v>495000</v>
      </c>
      <c r="C21" s="197">
        <f>SUM(C22:C23)</f>
        <v>8552.34</v>
      </c>
      <c r="D21" s="65">
        <f t="shared" si="0"/>
        <v>1.7277454545454547</v>
      </c>
      <c r="E21" s="66">
        <f t="shared" si="1"/>
        <v>-486447.66</v>
      </c>
    </row>
    <row r="22" spans="1:5" s="59" customFormat="1" ht="12.75">
      <c r="A22" s="41" t="s">
        <v>161</v>
      </c>
      <c r="B22" s="197">
        <v>238600</v>
      </c>
      <c r="C22" s="225">
        <v>6879</v>
      </c>
      <c r="D22" s="65">
        <f t="shared" si="0"/>
        <v>2.8830678960603517</v>
      </c>
      <c r="E22" s="66">
        <f t="shared" si="1"/>
        <v>-231721</v>
      </c>
    </row>
    <row r="23" spans="1:5" s="59" customFormat="1" ht="12.75">
      <c r="A23" s="41" t="s">
        <v>162</v>
      </c>
      <c r="B23" s="197">
        <v>256400</v>
      </c>
      <c r="C23" s="225">
        <v>1673.34</v>
      </c>
      <c r="D23" s="65">
        <f t="shared" si="0"/>
        <v>0.6526287051482058</v>
      </c>
      <c r="E23" s="66">
        <f t="shared" si="1"/>
        <v>-254726.66</v>
      </c>
    </row>
    <row r="24" spans="1:5" s="59" customFormat="1" ht="12.75">
      <c r="A24" s="41" t="s">
        <v>195</v>
      </c>
      <c r="B24" s="197">
        <v>0</v>
      </c>
      <c r="C24" s="225">
        <v>0</v>
      </c>
      <c r="D24" s="65" t="str">
        <f t="shared" si="0"/>
        <v>   </v>
      </c>
      <c r="E24" s="66">
        <f t="shared" si="1"/>
        <v>0</v>
      </c>
    </row>
    <row r="25" spans="1:5" s="59" customFormat="1" ht="19.5" customHeight="1">
      <c r="A25" s="41" t="s">
        <v>88</v>
      </c>
      <c r="B25" s="197">
        <v>0</v>
      </c>
      <c r="C25" s="197">
        <v>0</v>
      </c>
      <c r="D25" s="65" t="str">
        <f t="shared" si="0"/>
        <v>   </v>
      </c>
      <c r="E25" s="66">
        <f t="shared" si="1"/>
        <v>0</v>
      </c>
    </row>
    <row r="26" spans="1:5" s="59" customFormat="1" ht="24.75" customHeight="1">
      <c r="A26" s="41" t="s">
        <v>28</v>
      </c>
      <c r="B26" s="197">
        <f>SUM(B27:B30)</f>
        <v>463600</v>
      </c>
      <c r="C26" s="197">
        <f>SUM(C27:C30)</f>
        <v>47024.9</v>
      </c>
      <c r="D26" s="65">
        <f t="shared" si="0"/>
        <v>10.14342105263158</v>
      </c>
      <c r="E26" s="66">
        <f t="shared" si="1"/>
        <v>-416575.1</v>
      </c>
    </row>
    <row r="27" spans="1:5" s="59" customFormat="1" ht="12.75">
      <c r="A27" s="41" t="s">
        <v>152</v>
      </c>
      <c r="B27" s="197">
        <v>453600</v>
      </c>
      <c r="C27" s="225">
        <v>47024.9</v>
      </c>
      <c r="D27" s="65">
        <f t="shared" si="0"/>
        <v>10.367041446208113</v>
      </c>
      <c r="E27" s="66">
        <f t="shared" si="1"/>
        <v>-406575.1</v>
      </c>
    </row>
    <row r="28" spans="1:5" s="59" customFormat="1" ht="15.75" customHeight="1">
      <c r="A28" s="41" t="s">
        <v>30</v>
      </c>
      <c r="B28" s="197">
        <v>0</v>
      </c>
      <c r="C28" s="198">
        <v>0</v>
      </c>
      <c r="D28" s="65" t="str">
        <f t="shared" si="0"/>
        <v>   </v>
      </c>
      <c r="E28" s="66">
        <f t="shared" si="1"/>
        <v>0</v>
      </c>
    </row>
    <row r="29" spans="1:5" s="59" customFormat="1" ht="24.75" customHeight="1">
      <c r="A29" s="16" t="s">
        <v>260</v>
      </c>
      <c r="B29" s="197">
        <v>0</v>
      </c>
      <c r="C29" s="271">
        <v>0</v>
      </c>
      <c r="D29" s="65"/>
      <c r="E29" s="66"/>
    </row>
    <row r="30" spans="1:5" s="59" customFormat="1" ht="44.25" customHeight="1">
      <c r="A30" s="16" t="s">
        <v>223</v>
      </c>
      <c r="B30" s="31">
        <v>10000</v>
      </c>
      <c r="C30" s="232">
        <v>0</v>
      </c>
      <c r="D30" s="65">
        <f t="shared" si="0"/>
        <v>0</v>
      </c>
      <c r="E30" s="66">
        <f t="shared" si="1"/>
        <v>-10000</v>
      </c>
    </row>
    <row r="31" spans="1:5" s="59" customFormat="1" ht="18.75" customHeight="1">
      <c r="A31" s="41" t="s">
        <v>91</v>
      </c>
      <c r="B31" s="196">
        <v>0</v>
      </c>
      <c r="C31" s="198">
        <v>0</v>
      </c>
      <c r="D31" s="65" t="str">
        <f t="shared" si="0"/>
        <v>   </v>
      </c>
      <c r="E31" s="66">
        <f t="shared" si="1"/>
        <v>0</v>
      </c>
    </row>
    <row r="32" spans="1:5" s="59" customFormat="1" ht="16.5" customHeight="1">
      <c r="A32" s="41" t="s">
        <v>78</v>
      </c>
      <c r="B32" s="196">
        <f>B33+B34</f>
        <v>0</v>
      </c>
      <c r="C32" s="196">
        <f>C33+C34</f>
        <v>0</v>
      </c>
      <c r="D32" s="65" t="str">
        <f t="shared" si="0"/>
        <v>   </v>
      </c>
      <c r="E32" s="66">
        <f t="shared" si="1"/>
        <v>0</v>
      </c>
    </row>
    <row r="33" spans="1:5" s="59" customFormat="1" ht="16.5" customHeight="1">
      <c r="A33" s="41" t="s">
        <v>134</v>
      </c>
      <c r="B33" s="196">
        <v>0</v>
      </c>
      <c r="C33" s="225">
        <v>0</v>
      </c>
      <c r="D33" s="65" t="str">
        <f t="shared" si="0"/>
        <v>   </v>
      </c>
      <c r="E33" s="66">
        <f t="shared" si="1"/>
        <v>0</v>
      </c>
    </row>
    <row r="34" spans="1:5" s="59" customFormat="1" ht="27.75" customHeight="1">
      <c r="A34" s="41" t="s">
        <v>203</v>
      </c>
      <c r="B34" s="197">
        <v>0</v>
      </c>
      <c r="C34" s="199">
        <v>0</v>
      </c>
      <c r="D34" s="65" t="str">
        <f t="shared" si="0"/>
        <v>   </v>
      </c>
      <c r="E34" s="66">
        <f t="shared" si="1"/>
        <v>0</v>
      </c>
    </row>
    <row r="35" spans="1:5" s="59" customFormat="1" ht="15.75" customHeight="1">
      <c r="A35" s="16" t="s">
        <v>31</v>
      </c>
      <c r="B35" s="197">
        <v>0</v>
      </c>
      <c r="C35" s="199">
        <v>0</v>
      </c>
      <c r="D35" s="65" t="str">
        <f t="shared" si="0"/>
        <v>   </v>
      </c>
      <c r="E35" s="66">
        <f t="shared" si="1"/>
        <v>0</v>
      </c>
    </row>
    <row r="36" spans="1:5" s="59" customFormat="1" ht="15" customHeight="1">
      <c r="A36" s="41" t="s">
        <v>32</v>
      </c>
      <c r="B36" s="197">
        <f>B39+B40</f>
        <v>0</v>
      </c>
      <c r="C36" s="197">
        <f>SUM(C39:C40)</f>
        <v>0.64</v>
      </c>
      <c r="D36" s="65" t="str">
        <f t="shared" si="0"/>
        <v>   </v>
      </c>
      <c r="E36" s="66">
        <f t="shared" si="1"/>
        <v>0.64</v>
      </c>
    </row>
    <row r="37" spans="1:5" s="59" customFormat="1" ht="12.75" customHeight="1" hidden="1">
      <c r="A37" s="69" t="s">
        <v>33</v>
      </c>
      <c r="B37" s="197"/>
      <c r="C37" s="200"/>
      <c r="D37" s="65" t="e">
        <f>IF(#REF!=0,"   ",C37/#REF!)</f>
        <v>#REF!</v>
      </c>
      <c r="E37" s="66" t="e">
        <f>C37-#REF!</f>
        <v>#REF!</v>
      </c>
    </row>
    <row r="38" spans="1:5" s="9" customFormat="1" ht="12.75" customHeight="1" hidden="1">
      <c r="A38" s="69" t="s">
        <v>16</v>
      </c>
      <c r="B38" s="201" t="e">
        <f>SUM(B45,#REF!,#REF!,#REF!)</f>
        <v>#REF!</v>
      </c>
      <c r="C38" s="202" t="e">
        <f>SUM(C45,#REF!,#REF!,#REF!)</f>
        <v>#REF!</v>
      </c>
      <c r="D38" s="65" t="e">
        <f>IF(#REF!=0,"   ",C38/#REF!)</f>
        <v>#REF!</v>
      </c>
      <c r="E38" s="66" t="e">
        <f>C38-#REF!</f>
        <v>#REF!</v>
      </c>
    </row>
    <row r="39" spans="1:5" s="9" customFormat="1" ht="12.75">
      <c r="A39" s="41" t="s">
        <v>133</v>
      </c>
      <c r="B39" s="203">
        <v>0</v>
      </c>
      <c r="C39" s="196">
        <v>0.64</v>
      </c>
      <c r="D39" s="65" t="str">
        <f>IF(B39=0,"   ",C39/B39*100)</f>
        <v>   </v>
      </c>
      <c r="E39" s="66">
        <f>C39-B39</f>
        <v>0.64</v>
      </c>
    </row>
    <row r="40" spans="1:5" s="9" customFormat="1" ht="15" customHeight="1">
      <c r="A40" s="41" t="s">
        <v>108</v>
      </c>
      <c r="B40" s="197">
        <v>0</v>
      </c>
      <c r="C40" s="196">
        <v>0</v>
      </c>
      <c r="D40" s="65" t="str">
        <f>IF(B40=0,"   ",C40/B40*100)</f>
        <v>   </v>
      </c>
      <c r="E40" s="66">
        <f>C40-B40</f>
        <v>0</v>
      </c>
    </row>
    <row r="41" spans="1:5" s="9" customFormat="1" ht="12.75" customHeight="1" hidden="1">
      <c r="A41" s="41" t="s">
        <v>46</v>
      </c>
      <c r="B41" s="201"/>
      <c r="C41" s="196">
        <v>0</v>
      </c>
      <c r="D41" s="65" t="e">
        <f>IF(#REF!=0,"   ",C41/#REF!)</f>
        <v>#REF!</v>
      </c>
      <c r="E41" s="66" t="e">
        <f>C41-#REF!</f>
        <v>#REF!</v>
      </c>
    </row>
    <row r="42" spans="1:5" s="9" customFormat="1" ht="0.75" customHeight="1" hidden="1">
      <c r="A42" s="87" t="s">
        <v>47</v>
      </c>
      <c r="B42" s="204">
        <v>1250</v>
      </c>
      <c r="C42" s="205"/>
      <c r="D42" s="89" t="e">
        <f>IF(#REF!=0,"   ",C42/#REF!)</f>
        <v>#REF!</v>
      </c>
      <c r="E42" s="90" t="e">
        <f>C42-#REF!</f>
        <v>#REF!</v>
      </c>
    </row>
    <row r="43" spans="1:5" s="9" customFormat="1" ht="22.5" customHeight="1">
      <c r="A43" s="185" t="s">
        <v>10</v>
      </c>
      <c r="B43" s="149">
        <f>B7+B16+B19+B25+B26+B31+B32+B36+B14+B35+B24</f>
        <v>2008700</v>
      </c>
      <c r="C43" s="43">
        <f>C7+C16+C19+C25+C26+C31+C32+C36+C14+C35+C24</f>
        <v>112908.71</v>
      </c>
      <c r="D43" s="140">
        <f aca="true" t="shared" si="2" ref="D43:D59">IF(B43=0,"   ",C43/B43*100)</f>
        <v>5.620984218648878</v>
      </c>
      <c r="E43" s="186">
        <f aca="true" t="shared" si="3" ref="E43:E59">C43-B43</f>
        <v>-1895791.29</v>
      </c>
    </row>
    <row r="44" spans="1:5" s="9" customFormat="1" ht="18.75" customHeight="1">
      <c r="A44" s="179" t="s">
        <v>140</v>
      </c>
      <c r="B44" s="207">
        <f>SUM(B45:B48,B51:B54,B59)</f>
        <v>2602700</v>
      </c>
      <c r="C44" s="208">
        <f>SUM(C45:C48,C51:C54,C59)</f>
        <v>138960</v>
      </c>
      <c r="D44" s="65">
        <f t="shared" si="2"/>
        <v>5.339070964767357</v>
      </c>
      <c r="E44" s="68">
        <f t="shared" si="3"/>
        <v>-2463740</v>
      </c>
    </row>
    <row r="45" spans="1:5" s="59" customFormat="1" ht="19.5" customHeight="1">
      <c r="A45" s="91" t="s">
        <v>34</v>
      </c>
      <c r="B45" s="208">
        <v>1561800</v>
      </c>
      <c r="C45" s="225">
        <v>128960</v>
      </c>
      <c r="D45" s="78">
        <f t="shared" si="2"/>
        <v>8.257139198360866</v>
      </c>
      <c r="E45" s="79">
        <f t="shared" si="3"/>
        <v>-1432840</v>
      </c>
    </row>
    <row r="46" spans="1:5" s="59" customFormat="1" ht="19.5" customHeight="1">
      <c r="A46" s="17" t="s">
        <v>226</v>
      </c>
      <c r="B46" s="208">
        <v>0</v>
      </c>
      <c r="C46" s="225">
        <v>0</v>
      </c>
      <c r="D46" s="78" t="str">
        <f>IF(B46=0,"   ",C46/B46*100)</f>
        <v>   </v>
      </c>
      <c r="E46" s="79">
        <f>C46-B46</f>
        <v>0</v>
      </c>
    </row>
    <row r="47" spans="1:5" s="59" customFormat="1" ht="30" customHeight="1">
      <c r="A47" s="108" t="s">
        <v>51</v>
      </c>
      <c r="B47" s="234">
        <v>103400</v>
      </c>
      <c r="C47" s="232">
        <v>10000</v>
      </c>
      <c r="D47" s="109">
        <f t="shared" si="2"/>
        <v>9.671179883945841</v>
      </c>
      <c r="E47" s="110">
        <f t="shared" si="3"/>
        <v>-93400</v>
      </c>
    </row>
    <row r="48" spans="1:5" s="59" customFormat="1" ht="30" customHeight="1">
      <c r="A48" s="108" t="s">
        <v>148</v>
      </c>
      <c r="B48" s="234">
        <f>SUM(B49:B50)</f>
        <v>100</v>
      </c>
      <c r="C48" s="234">
        <f>SUM(C49:C50)</f>
        <v>0</v>
      </c>
      <c r="D48" s="109">
        <f t="shared" si="2"/>
        <v>0</v>
      </c>
      <c r="E48" s="110">
        <f t="shared" si="3"/>
        <v>-100</v>
      </c>
    </row>
    <row r="49" spans="1:5" s="59" customFormat="1" ht="18" customHeight="1">
      <c r="A49" s="108" t="s">
        <v>163</v>
      </c>
      <c r="B49" s="234">
        <v>100</v>
      </c>
      <c r="C49" s="234">
        <v>0</v>
      </c>
      <c r="D49" s="109">
        <f t="shared" si="2"/>
        <v>0</v>
      </c>
      <c r="E49" s="110">
        <f t="shared" si="3"/>
        <v>-100</v>
      </c>
    </row>
    <row r="50" spans="1:5" s="59" customFormat="1" ht="30" customHeight="1">
      <c r="A50" s="108" t="s">
        <v>164</v>
      </c>
      <c r="B50" s="234">
        <v>0</v>
      </c>
      <c r="C50" s="234">
        <v>0</v>
      </c>
      <c r="D50" s="109" t="str">
        <f t="shared" si="2"/>
        <v>   </v>
      </c>
      <c r="E50" s="110">
        <f t="shared" si="3"/>
        <v>0</v>
      </c>
    </row>
    <row r="51" spans="1:5" s="59" customFormat="1" ht="31.5" customHeight="1">
      <c r="A51" s="16" t="s">
        <v>103</v>
      </c>
      <c r="B51" s="234">
        <v>0</v>
      </c>
      <c r="C51" s="234">
        <v>0</v>
      </c>
      <c r="D51" s="109" t="str">
        <f t="shared" si="2"/>
        <v>   </v>
      </c>
      <c r="E51" s="110">
        <f t="shared" si="3"/>
        <v>0</v>
      </c>
    </row>
    <row r="52" spans="1:5" s="59" customFormat="1" ht="30" customHeight="1">
      <c r="A52" s="16" t="s">
        <v>285</v>
      </c>
      <c r="B52" s="234">
        <v>0</v>
      </c>
      <c r="C52" s="234">
        <v>0</v>
      </c>
      <c r="D52" s="109" t="str">
        <f t="shared" si="2"/>
        <v>   </v>
      </c>
      <c r="E52" s="110">
        <f t="shared" si="3"/>
        <v>0</v>
      </c>
    </row>
    <row r="53" spans="1:5" s="59" customFormat="1" ht="41.25" customHeight="1">
      <c r="A53" s="16" t="s">
        <v>235</v>
      </c>
      <c r="B53" s="234">
        <v>570600</v>
      </c>
      <c r="C53" s="234">
        <v>0</v>
      </c>
      <c r="D53" s="109">
        <f t="shared" si="2"/>
        <v>0</v>
      </c>
      <c r="E53" s="110">
        <f t="shared" si="3"/>
        <v>-570600</v>
      </c>
    </row>
    <row r="54" spans="1:5" s="59" customFormat="1" ht="18" customHeight="1">
      <c r="A54" s="41" t="s">
        <v>54</v>
      </c>
      <c r="B54" s="31">
        <f>B58+B55+B56+B57</f>
        <v>366800</v>
      </c>
      <c r="C54" s="31">
        <f>C58+C55+C56+C57</f>
        <v>0</v>
      </c>
      <c r="D54" s="65">
        <f t="shared" si="2"/>
        <v>0</v>
      </c>
      <c r="E54" s="66">
        <f t="shared" si="3"/>
        <v>-366800</v>
      </c>
    </row>
    <row r="55" spans="1:5" s="59" customFormat="1" ht="18" customHeight="1">
      <c r="A55" s="46" t="s">
        <v>187</v>
      </c>
      <c r="B55" s="31">
        <v>0</v>
      </c>
      <c r="C55" s="31">
        <v>0</v>
      </c>
      <c r="D55" s="65" t="str">
        <f t="shared" si="2"/>
        <v>   </v>
      </c>
      <c r="E55" s="66">
        <f t="shared" si="3"/>
        <v>0</v>
      </c>
    </row>
    <row r="56" spans="1:5" s="59" customFormat="1" ht="18" customHeight="1">
      <c r="A56" s="46" t="s">
        <v>275</v>
      </c>
      <c r="B56" s="31">
        <v>0</v>
      </c>
      <c r="C56" s="31">
        <v>0</v>
      </c>
      <c r="D56" s="65" t="str">
        <f>IF(B56=0,"   ",C56/B56*100)</f>
        <v>   </v>
      </c>
      <c r="E56" s="66">
        <f>C56-B56</f>
        <v>0</v>
      </c>
    </row>
    <row r="57" spans="1:5" s="59" customFormat="1" ht="18" customHeight="1">
      <c r="A57" s="46" t="s">
        <v>284</v>
      </c>
      <c r="B57" s="31">
        <v>0</v>
      </c>
      <c r="C57" s="31">
        <v>0</v>
      </c>
      <c r="D57" s="65" t="str">
        <f>IF(B57=0,"   ",C57/B57*100)</f>
        <v>   </v>
      </c>
      <c r="E57" s="66">
        <f>C57-B57</f>
        <v>0</v>
      </c>
    </row>
    <row r="58" spans="1:5" s="59" customFormat="1" ht="20.25" customHeight="1">
      <c r="A58" s="46" t="s">
        <v>109</v>
      </c>
      <c r="B58" s="31">
        <v>366800</v>
      </c>
      <c r="C58" s="31">
        <v>0</v>
      </c>
      <c r="D58" s="65">
        <f t="shared" si="2"/>
        <v>0</v>
      </c>
      <c r="E58" s="66">
        <f t="shared" si="3"/>
        <v>-366800</v>
      </c>
    </row>
    <row r="59" spans="1:5" s="59" customFormat="1" ht="24.75" customHeight="1">
      <c r="A59" s="16" t="s">
        <v>197</v>
      </c>
      <c r="B59" s="31">
        <v>0</v>
      </c>
      <c r="C59" s="31">
        <v>0</v>
      </c>
      <c r="D59" s="65" t="str">
        <f t="shared" si="2"/>
        <v>   </v>
      </c>
      <c r="E59" s="66">
        <f t="shared" si="3"/>
        <v>0</v>
      </c>
    </row>
    <row r="60" spans="1:5" s="59" customFormat="1" ht="27" customHeight="1">
      <c r="A60" s="30" t="s">
        <v>11</v>
      </c>
      <c r="B60" s="149">
        <f>B43+B44</f>
        <v>4611400</v>
      </c>
      <c r="C60" s="43">
        <f>C43+C44</f>
        <v>251868.71000000002</v>
      </c>
      <c r="D60" s="140">
        <f aca="true" t="shared" si="4" ref="D60:D91">IF(B60=0,"   ",C60/B60*100)</f>
        <v>5.461870798456</v>
      </c>
      <c r="E60" s="141">
        <f aca="true" t="shared" si="5" ref="E60:E91">C60-B60</f>
        <v>-4359531.29</v>
      </c>
    </row>
    <row r="61" spans="1:5" s="8" customFormat="1" ht="13.5" thickBot="1">
      <c r="A61" s="105" t="s">
        <v>12</v>
      </c>
      <c r="B61" s="106"/>
      <c r="C61" s="107"/>
      <c r="D61" s="89"/>
      <c r="E61" s="90"/>
    </row>
    <row r="62" spans="1:5" s="59" customFormat="1" ht="18.75" customHeight="1" thickBot="1">
      <c r="A62" s="97" t="s">
        <v>35</v>
      </c>
      <c r="B62" s="98">
        <f>SUM(B63,B66:B67)</f>
        <v>1326600</v>
      </c>
      <c r="C62" s="98">
        <f>SUM(C63,C66:C67)</f>
        <v>25500</v>
      </c>
      <c r="D62" s="92">
        <f t="shared" si="4"/>
        <v>1.922207146087743</v>
      </c>
      <c r="E62" s="93">
        <f t="shared" si="5"/>
        <v>-1301100</v>
      </c>
    </row>
    <row r="63" spans="1:5" s="59" customFormat="1" ht="17.25" customHeight="1" thickBot="1">
      <c r="A63" s="95" t="s">
        <v>36</v>
      </c>
      <c r="B63" s="96">
        <v>1286100</v>
      </c>
      <c r="C63" s="98">
        <v>25500</v>
      </c>
      <c r="D63" s="78">
        <f t="shared" si="4"/>
        <v>1.9827385117797993</v>
      </c>
      <c r="E63" s="79">
        <f t="shared" si="5"/>
        <v>-1260600</v>
      </c>
    </row>
    <row r="64" spans="1:5" s="59" customFormat="1" ht="18" customHeight="1">
      <c r="A64" s="41" t="s">
        <v>120</v>
      </c>
      <c r="B64" s="31">
        <v>884793</v>
      </c>
      <c r="C64" s="70">
        <v>22000</v>
      </c>
      <c r="D64" s="65">
        <f t="shared" si="4"/>
        <v>2.486457284359166</v>
      </c>
      <c r="E64" s="66">
        <f t="shared" si="5"/>
        <v>-862793</v>
      </c>
    </row>
    <row r="65" spans="1:5" s="59" customFormat="1" ht="18" customHeight="1">
      <c r="A65" s="41" t="s">
        <v>276</v>
      </c>
      <c r="B65" s="31">
        <v>100</v>
      </c>
      <c r="C65" s="70">
        <v>0</v>
      </c>
      <c r="D65" s="65">
        <f>IF(B65=0,"   ",C65/B65*100)</f>
        <v>0</v>
      </c>
      <c r="E65" s="66">
        <f>C65-B65</f>
        <v>-100</v>
      </c>
    </row>
    <row r="66" spans="1:5" s="59" customFormat="1" ht="15.75" customHeight="1">
      <c r="A66" s="41" t="s">
        <v>95</v>
      </c>
      <c r="B66" s="31">
        <v>500</v>
      </c>
      <c r="C66" s="70">
        <v>0</v>
      </c>
      <c r="D66" s="65">
        <f t="shared" si="4"/>
        <v>0</v>
      </c>
      <c r="E66" s="66">
        <f t="shared" si="5"/>
        <v>-500</v>
      </c>
    </row>
    <row r="67" spans="1:5" s="59" customFormat="1" ht="12.75">
      <c r="A67" s="41" t="s">
        <v>52</v>
      </c>
      <c r="B67" s="31">
        <f>SUM(B68:B69)</f>
        <v>40000</v>
      </c>
      <c r="C67" s="31">
        <f>SUM(C68:C69)</f>
        <v>0</v>
      </c>
      <c r="D67" s="65">
        <f t="shared" si="4"/>
        <v>0</v>
      </c>
      <c r="E67" s="66">
        <f t="shared" si="5"/>
        <v>-40000</v>
      </c>
    </row>
    <row r="68" spans="1:5" s="59" customFormat="1" ht="28.5" customHeight="1">
      <c r="A68" s="104" t="s">
        <v>243</v>
      </c>
      <c r="B68" s="31">
        <v>40000</v>
      </c>
      <c r="C68" s="68">
        <v>0</v>
      </c>
      <c r="D68" s="65">
        <f t="shared" si="4"/>
        <v>0</v>
      </c>
      <c r="E68" s="68">
        <f t="shared" si="5"/>
        <v>-40000</v>
      </c>
    </row>
    <row r="69" spans="1:5" s="59" customFormat="1" ht="17.25" customHeight="1" thickBot="1">
      <c r="A69" s="188" t="s">
        <v>220</v>
      </c>
      <c r="B69" s="31">
        <v>0</v>
      </c>
      <c r="C69" s="68">
        <v>0</v>
      </c>
      <c r="D69" s="65" t="str">
        <f t="shared" si="4"/>
        <v>   </v>
      </c>
      <c r="E69" s="68">
        <f t="shared" si="5"/>
        <v>0</v>
      </c>
    </row>
    <row r="70" spans="1:5" s="59" customFormat="1" ht="13.5" thickBot="1">
      <c r="A70" s="97" t="s">
        <v>49</v>
      </c>
      <c r="B70" s="189">
        <f>SUM(B71)</f>
        <v>103400</v>
      </c>
      <c r="C70" s="189">
        <f>SUM(C71)</f>
        <v>2000</v>
      </c>
      <c r="D70" s="190">
        <f t="shared" si="4"/>
        <v>1.9342359767891684</v>
      </c>
      <c r="E70" s="191">
        <f t="shared" si="5"/>
        <v>-101400</v>
      </c>
    </row>
    <row r="71" spans="1:5" s="59" customFormat="1" ht="20.25" customHeight="1" thickBot="1">
      <c r="A71" s="75" t="s">
        <v>107</v>
      </c>
      <c r="B71" s="99">
        <v>103400</v>
      </c>
      <c r="C71" s="77">
        <v>2000</v>
      </c>
      <c r="D71" s="101">
        <f t="shared" si="4"/>
        <v>1.9342359767891684</v>
      </c>
      <c r="E71" s="102">
        <f t="shared" si="5"/>
        <v>-101400</v>
      </c>
    </row>
    <row r="72" spans="1:5" s="59" customFormat="1" ht="13.5" thickBot="1">
      <c r="A72" s="97" t="s">
        <v>37</v>
      </c>
      <c r="B72" s="98">
        <f>SUM(B73)</f>
        <v>1000</v>
      </c>
      <c r="C72" s="98">
        <f>SUM(C73)</f>
        <v>0</v>
      </c>
      <c r="D72" s="92">
        <f t="shared" si="4"/>
        <v>0</v>
      </c>
      <c r="E72" s="93">
        <f t="shared" si="5"/>
        <v>-1000</v>
      </c>
    </row>
    <row r="73" spans="1:5" s="59" customFormat="1" ht="13.5" thickBot="1">
      <c r="A73" s="75" t="s">
        <v>128</v>
      </c>
      <c r="B73" s="99">
        <v>1000</v>
      </c>
      <c r="C73" s="77">
        <v>0</v>
      </c>
      <c r="D73" s="101">
        <f t="shared" si="4"/>
        <v>0</v>
      </c>
      <c r="E73" s="102">
        <f t="shared" si="5"/>
        <v>-1000</v>
      </c>
    </row>
    <row r="74" spans="1:5" s="59" customFormat="1" ht="13.5" thickBot="1">
      <c r="A74" s="97" t="s">
        <v>38</v>
      </c>
      <c r="B74" s="98">
        <f>B75+B80+B92+B78</f>
        <v>1644873.66</v>
      </c>
      <c r="C74" s="98">
        <f>C75+C80+C92+C78</f>
        <v>10197.5</v>
      </c>
      <c r="D74" s="92">
        <f t="shared" si="4"/>
        <v>0.6199564287508866</v>
      </c>
      <c r="E74" s="93">
        <f t="shared" si="5"/>
        <v>-1634676.16</v>
      </c>
    </row>
    <row r="75" spans="1:5" s="59" customFormat="1" ht="19.5" customHeight="1" thickBot="1">
      <c r="A75" s="75" t="s">
        <v>165</v>
      </c>
      <c r="B75" s="98">
        <f>SUM(B76+B77)</f>
        <v>0</v>
      </c>
      <c r="C75" s="98">
        <f>SUM(C76+C77)</f>
        <v>0</v>
      </c>
      <c r="D75" s="92" t="str">
        <f>IF(B75=0,"   ",C75/B75*100)</f>
        <v>   </v>
      </c>
      <c r="E75" s="93">
        <f>C75-B75</f>
        <v>0</v>
      </c>
    </row>
    <row r="76" spans="1:5" s="59" customFormat="1" ht="17.25" customHeight="1" thickBot="1">
      <c r="A76" s="147" t="s">
        <v>166</v>
      </c>
      <c r="B76" s="238">
        <v>0</v>
      </c>
      <c r="C76" s="98">
        <v>0</v>
      </c>
      <c r="D76" s="92" t="str">
        <f>IF(B76=0,"   ",C76/B76*100)</f>
        <v>   </v>
      </c>
      <c r="E76" s="93">
        <f>C76-B76</f>
        <v>0</v>
      </c>
    </row>
    <row r="77" spans="1:5" s="59" customFormat="1" ht="17.25" customHeight="1" thickBot="1">
      <c r="A77" s="147" t="s">
        <v>188</v>
      </c>
      <c r="B77" s="99">
        <v>0</v>
      </c>
      <c r="C77" s="98">
        <v>0</v>
      </c>
      <c r="D77" s="92"/>
      <c r="E77" s="93"/>
    </row>
    <row r="78" spans="1:5" s="59" customFormat="1" ht="17.25" customHeight="1" thickBot="1">
      <c r="A78" s="75" t="s">
        <v>228</v>
      </c>
      <c r="B78" s="98">
        <f>SUM(B79)</f>
        <v>0</v>
      </c>
      <c r="C78" s="98">
        <f>SUM(C79)</f>
        <v>0</v>
      </c>
      <c r="D78" s="78" t="str">
        <f>IF(B78=0,"   ",C78/B78*100)</f>
        <v>   </v>
      </c>
      <c r="E78" s="79">
        <f>C78-B78</f>
        <v>0</v>
      </c>
    </row>
    <row r="79" spans="1:5" s="59" customFormat="1" ht="17.25" customHeight="1">
      <c r="A79" s="75" t="s">
        <v>229</v>
      </c>
      <c r="B79" s="99">
        <v>0</v>
      </c>
      <c r="C79" s="99">
        <v>0</v>
      </c>
      <c r="D79" s="78" t="str">
        <f>IF(B79=0,"   ",C79/B79*100)</f>
        <v>   </v>
      </c>
      <c r="E79" s="79">
        <f>C79-B79</f>
        <v>0</v>
      </c>
    </row>
    <row r="80" spans="1:5" s="59" customFormat="1" ht="18.75" customHeight="1">
      <c r="A80" s="147" t="s">
        <v>131</v>
      </c>
      <c r="B80" s="96">
        <f>SUM(B81:B82,B86:B91)</f>
        <v>1592600</v>
      </c>
      <c r="C80" s="96">
        <f>SUM(C81:C82,C86:C91)</f>
        <v>10197.5</v>
      </c>
      <c r="D80" s="78">
        <f t="shared" si="4"/>
        <v>0.6403051613713424</v>
      </c>
      <c r="E80" s="79">
        <f t="shared" si="5"/>
        <v>-1582402.5</v>
      </c>
    </row>
    <row r="81" spans="1:5" s="59" customFormat="1" ht="19.5" customHeight="1">
      <c r="A81" s="75" t="s">
        <v>149</v>
      </c>
      <c r="B81" s="31">
        <v>50000</v>
      </c>
      <c r="C81" s="31"/>
      <c r="D81" s="78">
        <f t="shared" si="4"/>
        <v>0</v>
      </c>
      <c r="E81" s="68">
        <f t="shared" si="5"/>
        <v>-50000</v>
      </c>
    </row>
    <row r="82" spans="1:5" s="59" customFormat="1" ht="19.5" customHeight="1">
      <c r="A82" s="104" t="s">
        <v>204</v>
      </c>
      <c r="B82" s="31">
        <f>SUM(B83:B85)</f>
        <v>0</v>
      </c>
      <c r="C82" s="31">
        <f>SUM(C83:C85)</f>
        <v>0</v>
      </c>
      <c r="D82" s="78" t="str">
        <f>IF(B82=0,"   ",C82/B82*100)</f>
        <v>   </v>
      </c>
      <c r="E82" s="68">
        <f>C82-B82</f>
        <v>0</v>
      </c>
    </row>
    <row r="83" spans="1:5" s="59" customFormat="1" ht="29.25" customHeight="1">
      <c r="A83" s="104" t="s">
        <v>214</v>
      </c>
      <c r="B83" s="31">
        <v>0</v>
      </c>
      <c r="C83" s="31">
        <v>0</v>
      </c>
      <c r="D83" s="78" t="str">
        <f>IF(B83=0,"   ",C83/B83*100)</f>
        <v>   </v>
      </c>
      <c r="E83" s="68">
        <f>C83-B83</f>
        <v>0</v>
      </c>
    </row>
    <row r="84" spans="1:5" s="59" customFormat="1" ht="27" customHeight="1">
      <c r="A84" s="104" t="s">
        <v>205</v>
      </c>
      <c r="B84" s="31">
        <v>0</v>
      </c>
      <c r="C84" s="31">
        <v>0</v>
      </c>
      <c r="D84" s="78" t="str">
        <f>IF(B84=0,"   ",C84/B84*100)</f>
        <v>   </v>
      </c>
      <c r="E84" s="68">
        <f>C84-B84</f>
        <v>0</v>
      </c>
    </row>
    <row r="85" spans="1:5" s="59" customFormat="1" ht="26.25" customHeight="1">
      <c r="A85" s="104" t="s">
        <v>215</v>
      </c>
      <c r="B85" s="31">
        <v>0</v>
      </c>
      <c r="C85" s="31">
        <v>0</v>
      </c>
      <c r="D85" s="78" t="str">
        <f>IF(B85=0,"   ",C85/B85*100)</f>
        <v>   </v>
      </c>
      <c r="E85" s="68">
        <f>C85-B85</f>
        <v>0</v>
      </c>
    </row>
    <row r="86" spans="1:5" s="59" customFormat="1" ht="33.75" customHeight="1">
      <c r="A86" s="71" t="s">
        <v>246</v>
      </c>
      <c r="B86" s="31">
        <v>446400</v>
      </c>
      <c r="C86" s="31">
        <v>0</v>
      </c>
      <c r="D86" s="78">
        <f t="shared" si="4"/>
        <v>0</v>
      </c>
      <c r="E86" s="103">
        <f t="shared" si="5"/>
        <v>-446400</v>
      </c>
    </row>
    <row r="87" spans="1:5" s="59" customFormat="1" ht="27" customHeight="1">
      <c r="A87" s="71" t="s">
        <v>247</v>
      </c>
      <c r="B87" s="31">
        <v>54600</v>
      </c>
      <c r="C87" s="31">
        <v>0</v>
      </c>
      <c r="D87" s="78">
        <f t="shared" si="4"/>
        <v>0</v>
      </c>
      <c r="E87" s="103">
        <f t="shared" si="5"/>
        <v>-54600</v>
      </c>
    </row>
    <row r="88" spans="1:5" s="59" customFormat="1" ht="27" customHeight="1">
      <c r="A88" s="71" t="s">
        <v>248</v>
      </c>
      <c r="B88" s="31">
        <v>570600</v>
      </c>
      <c r="C88" s="31">
        <v>0</v>
      </c>
      <c r="D88" s="78">
        <f t="shared" si="4"/>
        <v>0</v>
      </c>
      <c r="E88" s="103">
        <f t="shared" si="5"/>
        <v>-570600</v>
      </c>
    </row>
    <row r="89" spans="1:5" s="59" customFormat="1" ht="27" customHeight="1">
      <c r="A89" s="71" t="s">
        <v>249</v>
      </c>
      <c r="B89" s="31">
        <v>63400</v>
      </c>
      <c r="C89" s="31">
        <v>0</v>
      </c>
      <c r="D89" s="78">
        <f t="shared" si="4"/>
        <v>0</v>
      </c>
      <c r="E89" s="103">
        <f t="shared" si="5"/>
        <v>-63400</v>
      </c>
    </row>
    <row r="90" spans="1:5" s="59" customFormat="1" ht="27" customHeight="1">
      <c r="A90" s="71" t="s">
        <v>250</v>
      </c>
      <c r="B90" s="31">
        <v>366800</v>
      </c>
      <c r="C90" s="31">
        <v>0</v>
      </c>
      <c r="D90" s="78">
        <f t="shared" si="4"/>
        <v>0</v>
      </c>
      <c r="E90" s="103">
        <f t="shared" si="5"/>
        <v>-366800</v>
      </c>
    </row>
    <row r="91" spans="1:5" s="59" customFormat="1" ht="26.25">
      <c r="A91" s="71" t="s">
        <v>251</v>
      </c>
      <c r="B91" s="31">
        <v>40800</v>
      </c>
      <c r="C91" s="31">
        <v>10197.5</v>
      </c>
      <c r="D91" s="65">
        <f t="shared" si="4"/>
        <v>24.993872549019606</v>
      </c>
      <c r="E91" s="68">
        <f t="shared" si="5"/>
        <v>-30602.5</v>
      </c>
    </row>
    <row r="92" spans="1:5" s="59" customFormat="1" ht="12.75">
      <c r="A92" s="95" t="s">
        <v>176</v>
      </c>
      <c r="B92" s="31">
        <f>SUM(B93+B94)</f>
        <v>52273.66</v>
      </c>
      <c r="C92" s="31">
        <f>SUM(C93+C94)</f>
        <v>0</v>
      </c>
      <c r="D92" s="65">
        <f>IF(B92=0,"   ",C92/B92*100)</f>
        <v>0</v>
      </c>
      <c r="E92" s="68">
        <f>C92-B92</f>
        <v>-52273.66</v>
      </c>
    </row>
    <row r="93" spans="1:5" s="59" customFormat="1" ht="26.25">
      <c r="A93" s="104" t="s">
        <v>155</v>
      </c>
      <c r="B93" s="31">
        <v>34100</v>
      </c>
      <c r="C93" s="31">
        <v>0</v>
      </c>
      <c r="D93" s="65">
        <f>IF(B93=0,"   ",C93/B93*100)</f>
        <v>0</v>
      </c>
      <c r="E93" s="68">
        <f>C93-B93</f>
        <v>-34100</v>
      </c>
    </row>
    <row r="94" spans="1:5" s="59" customFormat="1" ht="27" thickBot="1">
      <c r="A94" s="75" t="s">
        <v>177</v>
      </c>
      <c r="B94" s="31">
        <v>18173.66</v>
      </c>
      <c r="C94" s="31">
        <v>0</v>
      </c>
      <c r="D94" s="65">
        <f>IF(B94=0,"   ",C94/B94*100)</f>
        <v>0</v>
      </c>
      <c r="E94" s="68">
        <f>C94-B94</f>
        <v>-18173.66</v>
      </c>
    </row>
    <row r="95" spans="1:5" s="59" customFormat="1" ht="13.5" thickBot="1">
      <c r="A95" s="97" t="s">
        <v>13</v>
      </c>
      <c r="B95" s="31">
        <f>B110+B98+B100</f>
        <v>860526.34</v>
      </c>
      <c r="C95" s="31">
        <f>C110+C98+C100</f>
        <v>36678.75</v>
      </c>
      <c r="D95" s="65">
        <f>IF(B95=0,"   ",C95/B95*100)</f>
        <v>4.262362265401428</v>
      </c>
      <c r="E95" s="68">
        <f>C95-B95</f>
        <v>-823847.59</v>
      </c>
    </row>
    <row r="96" spans="1:5" s="59" customFormat="1" ht="12.75" customHeight="1" hidden="1">
      <c r="A96" s="95" t="s">
        <v>40</v>
      </c>
      <c r="B96" s="96" t="e">
        <f>SUM(#REF!,B110,#REF!)</f>
        <v>#REF!</v>
      </c>
      <c r="C96" s="96" t="e">
        <f>SUM(#REF!,C110,#REF!)</f>
        <v>#REF!</v>
      </c>
      <c r="D96" s="78" t="e">
        <f>IF(#REF!=0,"   ",C96/#REF!)</f>
        <v>#REF!</v>
      </c>
      <c r="E96" s="79" t="e">
        <f>C96-#REF!</f>
        <v>#REF!</v>
      </c>
    </row>
    <row r="97" spans="1:5" s="59" customFormat="1" ht="12.75" customHeight="1" hidden="1">
      <c r="A97" s="41" t="s">
        <v>18</v>
      </c>
      <c r="B97" s="31">
        <v>851563</v>
      </c>
      <c r="C97" s="68">
        <v>851563</v>
      </c>
      <c r="D97" s="65" t="e">
        <f>IF(#REF!=0,"   ",C97/#REF!)</f>
        <v>#REF!</v>
      </c>
      <c r="E97" s="66" t="e">
        <f>C97-#REF!</f>
        <v>#REF!</v>
      </c>
    </row>
    <row r="98" spans="1:5" s="59" customFormat="1" ht="12.75" customHeight="1">
      <c r="A98" s="41" t="s">
        <v>156</v>
      </c>
      <c r="B98" s="31">
        <f>SUM(B99)</f>
        <v>0</v>
      </c>
      <c r="C98" s="31">
        <f>SUM(C99)</f>
        <v>0</v>
      </c>
      <c r="D98" s="65" t="str">
        <f aca="true" t="shared" si="6" ref="D98:D107">IF(B98=0,"   ",C98/B98*100)</f>
        <v>   </v>
      </c>
      <c r="E98" s="68">
        <f aca="true" t="shared" si="7" ref="E98:E109">C98-B98</f>
        <v>0</v>
      </c>
    </row>
    <row r="99" spans="1:5" s="59" customFormat="1" ht="12.75" customHeight="1">
      <c r="A99" s="41" t="s">
        <v>157</v>
      </c>
      <c r="B99" s="31">
        <v>0</v>
      </c>
      <c r="C99" s="31">
        <v>0</v>
      </c>
      <c r="D99" s="65" t="str">
        <f t="shared" si="6"/>
        <v>   </v>
      </c>
      <c r="E99" s="68">
        <f t="shared" si="7"/>
        <v>0</v>
      </c>
    </row>
    <row r="100" spans="1:5" s="59" customFormat="1" ht="12.75" customHeight="1">
      <c r="A100" s="41" t="s">
        <v>150</v>
      </c>
      <c r="B100" s="31">
        <f>SUM(B101:B105,B109)</f>
        <v>630526.34</v>
      </c>
      <c r="C100" s="31">
        <f>SUM(C101:C105)</f>
        <v>0</v>
      </c>
      <c r="D100" s="65">
        <f t="shared" si="6"/>
        <v>0</v>
      </c>
      <c r="E100" s="68">
        <f t="shared" si="7"/>
        <v>-630526.34</v>
      </c>
    </row>
    <row r="101" spans="1:5" s="59" customFormat="1" ht="26.25" customHeight="1">
      <c r="A101" s="16" t="s">
        <v>194</v>
      </c>
      <c r="B101" s="31">
        <v>20000</v>
      </c>
      <c r="C101" s="31">
        <v>0</v>
      </c>
      <c r="D101" s="65">
        <f>IF(B101=0,"   ",C101/B101*100)</f>
        <v>0</v>
      </c>
      <c r="E101" s="68">
        <f>C101-B101</f>
        <v>-20000</v>
      </c>
    </row>
    <row r="102" spans="1:5" s="59" customFormat="1" ht="12.75" customHeight="1">
      <c r="A102" s="302" t="s">
        <v>159</v>
      </c>
      <c r="B102" s="31">
        <v>20000</v>
      </c>
      <c r="C102" s="31">
        <v>0</v>
      </c>
      <c r="D102" s="65">
        <f>IF(B102=0,"   ",C102/B102*100)</f>
        <v>0</v>
      </c>
      <c r="E102" s="68">
        <f>C102-B102</f>
        <v>-20000</v>
      </c>
    </row>
    <row r="103" spans="1:5" s="59" customFormat="1" ht="12.75" customHeight="1">
      <c r="A103" s="16" t="s">
        <v>289</v>
      </c>
      <c r="B103" s="31">
        <v>0</v>
      </c>
      <c r="C103" s="31">
        <v>0</v>
      </c>
      <c r="D103" s="65" t="str">
        <f t="shared" si="6"/>
        <v>   </v>
      </c>
      <c r="E103" s="68">
        <f t="shared" si="7"/>
        <v>0</v>
      </c>
    </row>
    <row r="104" spans="1:5" s="59" customFormat="1" ht="12.75" customHeight="1">
      <c r="A104" s="16" t="s">
        <v>298</v>
      </c>
      <c r="B104" s="96">
        <v>0</v>
      </c>
      <c r="C104" s="96">
        <v>0</v>
      </c>
      <c r="D104" s="65" t="str">
        <f t="shared" si="6"/>
        <v>   </v>
      </c>
      <c r="E104" s="68">
        <f t="shared" si="7"/>
        <v>0</v>
      </c>
    </row>
    <row r="105" spans="1:5" s="59" customFormat="1" ht="18.75" customHeight="1">
      <c r="A105" s="104" t="s">
        <v>204</v>
      </c>
      <c r="B105" s="117">
        <f>SUM(B106+B107+B108)</f>
        <v>0</v>
      </c>
      <c r="C105" s="117">
        <f>SUM(C106+C107+C108)</f>
        <v>0</v>
      </c>
      <c r="D105" s="65" t="str">
        <f t="shared" si="6"/>
        <v>   </v>
      </c>
      <c r="E105" s="68">
        <f t="shared" si="7"/>
        <v>0</v>
      </c>
    </row>
    <row r="106" spans="1:5" s="59" customFormat="1" ht="22.5" customHeight="1">
      <c r="A106" s="104" t="s">
        <v>186</v>
      </c>
      <c r="B106" s="31">
        <v>0</v>
      </c>
      <c r="C106" s="31">
        <v>0</v>
      </c>
      <c r="D106" s="65" t="str">
        <f t="shared" si="6"/>
        <v>   </v>
      </c>
      <c r="E106" s="68">
        <f t="shared" si="7"/>
        <v>0</v>
      </c>
    </row>
    <row r="107" spans="1:5" s="59" customFormat="1" ht="27" customHeight="1">
      <c r="A107" s="104" t="s">
        <v>205</v>
      </c>
      <c r="B107" s="31">
        <v>0</v>
      </c>
      <c r="C107" s="31">
        <v>0</v>
      </c>
      <c r="D107" s="65" t="str">
        <f t="shared" si="6"/>
        <v>   </v>
      </c>
      <c r="E107" s="68">
        <f t="shared" si="7"/>
        <v>0</v>
      </c>
    </row>
    <row r="108" spans="1:5" s="59" customFormat="1" ht="28.5" customHeight="1">
      <c r="A108" s="104" t="s">
        <v>215</v>
      </c>
      <c r="B108" s="31">
        <v>0</v>
      </c>
      <c r="C108" s="31">
        <v>0</v>
      </c>
      <c r="D108" s="65" t="str">
        <f>IF(B108=0,"   ",C108/B108*100)</f>
        <v>   </v>
      </c>
      <c r="E108" s="68">
        <f t="shared" si="7"/>
        <v>0</v>
      </c>
    </row>
    <row r="109" spans="1:5" s="59" customFormat="1" ht="12.75" customHeight="1">
      <c r="A109" s="16" t="s">
        <v>343</v>
      </c>
      <c r="B109" s="31">
        <v>590526.34</v>
      </c>
      <c r="C109" s="31">
        <v>0</v>
      </c>
      <c r="D109" s="65">
        <f>IF(B109=0,"   ",C109/B109*100)</f>
        <v>0</v>
      </c>
      <c r="E109" s="68">
        <f t="shared" si="7"/>
        <v>-590526.34</v>
      </c>
    </row>
    <row r="110" spans="1:5" s="59" customFormat="1" ht="12.75">
      <c r="A110" s="41" t="s">
        <v>58</v>
      </c>
      <c r="B110" s="31">
        <f>SUM(B111:B115)</f>
        <v>230000</v>
      </c>
      <c r="C110" s="31">
        <f>SUM(C111:C115)</f>
        <v>36678.75</v>
      </c>
      <c r="D110" s="65">
        <f aca="true" t="shared" si="8" ref="D110:D123">IF(B110=0,"   ",C110/B110*100)</f>
        <v>15.947282608695652</v>
      </c>
      <c r="E110" s="66">
        <f aca="true" t="shared" si="9" ref="E110:E123">C110-B110</f>
        <v>-193321.25</v>
      </c>
    </row>
    <row r="111" spans="1:5" s="59" customFormat="1" ht="15" customHeight="1">
      <c r="A111" s="41" t="s">
        <v>56</v>
      </c>
      <c r="B111" s="31">
        <v>230000</v>
      </c>
      <c r="C111" s="68">
        <v>36678.75</v>
      </c>
      <c r="D111" s="65">
        <f t="shared" si="8"/>
        <v>15.947282608695652</v>
      </c>
      <c r="E111" s="66">
        <f t="shared" si="9"/>
        <v>-193321.25</v>
      </c>
    </row>
    <row r="112" spans="1:5" s="59" customFormat="1" ht="32.25" customHeight="1">
      <c r="A112" s="104" t="s">
        <v>167</v>
      </c>
      <c r="B112" s="88">
        <v>0</v>
      </c>
      <c r="C112" s="73">
        <v>0</v>
      </c>
      <c r="D112" s="89" t="str">
        <f t="shared" si="8"/>
        <v>   </v>
      </c>
      <c r="E112" s="90">
        <f t="shared" si="9"/>
        <v>0</v>
      </c>
    </row>
    <row r="113" spans="1:5" s="59" customFormat="1" ht="17.25" customHeight="1">
      <c r="A113" s="71" t="s">
        <v>57</v>
      </c>
      <c r="B113" s="31">
        <v>0</v>
      </c>
      <c r="C113" s="70">
        <v>0</v>
      </c>
      <c r="D113" s="89" t="str">
        <f t="shared" si="8"/>
        <v>   </v>
      </c>
      <c r="E113" s="90">
        <f t="shared" si="9"/>
        <v>0</v>
      </c>
    </row>
    <row r="114" spans="1:5" s="59" customFormat="1" ht="17.25" customHeight="1">
      <c r="A114" s="104" t="s">
        <v>290</v>
      </c>
      <c r="B114" s="31">
        <v>0</v>
      </c>
      <c r="C114" s="70">
        <v>0</v>
      </c>
      <c r="D114" s="89" t="str">
        <f t="shared" si="8"/>
        <v>   </v>
      </c>
      <c r="E114" s="68">
        <f t="shared" si="9"/>
        <v>0</v>
      </c>
    </row>
    <row r="115" spans="1:5" s="59" customFormat="1" ht="17.25" customHeight="1">
      <c r="A115" s="104" t="s">
        <v>204</v>
      </c>
      <c r="B115" s="25">
        <f>SUM(B116+B117+B118)</f>
        <v>0</v>
      </c>
      <c r="C115" s="25">
        <f>SUM(C116+C117+C118)</f>
        <v>0</v>
      </c>
      <c r="D115" s="65" t="str">
        <f t="shared" si="8"/>
        <v>   </v>
      </c>
      <c r="E115" s="68">
        <f t="shared" si="9"/>
        <v>0</v>
      </c>
    </row>
    <row r="116" spans="1:5" s="59" customFormat="1" ht="15.75" customHeight="1">
      <c r="A116" s="104" t="s">
        <v>186</v>
      </c>
      <c r="B116" s="31">
        <v>0</v>
      </c>
      <c r="C116" s="70">
        <v>0</v>
      </c>
      <c r="D116" s="65" t="str">
        <f t="shared" si="8"/>
        <v>   </v>
      </c>
      <c r="E116" s="68">
        <f t="shared" si="9"/>
        <v>0</v>
      </c>
    </row>
    <row r="117" spans="1:5" s="59" customFormat="1" ht="27.75" customHeight="1">
      <c r="A117" s="104" t="s">
        <v>205</v>
      </c>
      <c r="B117" s="31">
        <v>0</v>
      </c>
      <c r="C117" s="70">
        <v>0</v>
      </c>
      <c r="D117" s="65" t="str">
        <f>IF(B117=0,"   ",C117/B117*100)</f>
        <v>   </v>
      </c>
      <c r="E117" s="68">
        <f>C117-B117</f>
        <v>0</v>
      </c>
    </row>
    <row r="118" spans="1:5" s="59" customFormat="1" ht="27" customHeight="1" thickBot="1">
      <c r="A118" s="104" t="s">
        <v>215</v>
      </c>
      <c r="B118" s="31">
        <v>0</v>
      </c>
      <c r="C118" s="70">
        <v>0</v>
      </c>
      <c r="D118" s="65" t="str">
        <f t="shared" si="8"/>
        <v>   </v>
      </c>
      <c r="E118" s="68">
        <f t="shared" si="9"/>
        <v>0</v>
      </c>
    </row>
    <row r="119" spans="1:5" s="59" customFormat="1" ht="15" customHeight="1" thickBot="1">
      <c r="A119" s="97" t="s">
        <v>17</v>
      </c>
      <c r="B119" s="189">
        <v>0</v>
      </c>
      <c r="C119" s="189">
        <v>0</v>
      </c>
      <c r="D119" s="190" t="str">
        <f t="shared" si="8"/>
        <v>   </v>
      </c>
      <c r="E119" s="191">
        <f t="shared" si="9"/>
        <v>0</v>
      </c>
    </row>
    <row r="120" spans="1:5" s="59" customFormat="1" ht="13.5" thickBot="1">
      <c r="A120" s="97" t="s">
        <v>41</v>
      </c>
      <c r="B120" s="180">
        <f>SUM(B121)</f>
        <v>839400</v>
      </c>
      <c r="C120" s="98">
        <f>SUM(C121)</f>
        <v>0</v>
      </c>
      <c r="D120" s="92">
        <f t="shared" si="8"/>
        <v>0</v>
      </c>
      <c r="E120" s="93">
        <f t="shared" si="9"/>
        <v>-839400</v>
      </c>
    </row>
    <row r="121" spans="1:5" s="59" customFormat="1" ht="13.5" thickBot="1">
      <c r="A121" s="95" t="s">
        <v>42</v>
      </c>
      <c r="B121" s="96">
        <v>839400</v>
      </c>
      <c r="C121" s="103">
        <v>0</v>
      </c>
      <c r="D121" s="78">
        <f t="shared" si="8"/>
        <v>0</v>
      </c>
      <c r="E121" s="79">
        <f t="shared" si="9"/>
        <v>-839400</v>
      </c>
    </row>
    <row r="122" spans="1:5" s="59" customFormat="1" ht="19.5" customHeight="1" thickBot="1">
      <c r="A122" s="97" t="s">
        <v>124</v>
      </c>
      <c r="B122" s="180">
        <f>SUM(B123)</f>
        <v>15000</v>
      </c>
      <c r="C122" s="180">
        <f>SUM(C123)</f>
        <v>0</v>
      </c>
      <c r="D122" s="92">
        <f t="shared" si="8"/>
        <v>0</v>
      </c>
      <c r="E122" s="93">
        <f t="shared" si="9"/>
        <v>-15000</v>
      </c>
    </row>
    <row r="123" spans="1:5" s="59" customFormat="1" ht="16.5" customHeight="1">
      <c r="A123" s="75" t="s">
        <v>43</v>
      </c>
      <c r="B123" s="99">
        <v>15000</v>
      </c>
      <c r="C123" s="100">
        <v>0</v>
      </c>
      <c r="D123" s="101">
        <f t="shared" si="8"/>
        <v>0</v>
      </c>
      <c r="E123" s="102">
        <f t="shared" si="9"/>
        <v>-15000</v>
      </c>
    </row>
    <row r="124" spans="1:5" s="59" customFormat="1" ht="16.5" customHeight="1">
      <c r="A124" s="30" t="s">
        <v>15</v>
      </c>
      <c r="B124" s="149">
        <f>SUM(B62,B70,B72,B74,B95,B119,B120,B122,)</f>
        <v>4790800</v>
      </c>
      <c r="C124" s="149">
        <f>SUM(C62,C70,C72,C74,C95,C119,C120,C122,)</f>
        <v>74376.25</v>
      </c>
      <c r="D124" s="140">
        <f>IF(B124=0,"   ",C124/B124*100)</f>
        <v>1.552480796526676</v>
      </c>
      <c r="E124" s="141">
        <f>C124-B124</f>
        <v>-4716423.75</v>
      </c>
    </row>
    <row r="125" spans="1:5" s="59" customFormat="1" ht="12.75" customHeight="1" hidden="1">
      <c r="A125" s="75" t="s">
        <v>21</v>
      </c>
      <c r="B125" s="76"/>
      <c r="C125" s="77"/>
      <c r="D125" s="78" t="e">
        <f>IF(#REF!=0,"   ",C125/#REF!)</f>
        <v>#REF!</v>
      </c>
      <c r="E125" s="79" t="e">
        <f>C125-#REF!</f>
        <v>#REF!</v>
      </c>
    </row>
    <row r="126" spans="1:5" s="59" customFormat="1" ht="12.75" customHeight="1" hidden="1">
      <c r="A126" s="71" t="s">
        <v>22</v>
      </c>
      <c r="B126" s="72">
        <v>1122919</v>
      </c>
      <c r="C126" s="73">
        <v>815256</v>
      </c>
      <c r="D126" s="65" t="e">
        <f>IF(#REF!=0,"   ",C126/#REF!)</f>
        <v>#REF!</v>
      </c>
      <c r="E126" s="66" t="e">
        <f>C126-#REF!</f>
        <v>#REF!</v>
      </c>
    </row>
    <row r="127" spans="1:5" s="59" customFormat="1" ht="13.5" customHeight="1" hidden="1" thickBot="1">
      <c r="A127" s="71" t="s">
        <v>23</v>
      </c>
      <c r="B127" s="72">
        <v>1700000</v>
      </c>
      <c r="C127" s="94">
        <v>1700000</v>
      </c>
      <c r="D127" s="89" t="e">
        <f>IF(#REF!=0,"   ",C127/#REF!)</f>
        <v>#REF!</v>
      </c>
      <c r="E127" s="90" t="e">
        <f>C127-#REF!</f>
        <v>#REF!</v>
      </c>
    </row>
    <row r="128" spans="1:5" s="59" customFormat="1" ht="33" customHeight="1">
      <c r="A128" s="80" t="s">
        <v>309</v>
      </c>
      <c r="B128" s="80"/>
      <c r="C128" s="337"/>
      <c r="D128" s="337"/>
      <c r="E128" s="337"/>
    </row>
    <row r="129" spans="1:5" s="59" customFormat="1" ht="25.5" customHeight="1">
      <c r="A129" s="80" t="s">
        <v>154</v>
      </c>
      <c r="B129" s="80"/>
      <c r="C129" s="81" t="s">
        <v>310</v>
      </c>
      <c r="D129" s="82"/>
      <c r="E129" s="83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  <row r="135" spans="3:5" s="7" customFormat="1" ht="12.75">
      <c r="C135" s="6"/>
      <c r="E135" s="2"/>
    </row>
    <row r="136" spans="3:5" s="7" customFormat="1" ht="12.75">
      <c r="C136" s="6"/>
      <c r="E136" s="2"/>
    </row>
    <row r="137" spans="3:5" s="7" customFormat="1" ht="12.75">
      <c r="C137" s="6"/>
      <c r="E137" s="2"/>
    </row>
    <row r="138" spans="3:5" s="7" customFormat="1" ht="12.75">
      <c r="C138" s="6"/>
      <c r="E138" s="2"/>
    </row>
    <row r="139" spans="3:5" s="7" customFormat="1" ht="12.75">
      <c r="C139" s="6"/>
      <c r="E139" s="2"/>
    </row>
  </sheetData>
  <sheetProtection/>
  <mergeCells count="2">
    <mergeCell ref="C128:E128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tabSelected="1" zoomScalePageLayoutView="0" workbookViewId="0" topLeftCell="A36">
      <selection activeCell="C47" sqref="C47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339" t="s">
        <v>329</v>
      </c>
      <c r="B1" s="339"/>
      <c r="C1" s="339"/>
      <c r="D1" s="339"/>
      <c r="E1" s="33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317</v>
      </c>
      <c r="C4" s="32" t="s">
        <v>312</v>
      </c>
      <c r="D4" s="19" t="s">
        <v>330</v>
      </c>
      <c r="E4" s="36" t="s">
        <v>319</v>
      </c>
    </row>
    <row r="5" spans="1:5" ht="12.75">
      <c r="A5" s="13">
        <v>1</v>
      </c>
      <c r="B5" s="74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48">
        <f>SUM(B8)</f>
        <v>11800</v>
      </c>
      <c r="C7" s="148">
        <f>SUM(C8)</f>
        <v>399.64</v>
      </c>
      <c r="D7" s="26">
        <f aca="true" t="shared" si="0" ref="D7:D91">IF(B7=0,"   ",C7/B7*100)</f>
        <v>3.386779661016949</v>
      </c>
      <c r="E7" s="42">
        <f aca="true" t="shared" si="1" ref="E7:E92">C7-B7</f>
        <v>-11400.36</v>
      </c>
    </row>
    <row r="8" spans="1:5" ht="12.75">
      <c r="A8" s="16" t="s">
        <v>44</v>
      </c>
      <c r="B8" s="84">
        <v>11800</v>
      </c>
      <c r="C8" s="230">
        <v>399.64</v>
      </c>
      <c r="D8" s="26">
        <f t="shared" si="0"/>
        <v>3.386779661016949</v>
      </c>
      <c r="E8" s="42">
        <f t="shared" si="1"/>
        <v>-11400.36</v>
      </c>
    </row>
    <row r="9" spans="1:5" ht="16.5" customHeight="1">
      <c r="A9" s="64" t="s">
        <v>137</v>
      </c>
      <c r="B9" s="193">
        <f>SUM(B10)</f>
        <v>525500</v>
      </c>
      <c r="C9" s="193">
        <f>SUM(C10)</f>
        <v>42174.45</v>
      </c>
      <c r="D9" s="26">
        <f t="shared" si="0"/>
        <v>8.025585156993339</v>
      </c>
      <c r="E9" s="42">
        <f t="shared" si="1"/>
        <v>-483325.55</v>
      </c>
    </row>
    <row r="10" spans="1:5" ht="12.75">
      <c r="A10" s="41" t="s">
        <v>138</v>
      </c>
      <c r="B10" s="194">
        <v>525500</v>
      </c>
      <c r="C10" s="230">
        <v>42174.45</v>
      </c>
      <c r="D10" s="26">
        <f t="shared" si="0"/>
        <v>8.025585156993339</v>
      </c>
      <c r="E10" s="42">
        <f t="shared" si="1"/>
        <v>-483325.55</v>
      </c>
    </row>
    <row r="11" spans="1:5" ht="16.5" customHeight="1">
      <c r="A11" s="16" t="s">
        <v>7</v>
      </c>
      <c r="B11" s="194">
        <f>SUM(B12:B12)</f>
        <v>0</v>
      </c>
      <c r="C11" s="19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194">
        <v>0</v>
      </c>
      <c r="C12" s="19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194">
        <f>SUM(B14:B15)</f>
        <v>239000</v>
      </c>
      <c r="C13" s="194">
        <f>SUM(C14:C15)</f>
        <v>933.74</v>
      </c>
      <c r="D13" s="26">
        <f t="shared" si="0"/>
        <v>0.39068619246861924</v>
      </c>
      <c r="E13" s="42">
        <f t="shared" si="1"/>
        <v>-238066.26</v>
      </c>
    </row>
    <row r="14" spans="1:5" ht="15" customHeight="1">
      <c r="A14" s="16" t="s">
        <v>111</v>
      </c>
      <c r="B14" s="194">
        <v>28000</v>
      </c>
      <c r="C14" s="230">
        <v>0</v>
      </c>
      <c r="D14" s="26">
        <f t="shared" si="0"/>
        <v>0</v>
      </c>
      <c r="E14" s="42">
        <f t="shared" si="1"/>
        <v>-28000</v>
      </c>
    </row>
    <row r="15" spans="1:5" ht="15.75" customHeight="1">
      <c r="A15" s="41" t="s">
        <v>160</v>
      </c>
      <c r="B15" s="194">
        <f>SUM(B16:B17)</f>
        <v>211000</v>
      </c>
      <c r="C15" s="194">
        <f>SUM(C16:C17)</f>
        <v>933.74</v>
      </c>
      <c r="D15" s="26">
        <f t="shared" si="0"/>
        <v>0.44253080568720377</v>
      </c>
      <c r="E15" s="42">
        <f t="shared" si="1"/>
        <v>-210066.26</v>
      </c>
    </row>
    <row r="16" spans="1:5" ht="15.75" customHeight="1">
      <c r="A16" s="41" t="s">
        <v>161</v>
      </c>
      <c r="B16" s="194">
        <v>92000</v>
      </c>
      <c r="C16" s="230">
        <v>0</v>
      </c>
      <c r="D16" s="26">
        <f t="shared" si="0"/>
        <v>0</v>
      </c>
      <c r="E16" s="42">
        <f t="shared" si="1"/>
        <v>-92000</v>
      </c>
    </row>
    <row r="17" spans="1:5" ht="15.75" customHeight="1">
      <c r="A17" s="41" t="s">
        <v>162</v>
      </c>
      <c r="B17" s="194">
        <v>119000</v>
      </c>
      <c r="C17" s="230">
        <v>933.74</v>
      </c>
      <c r="D17" s="26">
        <f t="shared" si="0"/>
        <v>0.7846554621848739</v>
      </c>
      <c r="E17" s="42">
        <f t="shared" si="1"/>
        <v>-118066.26</v>
      </c>
    </row>
    <row r="18" spans="1:5" ht="15.75" customHeight="1">
      <c r="A18" s="41" t="s">
        <v>195</v>
      </c>
      <c r="B18" s="194">
        <v>0</v>
      </c>
      <c r="C18" s="195">
        <v>0</v>
      </c>
      <c r="D18" s="26" t="str">
        <f t="shared" si="0"/>
        <v>   </v>
      </c>
      <c r="E18" s="42">
        <f t="shared" si="1"/>
        <v>0</v>
      </c>
    </row>
    <row r="19" spans="1:5" ht="28.5" customHeight="1">
      <c r="A19" s="16" t="s">
        <v>89</v>
      </c>
      <c r="B19" s="194">
        <v>0</v>
      </c>
      <c r="C19" s="19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194">
        <f>SUM(B21:B23)</f>
        <v>215800</v>
      </c>
      <c r="C20" s="194">
        <f>SUM(C21:C23)</f>
        <v>0.05</v>
      </c>
      <c r="D20" s="26">
        <f t="shared" si="0"/>
        <v>2.3169601482854495E-05</v>
      </c>
      <c r="E20" s="42">
        <f t="shared" si="1"/>
        <v>-215799.95</v>
      </c>
    </row>
    <row r="21" spans="1:5" ht="12.75">
      <c r="A21" s="16" t="s">
        <v>151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26.25">
      <c r="A22" s="16" t="s">
        <v>260</v>
      </c>
      <c r="B22" s="194">
        <v>0</v>
      </c>
      <c r="C22" s="195">
        <v>0</v>
      </c>
      <c r="D22" s="26" t="str">
        <f>IF(B22=0,"   ",C22/B22*100)</f>
        <v>   </v>
      </c>
      <c r="E22" s="42">
        <f>C22-B22</f>
        <v>0</v>
      </c>
    </row>
    <row r="23" spans="1:5" ht="16.5" customHeight="1">
      <c r="A23" s="41" t="s">
        <v>152</v>
      </c>
      <c r="B23" s="194">
        <v>215800</v>
      </c>
      <c r="C23" s="195">
        <v>0.05</v>
      </c>
      <c r="D23" s="26">
        <f t="shared" si="0"/>
        <v>2.3169601482854495E-05</v>
      </c>
      <c r="E23" s="42">
        <f t="shared" si="1"/>
        <v>-215799.95</v>
      </c>
    </row>
    <row r="24" spans="1:5" ht="17.25" customHeight="1">
      <c r="A24" s="39" t="s">
        <v>91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4.25" customHeight="1">
      <c r="A25" s="16" t="s">
        <v>78</v>
      </c>
      <c r="B25" s="194">
        <f>SUM(B26)</f>
        <v>0</v>
      </c>
      <c r="C25" s="194">
        <f>SUM(C26)</f>
        <v>0</v>
      </c>
      <c r="D25" s="26" t="str">
        <f t="shared" si="0"/>
        <v>   </v>
      </c>
      <c r="E25" s="42">
        <f t="shared" si="1"/>
        <v>0</v>
      </c>
    </row>
    <row r="26" spans="1:5" ht="27" customHeight="1">
      <c r="A26" s="16" t="s">
        <v>168</v>
      </c>
      <c r="B26" s="193">
        <v>0</v>
      </c>
      <c r="C26" s="195"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32</v>
      </c>
      <c r="B27" s="194">
        <f>SUM(B29)</f>
        <v>0</v>
      </c>
      <c r="C27" s="194">
        <f>C29+C28</f>
        <v>0</v>
      </c>
      <c r="D27" s="26" t="str">
        <f t="shared" si="0"/>
        <v>   </v>
      </c>
      <c r="E27" s="42">
        <f t="shared" si="1"/>
        <v>0</v>
      </c>
    </row>
    <row r="28" spans="1:5" ht="15.75" customHeight="1">
      <c r="A28" s="16" t="s">
        <v>126</v>
      </c>
      <c r="B28" s="194">
        <v>0</v>
      </c>
      <c r="C28" s="194">
        <v>0</v>
      </c>
      <c r="D28" s="26"/>
      <c r="E28" s="42">
        <f t="shared" si="1"/>
        <v>0</v>
      </c>
    </row>
    <row r="29" spans="1:5" ht="17.25" customHeight="1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24" customHeight="1">
      <c r="A30" s="171" t="s">
        <v>10</v>
      </c>
      <c r="B30" s="173">
        <f>B7+B11+B13+B20+B24+B25+B27+B9+B19+B18</f>
        <v>992100</v>
      </c>
      <c r="C30" s="173">
        <f>C7+C11+C13+C20+C24+C25+C27+C9+C19+C18</f>
        <v>43507.88</v>
      </c>
      <c r="D30" s="140">
        <f t="shared" si="0"/>
        <v>4.385432920068541</v>
      </c>
      <c r="E30" s="141">
        <f t="shared" si="1"/>
        <v>-948592.12</v>
      </c>
    </row>
    <row r="31" spans="1:5" ht="21" customHeight="1">
      <c r="A31" s="179" t="s">
        <v>140</v>
      </c>
      <c r="B31" s="184">
        <f>SUM(B32:B35,B38,B39,B43+B44+B45)</f>
        <v>2355400</v>
      </c>
      <c r="C31" s="184">
        <f>SUM(C32:C35,C38,C39,C43+C44+C45)</f>
        <v>128590</v>
      </c>
      <c r="D31" s="140">
        <f t="shared" si="0"/>
        <v>5.459369958393479</v>
      </c>
      <c r="E31" s="141">
        <f t="shared" si="1"/>
        <v>-2226810</v>
      </c>
    </row>
    <row r="32" spans="1:5" ht="15.75" customHeight="1">
      <c r="A32" s="17" t="s">
        <v>34</v>
      </c>
      <c r="B32" s="159">
        <v>1436300</v>
      </c>
      <c r="C32" s="230">
        <v>118590</v>
      </c>
      <c r="D32" s="26">
        <f t="shared" si="0"/>
        <v>8.256631622920004</v>
      </c>
      <c r="E32" s="42">
        <f t="shared" si="1"/>
        <v>-1317710</v>
      </c>
    </row>
    <row r="33" spans="1:5" ht="15.75" customHeight="1">
      <c r="A33" s="17" t="s">
        <v>226</v>
      </c>
      <c r="B33" s="159">
        <v>0</v>
      </c>
      <c r="C33" s="230">
        <v>0</v>
      </c>
      <c r="D33" s="26" t="str">
        <f>IF(B33=0,"   ",C33/B33*100)</f>
        <v>   </v>
      </c>
      <c r="E33" s="42">
        <f>C33-B33</f>
        <v>0</v>
      </c>
    </row>
    <row r="34" spans="1:5" ht="26.25" customHeight="1">
      <c r="A34" s="133" t="s">
        <v>51</v>
      </c>
      <c r="B34" s="134">
        <v>103400</v>
      </c>
      <c r="C34" s="224">
        <v>10000</v>
      </c>
      <c r="D34" s="135">
        <f t="shared" si="0"/>
        <v>9.671179883945841</v>
      </c>
      <c r="E34" s="136">
        <f t="shared" si="1"/>
        <v>-93400</v>
      </c>
    </row>
    <row r="35" spans="1:5" ht="29.25" customHeight="1">
      <c r="A35" s="108" t="s">
        <v>148</v>
      </c>
      <c r="B35" s="194">
        <f>SUM(B36:B37)</f>
        <v>0</v>
      </c>
      <c r="C35" s="194">
        <f>SUM(C36:C37)</f>
        <v>0</v>
      </c>
      <c r="D35" s="26" t="str">
        <f t="shared" si="0"/>
        <v>   </v>
      </c>
      <c r="E35" s="42">
        <f t="shared" si="1"/>
        <v>0</v>
      </c>
    </row>
    <row r="36" spans="1:5" ht="14.25" customHeight="1">
      <c r="A36" s="108" t="s">
        <v>163</v>
      </c>
      <c r="B36" s="194">
        <v>0</v>
      </c>
      <c r="C36" s="195">
        <v>0</v>
      </c>
      <c r="D36" s="26" t="str">
        <f>IF(B36=0,"   ",C36/B36*100)</f>
        <v>   </v>
      </c>
      <c r="E36" s="42">
        <f>C36-B36</f>
        <v>0</v>
      </c>
    </row>
    <row r="37" spans="1:5" ht="29.25" customHeight="1">
      <c r="A37" s="108" t="s">
        <v>164</v>
      </c>
      <c r="B37" s="194">
        <v>0</v>
      </c>
      <c r="C37" s="195">
        <v>0</v>
      </c>
      <c r="D37" s="26" t="str">
        <f>IF(B37=0,"   ",C37/B37*100)</f>
        <v>   </v>
      </c>
      <c r="E37" s="42">
        <f>C37-B37</f>
        <v>0</v>
      </c>
    </row>
    <row r="38" spans="1:5" ht="54.75" customHeight="1">
      <c r="A38" s="16" t="s">
        <v>235</v>
      </c>
      <c r="B38" s="194">
        <v>498700</v>
      </c>
      <c r="C38" s="195">
        <v>0</v>
      </c>
      <c r="D38" s="26">
        <f>IF(B38=0,"   ",C38/B38*100)</f>
        <v>0</v>
      </c>
      <c r="E38" s="42">
        <f>C38-B38</f>
        <v>-498700</v>
      </c>
    </row>
    <row r="39" spans="1:5" ht="18" customHeight="1">
      <c r="A39" s="16" t="s">
        <v>82</v>
      </c>
      <c r="B39" s="194">
        <f>B42+B40+B41</f>
        <v>317000</v>
      </c>
      <c r="C39" s="194">
        <f>C42+C40</f>
        <v>0</v>
      </c>
      <c r="D39" s="26">
        <f t="shared" si="0"/>
        <v>0</v>
      </c>
      <c r="E39" s="42">
        <f t="shared" si="1"/>
        <v>-317000</v>
      </c>
    </row>
    <row r="40" spans="1:5" ht="27" customHeight="1">
      <c r="A40" s="46" t="s">
        <v>187</v>
      </c>
      <c r="B40" s="194">
        <v>0</v>
      </c>
      <c r="C40" s="194">
        <v>0</v>
      </c>
      <c r="D40" s="26" t="str">
        <f>IF(B40=0,"   ",C40/B40*100)</f>
        <v>   </v>
      </c>
      <c r="E40" s="42">
        <f>C40-B40</f>
        <v>0</v>
      </c>
    </row>
    <row r="41" spans="1:5" ht="27" customHeight="1">
      <c r="A41" s="46" t="s">
        <v>284</v>
      </c>
      <c r="B41" s="194">
        <v>0</v>
      </c>
      <c r="C41" s="194">
        <v>0</v>
      </c>
      <c r="D41" s="26" t="str">
        <f>IF(B41=0,"   ",C41/B41*100)</f>
        <v>   </v>
      </c>
      <c r="E41" s="42">
        <f>C41-B41</f>
        <v>0</v>
      </c>
    </row>
    <row r="42" spans="1:5" ht="17.25" customHeight="1">
      <c r="A42" s="16" t="s">
        <v>109</v>
      </c>
      <c r="B42" s="194">
        <v>317000</v>
      </c>
      <c r="C42" s="194">
        <v>0</v>
      </c>
      <c r="D42" s="26">
        <f t="shared" si="0"/>
        <v>0</v>
      </c>
      <c r="E42" s="42">
        <f t="shared" si="1"/>
        <v>-317000</v>
      </c>
    </row>
    <row r="43" spans="1:5" ht="30.75" customHeight="1">
      <c r="A43" s="16" t="s">
        <v>286</v>
      </c>
      <c r="B43" s="194">
        <v>0</v>
      </c>
      <c r="C43" s="194">
        <v>0</v>
      </c>
      <c r="D43" s="26" t="str">
        <f t="shared" si="0"/>
        <v>   </v>
      </c>
      <c r="E43" s="42">
        <f t="shared" si="1"/>
        <v>0</v>
      </c>
    </row>
    <row r="44" spans="1:5" s="7" customFormat="1" ht="42" customHeight="1">
      <c r="A44" s="16" t="s">
        <v>103</v>
      </c>
      <c r="B44" s="194">
        <v>0</v>
      </c>
      <c r="C44" s="195">
        <v>0</v>
      </c>
      <c r="D44" s="26" t="str">
        <f t="shared" si="0"/>
        <v>   </v>
      </c>
      <c r="E44" s="40">
        <f t="shared" si="1"/>
        <v>0</v>
      </c>
    </row>
    <row r="45" spans="1:5" s="7" customFormat="1" ht="21" customHeight="1">
      <c r="A45" s="16" t="s">
        <v>197</v>
      </c>
      <c r="B45" s="194">
        <v>0</v>
      </c>
      <c r="C45" s="195">
        <v>0</v>
      </c>
      <c r="D45" s="26" t="str">
        <f t="shared" si="0"/>
        <v>   </v>
      </c>
      <c r="E45" s="40">
        <f t="shared" si="1"/>
        <v>0</v>
      </c>
    </row>
    <row r="46" spans="1:5" ht="26.25" customHeight="1">
      <c r="A46" s="171" t="s">
        <v>11</v>
      </c>
      <c r="B46" s="149">
        <f>SUM(B30,B31,)</f>
        <v>3347500</v>
      </c>
      <c r="C46" s="149">
        <f>SUM(C30,C31,)</f>
        <v>172097.88</v>
      </c>
      <c r="D46" s="140">
        <f t="shared" si="0"/>
        <v>5.141086781179985</v>
      </c>
      <c r="E46" s="141">
        <f t="shared" si="1"/>
        <v>-3175402.12</v>
      </c>
    </row>
    <row r="47" spans="1:5" ht="14.25" customHeight="1">
      <c r="A47" s="30"/>
      <c r="B47" s="159"/>
      <c r="C47" s="151"/>
      <c r="D47" s="26" t="str">
        <f t="shared" si="0"/>
        <v>   </v>
      </c>
      <c r="E47" s="42"/>
    </row>
    <row r="48" spans="1:5" ht="12.75">
      <c r="A48" s="22" t="s">
        <v>12</v>
      </c>
      <c r="B48" s="44"/>
      <c r="C48" s="45"/>
      <c r="D48" s="26" t="str">
        <f t="shared" si="0"/>
        <v>   </v>
      </c>
      <c r="E48" s="42"/>
    </row>
    <row r="49" spans="1:5" ht="18.75" customHeight="1">
      <c r="A49" s="16" t="s">
        <v>35</v>
      </c>
      <c r="B49" s="27">
        <f>SUM(B50,B53,B54)</f>
        <v>1124800</v>
      </c>
      <c r="C49" s="27">
        <f>SUM(C50,C54)</f>
        <v>16400</v>
      </c>
      <c r="D49" s="26">
        <f t="shared" si="0"/>
        <v>1.4580369843527738</v>
      </c>
      <c r="E49" s="42">
        <f t="shared" si="1"/>
        <v>-1108400</v>
      </c>
    </row>
    <row r="50" spans="1:5" ht="16.5" customHeight="1">
      <c r="A50" s="16" t="s">
        <v>36</v>
      </c>
      <c r="B50" s="25">
        <v>1114300</v>
      </c>
      <c r="C50" s="25">
        <v>16400</v>
      </c>
      <c r="D50" s="26">
        <f t="shared" si="0"/>
        <v>1.4717760028717581</v>
      </c>
      <c r="E50" s="42">
        <f t="shared" si="1"/>
        <v>-1097900</v>
      </c>
    </row>
    <row r="51" spans="1:5" ht="12.75">
      <c r="A51" s="85" t="s">
        <v>122</v>
      </c>
      <c r="B51" s="25">
        <v>790400</v>
      </c>
      <c r="C51" s="28">
        <v>16400</v>
      </c>
      <c r="D51" s="26">
        <f t="shared" si="0"/>
        <v>2.0748987854251015</v>
      </c>
      <c r="E51" s="42">
        <f t="shared" si="1"/>
        <v>-774000</v>
      </c>
    </row>
    <row r="52" spans="1:5" ht="12.75">
      <c r="A52" s="85" t="s">
        <v>276</v>
      </c>
      <c r="B52" s="25">
        <v>0</v>
      </c>
      <c r="C52" s="28">
        <v>0</v>
      </c>
      <c r="D52" s="26" t="str">
        <f>IF(B52=0,"   ",C52/B52*100)</f>
        <v>   </v>
      </c>
      <c r="E52" s="42">
        <f>C52-B52</f>
        <v>0</v>
      </c>
    </row>
    <row r="53" spans="1:5" ht="12.75">
      <c r="A53" s="16" t="s">
        <v>102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SUM(B55)</f>
        <v>10000</v>
      </c>
      <c r="C54" s="27">
        <f>SUM(C55)</f>
        <v>0</v>
      </c>
      <c r="D54" s="26">
        <f t="shared" si="0"/>
        <v>0</v>
      </c>
      <c r="E54" s="42">
        <f t="shared" si="1"/>
        <v>-10000</v>
      </c>
    </row>
    <row r="55" spans="1:5" ht="26.25">
      <c r="A55" s="104" t="s">
        <v>241</v>
      </c>
      <c r="B55" s="25">
        <v>10000</v>
      </c>
      <c r="C55" s="27">
        <v>0</v>
      </c>
      <c r="D55" s="26">
        <f t="shared" si="0"/>
        <v>0</v>
      </c>
      <c r="E55" s="42">
        <f t="shared" si="1"/>
        <v>-10000</v>
      </c>
    </row>
    <row r="56" spans="1:5" ht="19.5" customHeight="1">
      <c r="A56" s="16" t="s">
        <v>49</v>
      </c>
      <c r="B56" s="27">
        <f>SUM(B57)</f>
        <v>103400</v>
      </c>
      <c r="C56" s="27">
        <f>SUM(C57)</f>
        <v>0</v>
      </c>
      <c r="D56" s="26">
        <f t="shared" si="0"/>
        <v>0</v>
      </c>
      <c r="E56" s="42">
        <f t="shared" si="1"/>
        <v>-103400</v>
      </c>
    </row>
    <row r="57" spans="1:5" ht="19.5" customHeight="1">
      <c r="A57" s="16" t="s">
        <v>107</v>
      </c>
      <c r="B57" s="25">
        <v>103400</v>
      </c>
      <c r="C57" s="27">
        <v>0</v>
      </c>
      <c r="D57" s="26">
        <f t="shared" si="0"/>
        <v>0</v>
      </c>
      <c r="E57" s="42">
        <f t="shared" si="1"/>
        <v>-103400</v>
      </c>
    </row>
    <row r="58" spans="1:5" ht="16.5" customHeight="1">
      <c r="A58" s="16" t="s">
        <v>37</v>
      </c>
      <c r="B58" s="25">
        <f>SUM(B59)</f>
        <v>2000</v>
      </c>
      <c r="C58" s="27">
        <f>SUM(C59)</f>
        <v>0</v>
      </c>
      <c r="D58" s="26">
        <f t="shared" si="0"/>
        <v>0</v>
      </c>
      <c r="E58" s="42">
        <f t="shared" si="1"/>
        <v>-2000</v>
      </c>
    </row>
    <row r="59" spans="1:5" ht="15" customHeight="1">
      <c r="A59" s="41" t="s">
        <v>128</v>
      </c>
      <c r="B59" s="25">
        <v>2000</v>
      </c>
      <c r="C59" s="27">
        <v>0</v>
      </c>
      <c r="D59" s="26">
        <f t="shared" si="0"/>
        <v>0</v>
      </c>
      <c r="E59" s="42">
        <f t="shared" si="1"/>
        <v>-2000</v>
      </c>
    </row>
    <row r="60" spans="1:5" ht="19.5" customHeight="1">
      <c r="A60" s="16" t="s">
        <v>38</v>
      </c>
      <c r="B60" s="25">
        <f>B64+B61+B72</f>
        <v>1381100</v>
      </c>
      <c r="C60" s="25">
        <f>C64+C61+C72</f>
        <v>5000</v>
      </c>
      <c r="D60" s="26">
        <f t="shared" si="0"/>
        <v>0.362030265730215</v>
      </c>
      <c r="E60" s="42">
        <f t="shared" si="1"/>
        <v>-1376100</v>
      </c>
    </row>
    <row r="61" spans="1:5" ht="19.5" customHeight="1">
      <c r="A61" s="75" t="s">
        <v>165</v>
      </c>
      <c r="B61" s="25">
        <f>SUM(B63,B62)</f>
        <v>0</v>
      </c>
      <c r="C61" s="25">
        <f>SUM(C63,C62)</f>
        <v>0</v>
      </c>
      <c r="D61" s="26" t="str">
        <f>IF(B61=0,"   ",C61/B61*100)</f>
        <v>   </v>
      </c>
      <c r="E61" s="42">
        <f>C61-B61</f>
        <v>0</v>
      </c>
    </row>
    <row r="62" spans="1:5" ht="15" customHeight="1">
      <c r="A62" s="75" t="s">
        <v>169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3.5" customHeight="1">
      <c r="A63" s="75" t="s">
        <v>166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2.75">
      <c r="A64" s="95" t="s">
        <v>131</v>
      </c>
      <c r="B64" s="25">
        <f>SUM(B65:B71)</f>
        <v>1341200</v>
      </c>
      <c r="C64" s="25">
        <f>SUM(C65:C71)</f>
        <v>5000</v>
      </c>
      <c r="D64" s="26">
        <f t="shared" si="0"/>
        <v>0.3728004771846108</v>
      </c>
      <c r="E64" s="42">
        <f t="shared" si="1"/>
        <v>-1336200</v>
      </c>
    </row>
    <row r="65" spans="1:5" ht="19.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5.5" customHeight="1">
      <c r="A66" s="71" t="s">
        <v>246</v>
      </c>
      <c r="B66" s="25">
        <v>434700</v>
      </c>
      <c r="C66" s="25">
        <v>0</v>
      </c>
      <c r="D66" s="26">
        <f t="shared" si="0"/>
        <v>0</v>
      </c>
      <c r="E66" s="42">
        <f t="shared" si="1"/>
        <v>-434700</v>
      </c>
    </row>
    <row r="67" spans="1:5" ht="27.75" customHeight="1">
      <c r="A67" s="71" t="s">
        <v>247</v>
      </c>
      <c r="B67" s="25">
        <v>0</v>
      </c>
      <c r="C67" s="25">
        <v>0</v>
      </c>
      <c r="D67" s="26" t="str">
        <f t="shared" si="0"/>
        <v>   </v>
      </c>
      <c r="E67" s="42">
        <f t="shared" si="1"/>
        <v>0</v>
      </c>
    </row>
    <row r="68" spans="1:5" ht="31.5" customHeight="1">
      <c r="A68" s="71" t="s">
        <v>248</v>
      </c>
      <c r="B68" s="25">
        <v>498700</v>
      </c>
      <c r="C68" s="25">
        <v>0</v>
      </c>
      <c r="D68" s="26">
        <f t="shared" si="0"/>
        <v>0</v>
      </c>
      <c r="E68" s="42">
        <f t="shared" si="1"/>
        <v>-498700</v>
      </c>
    </row>
    <row r="69" spans="1:5" ht="27.75" customHeight="1">
      <c r="A69" s="71" t="s">
        <v>249</v>
      </c>
      <c r="B69" s="25">
        <v>55500</v>
      </c>
      <c r="C69" s="25">
        <v>0</v>
      </c>
      <c r="D69" s="26">
        <f t="shared" si="0"/>
        <v>0</v>
      </c>
      <c r="E69" s="42">
        <f t="shared" si="1"/>
        <v>-55500</v>
      </c>
    </row>
    <row r="70" spans="1:5" ht="28.5" customHeight="1">
      <c r="A70" s="71" t="s">
        <v>250</v>
      </c>
      <c r="B70" s="25">
        <v>317000</v>
      </c>
      <c r="C70" s="25">
        <v>0</v>
      </c>
      <c r="D70" s="26">
        <f t="shared" si="0"/>
        <v>0</v>
      </c>
      <c r="E70" s="42">
        <f t="shared" si="1"/>
        <v>-317000</v>
      </c>
    </row>
    <row r="71" spans="1:5" ht="30" customHeight="1">
      <c r="A71" s="71" t="s">
        <v>251</v>
      </c>
      <c r="B71" s="25">
        <v>35300</v>
      </c>
      <c r="C71" s="25">
        <v>5000</v>
      </c>
      <c r="D71" s="26">
        <f t="shared" si="0"/>
        <v>14.164305949008499</v>
      </c>
      <c r="E71" s="42">
        <f t="shared" si="1"/>
        <v>-30300</v>
      </c>
    </row>
    <row r="72" spans="1:5" ht="24" customHeight="1">
      <c r="A72" s="95" t="s">
        <v>176</v>
      </c>
      <c r="B72" s="25">
        <f>SUM(B73)</f>
        <v>39900</v>
      </c>
      <c r="C72" s="25">
        <f>SUM(C73)</f>
        <v>0</v>
      </c>
      <c r="D72" s="26">
        <f>IF(B72=0,"   ",C72/B72*100)</f>
        <v>0</v>
      </c>
      <c r="E72" s="42">
        <f>C72-B72</f>
        <v>-39900</v>
      </c>
    </row>
    <row r="73" spans="1:5" ht="30" customHeight="1">
      <c r="A73" s="75" t="s">
        <v>177</v>
      </c>
      <c r="B73" s="25">
        <v>39900</v>
      </c>
      <c r="C73" s="25">
        <v>0</v>
      </c>
      <c r="D73" s="26">
        <f>IF(B73=0,"   ",C73/B73*100)</f>
        <v>0</v>
      </c>
      <c r="E73" s="42">
        <f>C73-B73</f>
        <v>-39900</v>
      </c>
    </row>
    <row r="74" spans="1:5" ht="15" customHeight="1">
      <c r="A74" s="16" t="s">
        <v>13</v>
      </c>
      <c r="B74" s="25">
        <f>SUM(B77,B75)</f>
        <v>569100</v>
      </c>
      <c r="C74" s="25">
        <f>SUM(C77,C75)</f>
        <v>13305.47</v>
      </c>
      <c r="D74" s="26">
        <f t="shared" si="0"/>
        <v>2.337984536988227</v>
      </c>
      <c r="E74" s="42">
        <f t="shared" si="1"/>
        <v>-555794.53</v>
      </c>
    </row>
    <row r="75" spans="1:5" ht="15.75" customHeight="1">
      <c r="A75" s="16" t="s">
        <v>90</v>
      </c>
      <c r="B75" s="25">
        <f>B76</f>
        <v>0</v>
      </c>
      <c r="C75" s="25">
        <f>C76</f>
        <v>0</v>
      </c>
      <c r="D75" s="26" t="str">
        <f>IF(B75=0,"   ",C75/B75*100)</f>
        <v>   </v>
      </c>
      <c r="E75" s="42">
        <f>C75-B75</f>
        <v>0</v>
      </c>
    </row>
    <row r="76" spans="1:5" ht="25.5" customHeight="1">
      <c r="A76" s="16" t="s">
        <v>289</v>
      </c>
      <c r="B76" s="25">
        <v>0</v>
      </c>
      <c r="C76" s="25">
        <v>0</v>
      </c>
      <c r="D76" s="26" t="str">
        <f>IF(B76=0,"   ",C76/B76*100)</f>
        <v>   </v>
      </c>
      <c r="E76" s="42">
        <f>C76-B76</f>
        <v>0</v>
      </c>
    </row>
    <row r="77" spans="1:5" ht="12.75">
      <c r="A77" s="16" t="s">
        <v>58</v>
      </c>
      <c r="B77" s="25">
        <f>B78+B80+B79+B81</f>
        <v>569100</v>
      </c>
      <c r="C77" s="25">
        <f>C78+C80+C79+C81</f>
        <v>13305.47</v>
      </c>
      <c r="D77" s="26">
        <f t="shared" si="0"/>
        <v>2.337984536988227</v>
      </c>
      <c r="E77" s="42">
        <f t="shared" si="1"/>
        <v>-555794.53</v>
      </c>
    </row>
    <row r="78" spans="1:5" ht="12.75">
      <c r="A78" s="16" t="s">
        <v>60</v>
      </c>
      <c r="B78" s="25">
        <v>170000</v>
      </c>
      <c r="C78" s="27">
        <v>13305.47</v>
      </c>
      <c r="D78" s="26">
        <f t="shared" si="0"/>
        <v>7.826747058823528</v>
      </c>
      <c r="E78" s="42">
        <f t="shared" si="1"/>
        <v>-156694.53</v>
      </c>
    </row>
    <row r="79" spans="1:5" ht="26.25">
      <c r="A79" s="104" t="s">
        <v>290</v>
      </c>
      <c r="B79" s="25">
        <v>0</v>
      </c>
      <c r="C79" s="27">
        <v>0</v>
      </c>
      <c r="D79" s="26" t="str">
        <f t="shared" si="0"/>
        <v>   </v>
      </c>
      <c r="E79" s="42">
        <f t="shared" si="1"/>
        <v>0</v>
      </c>
    </row>
    <row r="80" spans="1:5" ht="12.75">
      <c r="A80" s="16" t="s">
        <v>59</v>
      </c>
      <c r="B80" s="25">
        <v>399100</v>
      </c>
      <c r="C80" s="27">
        <v>0</v>
      </c>
      <c r="D80" s="26">
        <f t="shared" si="0"/>
        <v>0</v>
      </c>
      <c r="E80" s="42">
        <f t="shared" si="1"/>
        <v>-399100</v>
      </c>
    </row>
    <row r="81" spans="1:5" ht="26.25">
      <c r="A81" s="104" t="s">
        <v>204</v>
      </c>
      <c r="B81" s="25">
        <f>B82+B83+B84</f>
        <v>0</v>
      </c>
      <c r="C81" s="25">
        <f>C82+C83+C84</f>
        <v>0</v>
      </c>
      <c r="D81" s="26" t="str">
        <f>IF(B81=0,"   ",C81/B81*100)</f>
        <v>   </v>
      </c>
      <c r="E81" s="42">
        <f>C81-B81</f>
        <v>0</v>
      </c>
    </row>
    <row r="82" spans="1:5" ht="26.25">
      <c r="A82" s="104" t="s">
        <v>186</v>
      </c>
      <c r="B82" s="25">
        <v>0</v>
      </c>
      <c r="C82" s="27">
        <v>0</v>
      </c>
      <c r="D82" s="26" t="str">
        <f>IF(B82=0,"   ",C82/B82*100)</f>
        <v>   </v>
      </c>
      <c r="E82" s="42">
        <f>C82-B82</f>
        <v>0</v>
      </c>
    </row>
    <row r="83" spans="1:5" ht="26.25">
      <c r="A83" s="104" t="s">
        <v>198</v>
      </c>
      <c r="B83" s="25">
        <v>0</v>
      </c>
      <c r="C83" s="27">
        <v>0</v>
      </c>
      <c r="D83" s="26" t="str">
        <f>IF(B83=0,"   ",C83/B83*100)</f>
        <v>   </v>
      </c>
      <c r="E83" s="42">
        <f>C83-B83</f>
        <v>0</v>
      </c>
    </row>
    <row r="84" spans="1:5" ht="24.75" customHeight="1">
      <c r="A84" s="104" t="s">
        <v>210</v>
      </c>
      <c r="B84" s="31">
        <v>0</v>
      </c>
      <c r="C84" s="31">
        <v>0</v>
      </c>
      <c r="D84" s="26" t="str">
        <f t="shared" si="0"/>
        <v>   </v>
      </c>
      <c r="E84" s="42">
        <f t="shared" si="1"/>
        <v>0</v>
      </c>
    </row>
    <row r="85" spans="1:5" ht="24.75" customHeight="1">
      <c r="A85" s="18" t="s">
        <v>17</v>
      </c>
      <c r="B85" s="31">
        <v>8000</v>
      </c>
      <c r="C85" s="31">
        <v>0</v>
      </c>
      <c r="D85" s="26">
        <f t="shared" si="0"/>
        <v>0</v>
      </c>
      <c r="E85" s="42">
        <f t="shared" si="1"/>
        <v>-8000</v>
      </c>
    </row>
    <row r="86" spans="1:5" ht="15" customHeight="1">
      <c r="A86" s="16" t="s">
        <v>41</v>
      </c>
      <c r="B86" s="24">
        <f>SUM(B87,)</f>
        <v>103100</v>
      </c>
      <c r="C86" s="24">
        <f>SUM(C87,)</f>
        <v>0</v>
      </c>
      <c r="D86" s="26">
        <f t="shared" si="0"/>
        <v>0</v>
      </c>
      <c r="E86" s="42">
        <f t="shared" si="1"/>
        <v>-103100</v>
      </c>
    </row>
    <row r="87" spans="1:5" ht="12.75">
      <c r="A87" s="16" t="s">
        <v>42</v>
      </c>
      <c r="B87" s="25">
        <v>103100</v>
      </c>
      <c r="C87" s="27">
        <v>0</v>
      </c>
      <c r="D87" s="26">
        <f t="shared" si="0"/>
        <v>0</v>
      </c>
      <c r="E87" s="42">
        <f t="shared" si="1"/>
        <v>-103100</v>
      </c>
    </row>
    <row r="88" spans="1:5" ht="12.75">
      <c r="A88" s="16" t="s">
        <v>230</v>
      </c>
      <c r="B88" s="24">
        <f>SUM(B89,)</f>
        <v>6000</v>
      </c>
      <c r="C88" s="24">
        <f>SUM(C89,)</f>
        <v>0</v>
      </c>
      <c r="D88" s="26">
        <f>IF(B88=0,"   ",C88/B88*100)</f>
        <v>0</v>
      </c>
      <c r="E88" s="42">
        <f>C88-B88</f>
        <v>-6000</v>
      </c>
    </row>
    <row r="89" spans="1:5" ht="12.75">
      <c r="A89" s="16" t="s">
        <v>231</v>
      </c>
      <c r="B89" s="25">
        <v>6000</v>
      </c>
      <c r="C89" s="27">
        <v>0</v>
      </c>
      <c r="D89" s="26">
        <f>IF(B89=0,"   ",C89/B89*100)</f>
        <v>0</v>
      </c>
      <c r="E89" s="42">
        <f>C89-B89</f>
        <v>-6000</v>
      </c>
    </row>
    <row r="90" spans="1:5" ht="18" customHeight="1">
      <c r="A90" s="16" t="s">
        <v>124</v>
      </c>
      <c r="B90" s="24">
        <f>SUM(B91,)</f>
        <v>50000</v>
      </c>
      <c r="C90" s="24">
        <f>SUM(C91,)</f>
        <v>0</v>
      </c>
      <c r="D90" s="26">
        <f t="shared" si="0"/>
        <v>0</v>
      </c>
      <c r="E90" s="42">
        <f t="shared" si="1"/>
        <v>-50000</v>
      </c>
    </row>
    <row r="91" spans="1:5" ht="12.75">
      <c r="A91" s="16" t="s">
        <v>43</v>
      </c>
      <c r="B91" s="192">
        <v>50000</v>
      </c>
      <c r="C91" s="28">
        <v>0</v>
      </c>
      <c r="D91" s="26">
        <f t="shared" si="0"/>
        <v>0</v>
      </c>
      <c r="E91" s="42">
        <f t="shared" si="1"/>
        <v>-50000</v>
      </c>
    </row>
    <row r="92" spans="1:5" ht="21" customHeight="1">
      <c r="A92" s="171" t="s">
        <v>15</v>
      </c>
      <c r="B92" s="149">
        <f>SUM(B49,B56,B58,B60,B74,B85,B86,B88,B90,)</f>
        <v>3347500</v>
      </c>
      <c r="C92" s="149">
        <f>SUM(C49,C56,C58,C60,C74,C85,C86,C88,C90,)</f>
        <v>34705.47</v>
      </c>
      <c r="D92" s="140">
        <f>IF(B92=0,"   ",C92/B92*100)</f>
        <v>1.0367578790141896</v>
      </c>
      <c r="E92" s="141">
        <f t="shared" si="1"/>
        <v>-3312794.53</v>
      </c>
    </row>
    <row r="93" spans="1:5" s="59" customFormat="1" ht="31.5" customHeight="1">
      <c r="A93" s="80" t="s">
        <v>309</v>
      </c>
      <c r="B93" s="80"/>
      <c r="C93" s="337"/>
      <c r="D93" s="337"/>
      <c r="E93" s="337"/>
    </row>
    <row r="94" spans="1:5" s="59" customFormat="1" ht="12" customHeight="1">
      <c r="A94" s="80" t="s">
        <v>154</v>
      </c>
      <c r="B94" s="80"/>
      <c r="C94" s="81" t="s">
        <v>310</v>
      </c>
      <c r="D94" s="82"/>
      <c r="E94" s="83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</sheetData>
  <sheetProtection/>
  <mergeCells count="2">
    <mergeCell ref="A1:E1"/>
    <mergeCell ref="C93:E93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zoomScalePageLayoutView="0" workbookViewId="0" topLeftCell="A1">
      <selection activeCell="H103" sqref="G103:H103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340" t="s">
        <v>331</v>
      </c>
      <c r="B1" s="340"/>
      <c r="C1" s="340"/>
      <c r="D1" s="340"/>
      <c r="E1" s="340"/>
    </row>
    <row r="2" spans="1:5" ht="9.75" customHeight="1" thickBot="1">
      <c r="A2" s="286"/>
      <c r="B2" s="286"/>
      <c r="C2" s="287"/>
      <c r="D2" s="286"/>
      <c r="E2" s="286" t="s">
        <v>0</v>
      </c>
    </row>
    <row r="3" spans="1:5" ht="108" customHeight="1">
      <c r="A3" s="288" t="s">
        <v>1</v>
      </c>
      <c r="B3" s="289" t="s">
        <v>317</v>
      </c>
      <c r="C3" s="290" t="s">
        <v>332</v>
      </c>
      <c r="D3" s="289" t="s">
        <v>318</v>
      </c>
      <c r="E3" s="291" t="s">
        <v>319</v>
      </c>
    </row>
    <row r="4" spans="1:5" ht="13.5">
      <c r="A4" s="292">
        <v>1</v>
      </c>
      <c r="B4" s="293">
        <v>2</v>
      </c>
      <c r="C4" s="294">
        <v>3</v>
      </c>
      <c r="D4" s="295">
        <v>4</v>
      </c>
      <c r="E4" s="296">
        <v>5</v>
      </c>
    </row>
    <row r="5" spans="1:5" ht="15.75" customHeight="1">
      <c r="A5" s="297" t="s">
        <v>2</v>
      </c>
      <c r="B5" s="298"/>
      <c r="C5" s="299"/>
      <c r="D5" s="300"/>
      <c r="E5" s="301"/>
    </row>
    <row r="6" spans="1:5" ht="13.5">
      <c r="A6" s="302" t="s">
        <v>45</v>
      </c>
      <c r="B6" s="303">
        <f>SUM(B7)</f>
        <v>11584500</v>
      </c>
      <c r="C6" s="303">
        <f>SUM(C7)</f>
        <v>416371.97000000003</v>
      </c>
      <c r="D6" s="304">
        <f aca="true" t="shared" si="0" ref="D6:D34">IF(B6=0,"   ",C6/B6*100)</f>
        <v>3.5942161508912776</v>
      </c>
      <c r="E6" s="305">
        <f aca="true" t="shared" si="1" ref="E6:E66">C6-B6</f>
        <v>-11168128.03</v>
      </c>
    </row>
    <row r="7" spans="1:5" ht="13.5">
      <c r="A7" s="285" t="s">
        <v>44</v>
      </c>
      <c r="B7" s="306">
        <f>Лист1!B9+Лист2!B7+Лист3!B7+Лист4!B8+Лист5!B8+Лист6!B8+Лист7!B8+Лист8!B8+Лист9!B8+Лист10!B8</f>
        <v>11584500</v>
      </c>
      <c r="C7" s="306">
        <f>Лист1!C9+Лист2!C7+Лист3!C7+Лист4!C8+Лист5!C8+Лист6!C8+Лист7!C8+Лист8!C8+Лист9!C8+Лист10!C8</f>
        <v>416371.97000000003</v>
      </c>
      <c r="D7" s="304">
        <f t="shared" si="0"/>
        <v>3.5942161508912776</v>
      </c>
      <c r="E7" s="305">
        <f t="shared" si="1"/>
        <v>-11168128.03</v>
      </c>
    </row>
    <row r="8" spans="1:5" ht="31.5" customHeight="1">
      <c r="A8" s="302" t="s">
        <v>137</v>
      </c>
      <c r="B8" s="303">
        <f>SUM(B9)</f>
        <v>7612100</v>
      </c>
      <c r="C8" s="303">
        <f>SUM(C9)</f>
        <v>610903.23</v>
      </c>
      <c r="D8" s="304">
        <f t="shared" si="0"/>
        <v>8.025423076417807</v>
      </c>
      <c r="E8" s="305">
        <f t="shared" si="1"/>
        <v>-7001196.77</v>
      </c>
    </row>
    <row r="9" spans="1:5" ht="27">
      <c r="A9" s="285" t="s">
        <v>138</v>
      </c>
      <c r="B9" s="306">
        <f>Лист1!B15+Лист2!B9+Лист3!B9+Лист4!B10+Лист5!B10+Лист6!B10+Лист7!B10+Лист8!B10+Лист9!B10+Лист10!B10</f>
        <v>7612100</v>
      </c>
      <c r="C9" s="306">
        <f>Лист1!C15+Лист2!C9+Лист3!C9+Лист4!C10+Лист5!C10+Лист6!C10+Лист7!C10+Лист8!C10+Лист9!C10+Лист10!C10</f>
        <v>610903.23</v>
      </c>
      <c r="D9" s="304">
        <f t="shared" si="0"/>
        <v>8.025423076417807</v>
      </c>
      <c r="E9" s="305">
        <f t="shared" si="1"/>
        <v>-7001196.77</v>
      </c>
    </row>
    <row r="10" spans="1:5" ht="13.5">
      <c r="A10" s="285" t="s">
        <v>7</v>
      </c>
      <c r="B10" s="306">
        <f>B11</f>
        <v>319800</v>
      </c>
      <c r="C10" s="306">
        <f>SUM(C11:C11)</f>
        <v>1643.4</v>
      </c>
      <c r="D10" s="304">
        <f t="shared" si="0"/>
        <v>0.5138836772983115</v>
      </c>
      <c r="E10" s="305">
        <f t="shared" si="1"/>
        <v>-318156.6</v>
      </c>
    </row>
    <row r="11" spans="1:5" ht="13.5">
      <c r="A11" s="285" t="s">
        <v>26</v>
      </c>
      <c r="B11" s="306">
        <f>Лист1!B18+Лист2!B11+Лист3!B11+Лист4!B12+Лист5!B12+Лист6!B12+Лист7!B12+Лист8!B12+Лист9!B12+Лист10!B12</f>
        <v>319800</v>
      </c>
      <c r="C11" s="306">
        <f>Лист1!C18+Лист2!C11+Лист3!C11+Лист4!C12+Лист5!C12+Лист6!C12+Лист7!C12+Лист8!C12+Лист9!C12+Лист10!C12</f>
        <v>1643.4</v>
      </c>
      <c r="D11" s="304">
        <f t="shared" si="0"/>
        <v>0.5138836772983115</v>
      </c>
      <c r="E11" s="305">
        <f t="shared" si="1"/>
        <v>-318156.6</v>
      </c>
    </row>
    <row r="12" spans="1:5" ht="13.5">
      <c r="A12" s="285" t="s">
        <v>9</v>
      </c>
      <c r="B12" s="306">
        <f>SUM(B13:B14)</f>
        <v>10731000</v>
      </c>
      <c r="C12" s="306">
        <f>SUM(C13:C14)</f>
        <v>254352.50999999995</v>
      </c>
      <c r="D12" s="304">
        <f t="shared" si="0"/>
        <v>2.370259155717081</v>
      </c>
      <c r="E12" s="305">
        <f t="shared" si="1"/>
        <v>-10476647.49</v>
      </c>
    </row>
    <row r="13" spans="1:5" ht="13.5">
      <c r="A13" s="285" t="s">
        <v>27</v>
      </c>
      <c r="B13" s="306">
        <f>Лист1!B20+Лист2!B13+Лист3!B13+Лист4!B14+Лист5!B14+Лист6!B14+Лист7!B14+Лист8!B14+Лист9!B14+Лист10!B14</f>
        <v>5963000</v>
      </c>
      <c r="C13" s="306">
        <f>Лист1!C20+Лист2!C13+Лист3!C13+Лист4!C14+Лист5!C14+Лист6!C14+Лист7!C14+Лист8!C14+Лист9!C14+Лист10!C14</f>
        <v>84325.34999999999</v>
      </c>
      <c r="D13" s="304">
        <f t="shared" si="0"/>
        <v>1.414143048800939</v>
      </c>
      <c r="E13" s="305">
        <f t="shared" si="1"/>
        <v>-5878674.65</v>
      </c>
    </row>
    <row r="14" spans="1:5" ht="13.5">
      <c r="A14" s="285" t="s">
        <v>160</v>
      </c>
      <c r="B14" s="306">
        <f>Лист1!B21+Лист2!B14+Лист3!B14+Лист4!B15+Лист5!B15+Лист6!B15+Лист7!B15+Лист8!B15+Лист9!B15+Лист10!B15</f>
        <v>4768000</v>
      </c>
      <c r="C14" s="306">
        <f>Лист1!C21+Лист2!C14+Лист3!C14+Лист4!C15+Лист5!C15+Лист6!C15+Лист7!C15+Лист8!C15+Лист9!C15+Лист10!C15</f>
        <v>170027.15999999997</v>
      </c>
      <c r="D14" s="304">
        <f t="shared" si="0"/>
        <v>3.566005872483221</v>
      </c>
      <c r="E14" s="305">
        <f t="shared" si="1"/>
        <v>-4597972.84</v>
      </c>
    </row>
    <row r="15" spans="1:5" ht="13.5">
      <c r="A15" s="285" t="s">
        <v>161</v>
      </c>
      <c r="B15" s="306">
        <f>Лист1!B22+Лист2!B15+Лист3!B15+Лист4!B16+Лист5!B16+Лист6!B16+Лист7!B16+Лист8!B16+Лист9!B16+Лист10!B16</f>
        <v>1664400</v>
      </c>
      <c r="C15" s="306">
        <f>Лист1!C22+Лист2!C15+Лист3!C15+Лист4!C16+Лист5!C16+Лист6!C16+Лист7!C16+Лист8!C16+Лист9!C16+Лист10!C16</f>
        <v>136025</v>
      </c>
      <c r="D15" s="304">
        <f t="shared" si="0"/>
        <v>8.172614756068253</v>
      </c>
      <c r="E15" s="305">
        <f t="shared" si="1"/>
        <v>-1528375</v>
      </c>
    </row>
    <row r="16" spans="1:5" ht="13.5">
      <c r="A16" s="285" t="s">
        <v>162</v>
      </c>
      <c r="B16" s="306">
        <f>Лист1!B23+Лист2!B16+Лист3!B16+Лист4!B17+Лист5!B17+Лист6!B17+Лист7!B17+Лист8!B17+Лист9!B17+Лист10!B17</f>
        <v>3103600</v>
      </c>
      <c r="C16" s="306">
        <f>Лист1!C23+Лист2!C16+Лист3!C16+Лист4!C17+Лист5!C17+Лист6!C17+Лист7!C17+Лист8!C17+Лист9!C17+Лист10!C17</f>
        <v>34002.159999999996</v>
      </c>
      <c r="D16" s="304">
        <f t="shared" si="0"/>
        <v>1.095571594277613</v>
      </c>
      <c r="E16" s="305">
        <f t="shared" si="1"/>
        <v>-3069597.84</v>
      </c>
    </row>
    <row r="17" spans="1:5" ht="13.5">
      <c r="A17" s="285" t="s">
        <v>195</v>
      </c>
      <c r="B17" s="307">
        <f>Лист8!B18+Лист5!B18+Лист9!B18+Лист3!B17+Лист4!B18+Лист2!B17+Лист10!B18+Лист1!B24+Лист6!B18</f>
        <v>0</v>
      </c>
      <c r="C17" s="307">
        <f>Лист8!C18+Лист5!C18+Лист9!C18+Лист3!C17+Лист4!C18+Лист2!C17+Лист10!C18+Лист1!C24+Лист6!C18</f>
        <v>0</v>
      </c>
      <c r="D17" s="304" t="str">
        <f>IF(B17=0,"   ",C17/B17*100)</f>
        <v>   </v>
      </c>
      <c r="E17" s="305">
        <f>C17-B17</f>
        <v>0</v>
      </c>
    </row>
    <row r="18" spans="1:5" ht="28.5" customHeight="1">
      <c r="A18" s="285" t="s">
        <v>93</v>
      </c>
      <c r="B18" s="307">
        <f>Лист1!B25+Лист2!B18+Лист3!B18+Лист4!B19+Лист5!B19+Лист6!B19+Лист7!B18+Лист8!B19+Лист9!B19+Лист10!B19</f>
        <v>0</v>
      </c>
      <c r="C18" s="307">
        <f>Лист1!C25+Лист2!C18+Лист3!C18+Лист4!C19+Лист5!C19+Лист6!C19+Лист7!C18+Лист8!C19+Лист9!C19+Лист10!C19</f>
        <v>0</v>
      </c>
      <c r="D18" s="304" t="str">
        <f t="shared" si="0"/>
        <v>   </v>
      </c>
      <c r="E18" s="305">
        <f t="shared" si="1"/>
        <v>0</v>
      </c>
    </row>
    <row r="19" spans="1:5" ht="30" customHeight="1">
      <c r="A19" s="285" t="s">
        <v>28</v>
      </c>
      <c r="B19" s="306">
        <f>SUM(B20:B25)</f>
        <v>2546200</v>
      </c>
      <c r="C19" s="306">
        <f>SUM(C20:C25)</f>
        <v>110029.51</v>
      </c>
      <c r="D19" s="304">
        <f t="shared" si="0"/>
        <v>4.321322362736627</v>
      </c>
      <c r="E19" s="305">
        <f t="shared" si="1"/>
        <v>-2436170.49</v>
      </c>
    </row>
    <row r="20" spans="1:5" ht="13.5">
      <c r="A20" s="285" t="s">
        <v>153</v>
      </c>
      <c r="B20" s="306">
        <f>Лист7!B20</f>
        <v>872000</v>
      </c>
      <c r="C20" s="306">
        <f>Лист7!C20</f>
        <v>25755.52</v>
      </c>
      <c r="D20" s="304">
        <f t="shared" si="0"/>
        <v>2.9536146788990827</v>
      </c>
      <c r="E20" s="305">
        <f t="shared" si="1"/>
        <v>-846244.48</v>
      </c>
    </row>
    <row r="21" spans="1:5" ht="13.5">
      <c r="A21" s="285" t="s">
        <v>139</v>
      </c>
      <c r="B21" s="306">
        <f>Лист1!B27+Лист2!B23+Лист3!B20+Лист4!B21+Лист5!B21+Лист6!B21+Лист7!B21+Лист8!B21+Лист9!B22+Лист10!B23</f>
        <v>1237400</v>
      </c>
      <c r="C21" s="306">
        <f>Лист1!C27+Лист2!C23+Лист3!C20+Лист4!C21+Лист5!C21+Лист6!C21+Лист7!C21+Лист8!C21+Лист9!C22+Лист10!C23</f>
        <v>65940.62</v>
      </c>
      <c r="D21" s="304">
        <f t="shared" si="0"/>
        <v>5.328965572975593</v>
      </c>
      <c r="E21" s="305">
        <f t="shared" si="1"/>
        <v>-1171459.38</v>
      </c>
    </row>
    <row r="22" spans="1:5" ht="33" customHeight="1">
      <c r="A22" s="285" t="s">
        <v>30</v>
      </c>
      <c r="B22" s="306">
        <f>Лист1!B28+Лист2!B24+Лист3!B21+Лист4!B22+Лист5!B22+Лист6!B22+Лист7!B22+Лист8!B22+Лист9!B23+Лист10!B21</f>
        <v>156800</v>
      </c>
      <c r="C22" s="306">
        <f>Лист1!C28+Лист2!C24+Лист3!C21+Лист4!C22+Лист5!C22+Лист6!C22+Лист7!C22+Лист8!C22+Лист9!C23+Лист10!C21</f>
        <v>13415.970000000001</v>
      </c>
      <c r="D22" s="304">
        <f t="shared" si="0"/>
        <v>8.556103316326531</v>
      </c>
      <c r="E22" s="305">
        <f t="shared" si="1"/>
        <v>-143384.03</v>
      </c>
    </row>
    <row r="23" spans="1:5" ht="33" customHeight="1">
      <c r="A23" s="285" t="s">
        <v>260</v>
      </c>
      <c r="B23" s="306">
        <f>Лист8!B23+Лист10!B22+Лист1!B29</f>
        <v>0</v>
      </c>
      <c r="C23" s="306">
        <f>Лист8!C23+Лист10!C22+Лист1!C29</f>
        <v>0</v>
      </c>
      <c r="D23" s="304" t="str">
        <f>IF(B23=0,"   ",C23/B23*100)</f>
        <v>   </v>
      </c>
      <c r="E23" s="305">
        <f>C23-B23</f>
        <v>0</v>
      </c>
    </row>
    <row r="24" spans="1:5" ht="73.5" customHeight="1">
      <c r="A24" s="285" t="s">
        <v>199</v>
      </c>
      <c r="B24" s="306">
        <f>Лист7!B23</f>
        <v>250000</v>
      </c>
      <c r="C24" s="306">
        <f>Лист7!C23</f>
        <v>0</v>
      </c>
      <c r="D24" s="304">
        <f>IF(B24=0,"   ",C24/B24*100)</f>
        <v>0</v>
      </c>
      <c r="E24" s="305">
        <f>C24-B24</f>
        <v>-250000</v>
      </c>
    </row>
    <row r="25" spans="1:5" ht="72" customHeight="1">
      <c r="A25" s="285" t="s">
        <v>223</v>
      </c>
      <c r="B25" s="306">
        <f>Лист1!B30+Лист9!B24</f>
        <v>30000</v>
      </c>
      <c r="C25" s="306">
        <f>Лист1!C30+Лист9!C24</f>
        <v>4917.4</v>
      </c>
      <c r="D25" s="304">
        <f>IF(B25=0,"   ",C25/B25*100)</f>
        <v>16.391333333333332</v>
      </c>
      <c r="E25" s="305">
        <f>C25-B25</f>
        <v>-25082.6</v>
      </c>
    </row>
    <row r="26" spans="1:5" ht="30.75" customHeight="1">
      <c r="A26" s="285" t="s">
        <v>83</v>
      </c>
      <c r="B26" s="306">
        <f>SUM(B28,B27)</f>
        <v>0</v>
      </c>
      <c r="C26" s="306">
        <f>SUM(C28,C27)</f>
        <v>0</v>
      </c>
      <c r="D26" s="304" t="str">
        <f t="shared" si="0"/>
        <v>   </v>
      </c>
      <c r="E26" s="305">
        <f t="shared" si="1"/>
        <v>0</v>
      </c>
    </row>
    <row r="27" spans="1:5" ht="16.5" customHeight="1">
      <c r="A27" s="285" t="s">
        <v>174</v>
      </c>
      <c r="B27" s="306">
        <f>Лист2!B26</f>
        <v>0</v>
      </c>
      <c r="C27" s="306">
        <f>Лист2!C26</f>
        <v>0</v>
      </c>
      <c r="D27" s="304"/>
      <c r="E27" s="305">
        <f t="shared" si="1"/>
        <v>0</v>
      </c>
    </row>
    <row r="28" spans="1:5" ht="44.25" customHeight="1">
      <c r="A28" s="285" t="s">
        <v>84</v>
      </c>
      <c r="B28" s="306">
        <f>Лист4!B23+Лист9!B25+Лист7!B24+Лист1!B31</f>
        <v>0</v>
      </c>
      <c r="C28" s="306">
        <f>Лист4!C23+Лист9!C25+Лист7!C24+Лист1!C31</f>
        <v>0</v>
      </c>
      <c r="D28" s="304" t="str">
        <f t="shared" si="0"/>
        <v>   </v>
      </c>
      <c r="E28" s="305">
        <f t="shared" si="1"/>
        <v>0</v>
      </c>
    </row>
    <row r="29" spans="1:5" ht="31.5" customHeight="1">
      <c r="A29" s="285" t="s">
        <v>76</v>
      </c>
      <c r="B29" s="306">
        <f>SUM(B31+B30+B32)</f>
        <v>0</v>
      </c>
      <c r="C29" s="306">
        <f>SUM(C31+C30+C32)</f>
        <v>121570.68</v>
      </c>
      <c r="D29" s="304" t="str">
        <f t="shared" si="0"/>
        <v>   </v>
      </c>
      <c r="E29" s="305">
        <f t="shared" si="1"/>
        <v>121570.68</v>
      </c>
    </row>
    <row r="30" spans="1:5" ht="30.75" customHeight="1">
      <c r="A30" s="285" t="s">
        <v>134</v>
      </c>
      <c r="B30" s="306">
        <f>Лист7!B26+Лист1!B33+Лист9!B27</f>
        <v>0</v>
      </c>
      <c r="C30" s="306">
        <f>Лист7!C26+Лист1!C33+Лист9!C27</f>
        <v>0</v>
      </c>
      <c r="D30" s="304" t="str">
        <f t="shared" si="0"/>
        <v>   </v>
      </c>
      <c r="E30" s="305">
        <f t="shared" si="1"/>
        <v>0</v>
      </c>
    </row>
    <row r="31" spans="1:5" ht="42" customHeight="1">
      <c r="A31" s="285" t="s">
        <v>224</v>
      </c>
      <c r="B31" s="306">
        <f>Лист7!B27</f>
        <v>0</v>
      </c>
      <c r="C31" s="306">
        <f>Лист7!C27</f>
        <v>14965.68</v>
      </c>
      <c r="D31" s="304" t="str">
        <f t="shared" si="0"/>
        <v>   </v>
      </c>
      <c r="E31" s="305">
        <f t="shared" si="1"/>
        <v>14965.68</v>
      </c>
    </row>
    <row r="32" spans="1:5" ht="39" customHeight="1">
      <c r="A32" s="285" t="s">
        <v>225</v>
      </c>
      <c r="B32" s="306">
        <f>Лист2!B21</f>
        <v>0</v>
      </c>
      <c r="C32" s="306">
        <f>Лист1!C34+Лист2!C21+Лист3!C24+Лист4!C25+Лист6!C25+Лист8!C26+Лист9!C28+Лист10!C26</f>
        <v>106605</v>
      </c>
      <c r="D32" s="304" t="str">
        <f t="shared" si="0"/>
        <v>   </v>
      </c>
      <c r="E32" s="305">
        <f t="shared" si="1"/>
        <v>106605</v>
      </c>
    </row>
    <row r="33" spans="1:5" ht="13.5">
      <c r="A33" s="285" t="s">
        <v>31</v>
      </c>
      <c r="B33" s="306">
        <f>Лист1!B35+Лист2!B27+Лист5!B28+Лист7!B28+Лист6!B26+Лист3!B26</f>
        <v>0</v>
      </c>
      <c r="C33" s="306">
        <f>Лист1!C35+Лист2!C27+Лист5!C28+Лист7!C28+Лист6!C26+Лист3!C26</f>
        <v>0</v>
      </c>
      <c r="D33" s="304" t="str">
        <f t="shared" si="0"/>
        <v>   </v>
      </c>
      <c r="E33" s="305">
        <f t="shared" si="1"/>
        <v>0</v>
      </c>
    </row>
    <row r="34" spans="1:5" ht="13.5">
      <c r="A34" s="285" t="s">
        <v>32</v>
      </c>
      <c r="B34" s="306">
        <f>B35+B36</f>
        <v>0</v>
      </c>
      <c r="C34" s="306">
        <f>C35+C36</f>
        <v>3957.37</v>
      </c>
      <c r="D34" s="304" t="str">
        <f t="shared" si="0"/>
        <v>   </v>
      </c>
      <c r="E34" s="305">
        <f t="shared" si="1"/>
        <v>3957.37</v>
      </c>
    </row>
    <row r="35" spans="1:5" ht="13.5">
      <c r="A35" s="285" t="s">
        <v>46</v>
      </c>
      <c r="B35" s="306">
        <v>0</v>
      </c>
      <c r="C35" s="306">
        <f>Лист1!C39+Лист2!C29+Лист4!C27+Лист6!C28+Лист7!C30+Лист8!C28+Лист9!C31+Лист3!C28+Лист10!C28+Лист5!C27</f>
        <v>3957.37</v>
      </c>
      <c r="D35" s="304"/>
      <c r="E35" s="305">
        <f t="shared" si="1"/>
        <v>3957.37</v>
      </c>
    </row>
    <row r="36" spans="1:5" ht="13.5">
      <c r="A36" s="285" t="s">
        <v>50</v>
      </c>
      <c r="B36" s="306">
        <f>Лист1!B40+Лист2!B30+Лист3!B29+Лист4!B28+Лист5!B27+Лист6!B29+Лист7!B31+Лист8!B29+Лист9!B32+Лист10!B29</f>
        <v>0</v>
      </c>
      <c r="C36" s="306">
        <f>Лист1!C40+Лист2!C30+Лист3!C29+Лист4!C28+Лист6!C29+Лист7!C31+Лист8!C29+Лист9!C32+Лист10!C29</f>
        <v>0</v>
      </c>
      <c r="D36" s="304" t="str">
        <f>IF(B36=0,"   ",C36/B36*100)</f>
        <v>   </v>
      </c>
      <c r="E36" s="305">
        <f t="shared" si="1"/>
        <v>0</v>
      </c>
    </row>
    <row r="37" spans="1:5" ht="18" customHeight="1">
      <c r="A37" s="308" t="s">
        <v>10</v>
      </c>
      <c r="B37" s="309">
        <f>SUM(B6,B8,B10,B12,B18,B19,B26,B29,B34,+B33+B17)</f>
        <v>32793600</v>
      </c>
      <c r="C37" s="309">
        <f>SUM(C6,C8,C10,C12,C18,C19,C26,C29,C34,+C33+C17)</f>
        <v>1518828.67</v>
      </c>
      <c r="D37" s="310">
        <f>IF(B37=0,"   ",C37/B37*100)</f>
        <v>4.631478916617877</v>
      </c>
      <c r="E37" s="311">
        <f t="shared" si="1"/>
        <v>-31274771.33</v>
      </c>
    </row>
    <row r="38" spans="1:5" ht="33" customHeight="1">
      <c r="A38" s="302" t="s">
        <v>34</v>
      </c>
      <c r="B38" s="303">
        <f>Лист1!B45+Лист2!B33+Лист3!B33+Лист4!B32+Лист5!B31+Лист6!B32+Лист7!B34+Лист8!B33+Лист9!B35+Лист10!B32</f>
        <v>30569300</v>
      </c>
      <c r="C38" s="303">
        <f>Лист1!C45+Лист2!C33+Лист3!C33+Лист4!C32+Лист5!C31+Лист6!C32+Лист7!C34+Лист8!C33+Лист9!C35+Лист10!C32</f>
        <v>2524050</v>
      </c>
      <c r="D38" s="304">
        <f>IF(B38=0,"   ",C38/B38*100)</f>
        <v>8.256813208022427</v>
      </c>
      <c r="E38" s="305">
        <f t="shared" si="1"/>
        <v>-28045250</v>
      </c>
    </row>
    <row r="39" spans="1:5" ht="33" customHeight="1">
      <c r="A39" s="302" t="s">
        <v>226</v>
      </c>
      <c r="B39" s="303">
        <f>Лист1!B46+Лист2!B34+Лист3!B34+Лист4!B33+Лист5!B32+Лист6!B33+Лист7!B35+Лист8!B34+Лист9!B36+Лист10!B33</f>
        <v>0</v>
      </c>
      <c r="C39" s="303">
        <f>Лист1!C46+Лист2!C34+Лист3!C34+Лист4!C33+Лист5!C32+Лист6!C33+Лист7!C35+Лист8!C34+Лист9!C36+Лист10!C33</f>
        <v>0</v>
      </c>
      <c r="D39" s="304" t="str">
        <f>IF(B39=0,"   ",C39/B39*100)</f>
        <v>   </v>
      </c>
      <c r="E39" s="305">
        <f>C39-B39</f>
        <v>0</v>
      </c>
    </row>
    <row r="40" spans="1:5" ht="13.5">
      <c r="A40" s="312" t="s">
        <v>115</v>
      </c>
      <c r="B40" s="303">
        <f>SUM(B42:B49)</f>
        <v>26033640</v>
      </c>
      <c r="C40" s="303">
        <f>SUM(C42:C49)</f>
        <v>0</v>
      </c>
      <c r="D40" s="304">
        <f>IF(B40=0,"   ",C40/B40*100)</f>
        <v>0</v>
      </c>
      <c r="E40" s="305">
        <f t="shared" si="1"/>
        <v>-26033640</v>
      </c>
    </row>
    <row r="41" spans="1:5" ht="13.5">
      <c r="A41" s="302" t="s">
        <v>116</v>
      </c>
      <c r="B41" s="303"/>
      <c r="C41" s="303"/>
      <c r="D41" s="304"/>
      <c r="E41" s="305"/>
    </row>
    <row r="42" spans="1:5" ht="33" customHeight="1">
      <c r="A42" s="285" t="s">
        <v>236</v>
      </c>
      <c r="B42" s="306">
        <v>0</v>
      </c>
      <c r="C42" s="306">
        <f>Лист2!C43</f>
        <v>0</v>
      </c>
      <c r="D42" s="304" t="str">
        <f>IF(B42=0,"   ",C42/B42*100)</f>
        <v>   </v>
      </c>
      <c r="E42" s="305">
        <f aca="true" t="shared" si="2" ref="E42:E49">C42-B42</f>
        <v>0</v>
      </c>
    </row>
    <row r="43" spans="1:5" ht="45" customHeight="1">
      <c r="A43" s="285" t="s">
        <v>178</v>
      </c>
      <c r="B43" s="313">
        <v>0</v>
      </c>
      <c r="C43" s="313">
        <v>0</v>
      </c>
      <c r="D43" s="314" t="str">
        <f>IF(B43=0,"   ",C43/B43)</f>
        <v>   </v>
      </c>
      <c r="E43" s="315">
        <f t="shared" si="2"/>
        <v>0</v>
      </c>
    </row>
    <row r="44" spans="1:5" ht="90" customHeight="1">
      <c r="A44" s="285" t="s">
        <v>235</v>
      </c>
      <c r="B44" s="306">
        <f>Лист1!B53+Лист2!B42+Лист3!B41+Лист4!B40+Лист5!B37+Лист6!B38+Лист7!B44+Лист8!B41+Лист9!B41+Лист10!B38</f>
        <v>6658400</v>
      </c>
      <c r="C44" s="306">
        <f>Лист1!C53+Лист2!C42+Лист3!C41+Лист4!C40+Лист5!C37+Лист6!C38+Лист7!C44+Лист8!C41+Лист9!C41+Лист10!C38</f>
        <v>0</v>
      </c>
      <c r="D44" s="304">
        <f aca="true" t="shared" si="3" ref="D44:D49">IF(B44=0,"   ",C44/B44*100)</f>
        <v>0</v>
      </c>
      <c r="E44" s="305">
        <f t="shared" si="2"/>
        <v>-6658400</v>
      </c>
    </row>
    <row r="45" spans="1:5" ht="96" customHeight="1">
      <c r="A45" s="285" t="s">
        <v>237</v>
      </c>
      <c r="B45" s="306">
        <f>Лист7!B45</f>
        <v>1567100</v>
      </c>
      <c r="C45" s="306">
        <f>Лист7!C45</f>
        <v>0</v>
      </c>
      <c r="D45" s="304">
        <f t="shared" si="3"/>
        <v>0</v>
      </c>
      <c r="E45" s="305">
        <f t="shared" si="2"/>
        <v>-1567100</v>
      </c>
    </row>
    <row r="46" spans="1:5" ht="60" customHeight="1">
      <c r="A46" s="285" t="s">
        <v>255</v>
      </c>
      <c r="B46" s="306">
        <v>0</v>
      </c>
      <c r="C46" s="306">
        <v>0</v>
      </c>
      <c r="D46" s="304" t="str">
        <f t="shared" si="3"/>
        <v>   </v>
      </c>
      <c r="E46" s="305">
        <f t="shared" si="2"/>
        <v>0</v>
      </c>
    </row>
    <row r="47" spans="1:5" ht="49.5" customHeight="1">
      <c r="A47" s="285" t="s">
        <v>267</v>
      </c>
      <c r="B47" s="306">
        <f>Лист2!B43+Лист4!B41+Лист9!B42</f>
        <v>0</v>
      </c>
      <c r="C47" s="306">
        <f>Лист2!C43+Лист4!C41+Лист9!C42</f>
        <v>0</v>
      </c>
      <c r="D47" s="304" t="str">
        <f t="shared" si="3"/>
        <v>   </v>
      </c>
      <c r="E47" s="305">
        <f t="shared" si="2"/>
        <v>0</v>
      </c>
    </row>
    <row r="48" spans="1:5" ht="49.5" customHeight="1">
      <c r="A48" s="285" t="s">
        <v>301</v>
      </c>
      <c r="B48" s="306">
        <f>Лист6!B39</f>
        <v>0</v>
      </c>
      <c r="C48" s="306">
        <f>Лист6!C39</f>
        <v>0</v>
      </c>
      <c r="D48" s="304" t="str">
        <f t="shared" si="3"/>
        <v>   </v>
      </c>
      <c r="E48" s="305">
        <f>C48-B48</f>
        <v>0</v>
      </c>
    </row>
    <row r="49" spans="1:5" ht="13.5">
      <c r="A49" s="285" t="s">
        <v>106</v>
      </c>
      <c r="B49" s="306">
        <f>SUM(B51:B59)</f>
        <v>17808140</v>
      </c>
      <c r="C49" s="306">
        <f>SUM(C51:C59)</f>
        <v>0</v>
      </c>
      <c r="D49" s="304">
        <f t="shared" si="3"/>
        <v>0</v>
      </c>
      <c r="E49" s="305">
        <f t="shared" si="2"/>
        <v>-17808140</v>
      </c>
    </row>
    <row r="50" spans="1:5" ht="13.5">
      <c r="A50" s="285" t="s">
        <v>117</v>
      </c>
      <c r="B50" s="306"/>
      <c r="C50" s="306"/>
      <c r="D50" s="304"/>
      <c r="E50" s="305"/>
    </row>
    <row r="51" spans="1:5" ht="27">
      <c r="A51" s="285" t="s">
        <v>219</v>
      </c>
      <c r="B51" s="306">
        <f>Лист1!B56</f>
        <v>0</v>
      </c>
      <c r="C51" s="306">
        <f>Лист1!C56</f>
        <v>0</v>
      </c>
      <c r="D51" s="304" t="str">
        <f>IF(B51=0,"   ",C51/B51*100)</f>
        <v>   </v>
      </c>
      <c r="E51" s="305">
        <f>C51-B51</f>
        <v>0</v>
      </c>
    </row>
    <row r="52" spans="1:5" ht="27" customHeight="1">
      <c r="A52" s="285" t="s">
        <v>218</v>
      </c>
      <c r="B52" s="306">
        <f>Лист1!B55+Лист2!B45+Лист3!B43+Лист4!B43+Лист5!B42+Лист6!B44+Лист7!B48+Лист8!B43+Лист9!B44+Лист10!B40</f>
        <v>0</v>
      </c>
      <c r="C52" s="306">
        <f>Лист1!C55+Лист2!C45+Лист3!C43+Лист4!C43+Лист5!C42+Лист6!C44+Лист7!C48+Лист8!C43+Лист9!C44+Лист10!C40</f>
        <v>0</v>
      </c>
      <c r="D52" s="306" t="str">
        <f>Лист7!D48</f>
        <v>   </v>
      </c>
      <c r="E52" s="305">
        <f>C52-B52</f>
        <v>0</v>
      </c>
    </row>
    <row r="53" spans="1:5" ht="23.25" customHeight="1">
      <c r="A53" s="285" t="s">
        <v>269</v>
      </c>
      <c r="B53" s="306">
        <f>Лист7!B49</f>
        <v>0</v>
      </c>
      <c r="C53" s="306">
        <f>Лист7!C49</f>
        <v>0</v>
      </c>
      <c r="D53" s="306" t="str">
        <f>Лист7!D49</f>
        <v>   </v>
      </c>
      <c r="E53" s="306">
        <f>Лист7!E49</f>
        <v>0</v>
      </c>
    </row>
    <row r="54" spans="1:5" ht="23.25" customHeight="1">
      <c r="A54" s="285" t="s">
        <v>303</v>
      </c>
      <c r="B54" s="306">
        <f>Лист7!B50</f>
        <v>0</v>
      </c>
      <c r="C54" s="306">
        <f>Лист7!C50</f>
        <v>0</v>
      </c>
      <c r="D54" s="306" t="str">
        <f>Лист7!D50</f>
        <v>   </v>
      </c>
      <c r="E54" s="306">
        <f>Лист7!E50</f>
        <v>0</v>
      </c>
    </row>
    <row r="55" spans="1:5" ht="28.5" customHeight="1">
      <c r="A55" s="257" t="s">
        <v>336</v>
      </c>
      <c r="B55" s="306">
        <f>Лист7!B51</f>
        <v>8969440</v>
      </c>
      <c r="C55" s="306">
        <f>Лист7!C51</f>
        <v>0</v>
      </c>
      <c r="D55" s="304">
        <f>IF(B55=0,"   ",C55/B55*100)</f>
        <v>0</v>
      </c>
      <c r="E55" s="305">
        <f aca="true" t="shared" si="4" ref="E55:E60">C55-B55</f>
        <v>-8969440</v>
      </c>
    </row>
    <row r="56" spans="1:5" ht="32.25" customHeight="1">
      <c r="A56" s="257" t="s">
        <v>337</v>
      </c>
      <c r="B56" s="306">
        <f>Лист7!B52</f>
        <v>3421600</v>
      </c>
      <c r="C56" s="306">
        <f>Лист7!C52</f>
        <v>0</v>
      </c>
      <c r="D56" s="304">
        <f>IF(B56=0,"   ",C56/B56*100)</f>
        <v>0</v>
      </c>
      <c r="E56" s="305">
        <f t="shared" si="4"/>
        <v>-3421600</v>
      </c>
    </row>
    <row r="57" spans="1:5" ht="32.25" customHeight="1">
      <c r="A57" s="285" t="s">
        <v>288</v>
      </c>
      <c r="B57" s="306">
        <f>Лист1!B57+Лист2!B47+Лист3!B45+Лист5!B41+Лист6!B43+Лист7!B53+Лист8!B45+Лист9!B45+Лист10!B41</f>
        <v>0</v>
      </c>
      <c r="C57" s="306">
        <f>Лист1!C57+Лист2!C47+Лист3!C45+Лист5!C41+Лист6!C43+Лист7!C53+Лист8!C45+Лист9!C45+Лист10!C41</f>
        <v>0</v>
      </c>
      <c r="D57" s="306" t="str">
        <f>Лист7!D53</f>
        <v>   </v>
      </c>
      <c r="E57" s="305">
        <f t="shared" si="4"/>
        <v>0</v>
      </c>
    </row>
    <row r="58" spans="1:5" ht="32.25" customHeight="1">
      <c r="A58" s="46" t="s">
        <v>333</v>
      </c>
      <c r="B58" s="306">
        <f>Лист2!B46+Лист3!B44+Лист5!B40+Лист6!B42+Лист7!B54+Лист8!B44</f>
        <v>827300</v>
      </c>
      <c r="C58" s="306">
        <f>Лист2!C46+Лист3!C44+Лист5!C40+Лист6!C42+Лист7!C54+Лист8!C44</f>
        <v>0</v>
      </c>
      <c r="D58" s="304">
        <f>IF(B58=0,"   ",C58/B58*100)</f>
        <v>0</v>
      </c>
      <c r="E58" s="305">
        <f t="shared" si="4"/>
        <v>-827300</v>
      </c>
    </row>
    <row r="59" spans="1:5" s="59" customFormat="1" ht="48" customHeight="1">
      <c r="A59" s="285" t="s">
        <v>118</v>
      </c>
      <c r="B59" s="306">
        <f>Лист1!B58+Лист2!B48+Лист3!B46+Лист4!B44+Лист5!B39+Лист6!B41+Лист7!B55+Лист8!B46+Лист9!B46+Лист10!B42</f>
        <v>4589800</v>
      </c>
      <c r="C59" s="306">
        <f>Лист1!C58+Лист2!C48+Лист3!C46+Лист4!C44+Лист5!C39+Лист6!C41+Лист7!C55+Лист8!C46+Лист9!C46+Лист10!C42</f>
        <v>0</v>
      </c>
      <c r="D59" s="304">
        <f>IF(B59=0,"   ",C59/B59*100)</f>
        <v>0</v>
      </c>
      <c r="E59" s="305">
        <f t="shared" si="4"/>
        <v>-4589800</v>
      </c>
    </row>
    <row r="60" spans="1:5" s="59" customFormat="1" ht="13.5">
      <c r="A60" s="312" t="s">
        <v>19</v>
      </c>
      <c r="B60" s="306">
        <f>B62+B63</f>
        <v>1470400</v>
      </c>
      <c r="C60" s="306">
        <f>C62+C63</f>
        <v>120600</v>
      </c>
      <c r="D60" s="304">
        <f>IF(B60=0,"   ",C60/B60*100)</f>
        <v>8.201849836779108</v>
      </c>
      <c r="E60" s="305">
        <f t="shared" si="4"/>
        <v>-1349800</v>
      </c>
    </row>
    <row r="61" spans="1:5" ht="13.5">
      <c r="A61" s="302" t="s">
        <v>116</v>
      </c>
      <c r="B61" s="303"/>
      <c r="C61" s="303"/>
      <c r="D61" s="304"/>
      <c r="E61" s="305"/>
    </row>
    <row r="62" spans="1:5" ht="48.75" customHeight="1">
      <c r="A62" s="316" t="s">
        <v>51</v>
      </c>
      <c r="B62" s="317">
        <f>Лист1!B47+Лист2!B36+Лист3!B35+Лист4!B34+Лист5!B33+Лист6!B34+Лист7!B36+Лист8!B35+Лист9!B37+Лист10!B34</f>
        <v>1447400</v>
      </c>
      <c r="C62" s="317">
        <f>Лист1!C47+Лист2!C36+Лист3!C35+Лист4!C34+Лист5!C33+Лист6!C34+Лист7!C36+Лист8!C35+Лист9!C37+Лист10!C34</f>
        <v>120600</v>
      </c>
      <c r="D62" s="318">
        <f>IF(B62=0,"   ",C62/B62*100)</f>
        <v>8.332181843305236</v>
      </c>
      <c r="E62" s="319">
        <f>C62-B62</f>
        <v>-1326800</v>
      </c>
    </row>
    <row r="63" spans="1:5" ht="45" customHeight="1">
      <c r="A63" s="316" t="s">
        <v>148</v>
      </c>
      <c r="B63" s="317">
        <f>Лист1!B48+Лист2!B37+Лист3!B36+Лист4!B35+Лист5!B34+Лист6!B35+Лист7!B37+Лист8!B36+Лист9!B38+Лист10!B35</f>
        <v>23000</v>
      </c>
      <c r="C63" s="317">
        <f>Лист1!C48+Лист2!C37+Лист3!C36+Лист4!C35+Лист5!C34+Лист6!C35+Лист7!C37+Лист8!C36+Лист9!C38+Лист10!C35</f>
        <v>0</v>
      </c>
      <c r="D63" s="318">
        <f>IF(B63=0,"   ",C63/B63*100)</f>
        <v>0</v>
      </c>
      <c r="E63" s="319">
        <f>C63-B63</f>
        <v>-23000</v>
      </c>
    </row>
    <row r="64" spans="1:5" ht="27.75" customHeight="1">
      <c r="A64" s="316" t="s">
        <v>163</v>
      </c>
      <c r="B64" s="317">
        <f>Лист1!B49+Лист2!B38+Лист3!B37+Лист4!B36+Лист5!B35+Лист6!B36+Лист7!B38+Лист8!B37+Лист9!B39+Лист10!B36</f>
        <v>1700</v>
      </c>
      <c r="C64" s="317">
        <f>Лист1!C49+Лист2!C38+Лист3!C37+Лист4!C36+Лист5!C35+Лист6!C36+Лист7!C38+Лист8!C37+Лист9!C39+Лист10!C36</f>
        <v>0</v>
      </c>
      <c r="D64" s="318">
        <f>IF(B64=0,"   ",C64/B64*100)</f>
        <v>0</v>
      </c>
      <c r="E64" s="319">
        <f>C64-B64</f>
        <v>-1700</v>
      </c>
    </row>
    <row r="65" spans="1:5" ht="47.25" customHeight="1">
      <c r="A65" s="316" t="s">
        <v>164</v>
      </c>
      <c r="B65" s="317">
        <f>Лист1!B50+Лист2!B39+Лист3!B38+Лист4!B37+Лист5!B36+Лист6!B37+Лист7!B39+Лист8!B38+Лист9!B40+Лист10!B37</f>
        <v>21300</v>
      </c>
      <c r="C65" s="317">
        <f>Лист1!C50+Лист2!C39+Лист3!C38+Лист4!C37+Лист5!C36+Лист6!C37+Лист7!C39+Лист8!C38+Лист9!C40+Лист10!C37</f>
        <v>0</v>
      </c>
      <c r="D65" s="318">
        <f>IF(B65=0,"   ",C65/B65*100)</f>
        <v>0</v>
      </c>
      <c r="E65" s="319">
        <f>C65-B65</f>
        <v>-21300</v>
      </c>
    </row>
    <row r="66" spans="1:5" ht="13.5">
      <c r="A66" s="312" t="s">
        <v>119</v>
      </c>
      <c r="B66" s="306">
        <f>B68+B72+B69+B71+B70</f>
        <v>5563927.65</v>
      </c>
      <c r="C66" s="306">
        <f>C68+C72+C69+C71+C70</f>
        <v>0</v>
      </c>
      <c r="D66" s="304">
        <f>IF(B66=0,"   ",C66/B66*100)</f>
        <v>0</v>
      </c>
      <c r="E66" s="305">
        <f t="shared" si="1"/>
        <v>-5563927.65</v>
      </c>
    </row>
    <row r="67" spans="1:5" ht="13.5">
      <c r="A67" s="302" t="s">
        <v>116</v>
      </c>
      <c r="B67" s="303"/>
      <c r="C67" s="303"/>
      <c r="D67" s="304"/>
      <c r="E67" s="305"/>
    </row>
    <row r="68" spans="1:5" ht="89.25" customHeight="1">
      <c r="A68" s="285" t="s">
        <v>259</v>
      </c>
      <c r="B68" s="306">
        <f>Лист7!B46</f>
        <v>0</v>
      </c>
      <c r="C68" s="306">
        <f>Лист7!C46</f>
        <v>0</v>
      </c>
      <c r="D68" s="304" t="str">
        <f aca="true" t="shared" si="5" ref="D68:D101">IF(B68=0,"   ",C68/B68*100)</f>
        <v>   </v>
      </c>
      <c r="E68" s="305">
        <f aca="true" t="shared" si="6" ref="E68:E73">C68-B68</f>
        <v>0</v>
      </c>
    </row>
    <row r="69" spans="1:5" ht="85.5" customHeight="1">
      <c r="A69" s="285" t="s">
        <v>258</v>
      </c>
      <c r="B69" s="313">
        <f>Лист7!B43</f>
        <v>5563927.65</v>
      </c>
      <c r="C69" s="313">
        <f>Лист7!C43</f>
        <v>0</v>
      </c>
      <c r="D69" s="304">
        <f>IF(B69=0,"   ",C69/B69*100)</f>
        <v>0</v>
      </c>
      <c r="E69" s="305">
        <f t="shared" si="6"/>
        <v>-5563927.65</v>
      </c>
    </row>
    <row r="70" spans="1:5" ht="63" customHeight="1">
      <c r="A70" s="285" t="s">
        <v>292</v>
      </c>
      <c r="B70" s="317">
        <f>Лист2!B40+Лист4!B38+Лист9!B47</f>
        <v>0</v>
      </c>
      <c r="C70" s="317">
        <f>Лист2!C40+Лист4!C38+Лист9!C47</f>
        <v>0</v>
      </c>
      <c r="D70" s="304" t="str">
        <f>IF(B70=0,"   ",C70/B70*100)</f>
        <v>   </v>
      </c>
      <c r="E70" s="305">
        <f t="shared" si="6"/>
        <v>0</v>
      </c>
    </row>
    <row r="71" spans="1:5" ht="50.25" customHeight="1">
      <c r="A71" s="285" t="s">
        <v>287</v>
      </c>
      <c r="B71" s="313">
        <f>Лист7!B42</f>
        <v>0</v>
      </c>
      <c r="C71" s="313">
        <f>Лист7!C42</f>
        <v>0</v>
      </c>
      <c r="D71" s="304" t="str">
        <f>IF(B71=0,"   ",C71/B71*100)</f>
        <v>   </v>
      </c>
      <c r="E71" s="305">
        <f t="shared" si="6"/>
        <v>0</v>
      </c>
    </row>
    <row r="72" spans="1:5" ht="33" customHeight="1">
      <c r="A72" s="285" t="s">
        <v>170</v>
      </c>
      <c r="B72" s="317">
        <f>Лист1!B52+Лист2!B41+Лист3!B40+Лист6!B45+Лист8!B40+Лист10!B43+Лист4!B39+Лист5!B44+Лист7!B41+Лист9!B48</f>
        <v>0</v>
      </c>
      <c r="C72" s="317">
        <f>Лист1!C52+Лист2!C41+Лист3!C40+Лист6!C45+Лист8!C40+Лист10!C43+Лист4!C39+Лист5!C44+Лист7!C41+Лист9!C48</f>
        <v>0</v>
      </c>
      <c r="D72" s="304" t="str">
        <f t="shared" si="5"/>
        <v>   </v>
      </c>
      <c r="E72" s="305">
        <f t="shared" si="6"/>
        <v>0</v>
      </c>
    </row>
    <row r="73" spans="1:5" ht="21" customHeight="1">
      <c r="A73" s="308" t="s">
        <v>185</v>
      </c>
      <c r="B73" s="306">
        <f>Лист1!B59+Лист2!B49+Лист3!B47+Лист4!B45+Лист5!B45+Лист6!B47+Лист7!B56+Лист8!B47+Лист9!B49+Лист10!B45</f>
        <v>0</v>
      </c>
      <c r="C73" s="306">
        <f>Лист1!C59+Лист2!C49+Лист3!C47+Лист4!C45+Лист5!C45+Лист6!C47+Лист7!C56+Лист8!C47+Лист9!C49+Лист10!C45</f>
        <v>0</v>
      </c>
      <c r="D73" s="304" t="str">
        <f>IF(B73=0,"   ",C73/B73*100)</f>
        <v>   </v>
      </c>
      <c r="E73" s="305">
        <f t="shared" si="6"/>
        <v>0</v>
      </c>
    </row>
    <row r="74" spans="1:5" ht="13.5">
      <c r="A74" s="308" t="s">
        <v>104</v>
      </c>
      <c r="B74" s="309">
        <f>B38+B40+B60+B66+B73+B39</f>
        <v>63637267.65</v>
      </c>
      <c r="C74" s="309">
        <f>C38+C40+C60+C66+C73+C39</f>
        <v>2644650</v>
      </c>
      <c r="D74" s="310">
        <f t="shared" si="5"/>
        <v>4.155819534153114</v>
      </c>
      <c r="E74" s="311">
        <f aca="true" t="shared" si="7" ref="E74:E119">C74-B74</f>
        <v>-60992617.65</v>
      </c>
    </row>
    <row r="75" spans="1:5" ht="23.25" customHeight="1">
      <c r="A75" s="308" t="s">
        <v>11</v>
      </c>
      <c r="B75" s="309">
        <f>B37+B74</f>
        <v>96430867.65</v>
      </c>
      <c r="C75" s="309">
        <f>C37+C74</f>
        <v>4163478.67</v>
      </c>
      <c r="D75" s="310">
        <f t="shared" si="5"/>
        <v>4.317578770639631</v>
      </c>
      <c r="E75" s="311">
        <f t="shared" si="7"/>
        <v>-92267388.98</v>
      </c>
    </row>
    <row r="76" spans="1:5" ht="13.5" hidden="1">
      <c r="A76" s="308" t="s">
        <v>48</v>
      </c>
      <c r="B76" s="306"/>
      <c r="C76" s="306"/>
      <c r="D76" s="304" t="str">
        <f t="shared" si="5"/>
        <v>   </v>
      </c>
      <c r="E76" s="305">
        <f t="shared" si="7"/>
        <v>0</v>
      </c>
    </row>
    <row r="77" spans="1:5" ht="14.25">
      <c r="A77" s="320" t="s">
        <v>12</v>
      </c>
      <c r="B77" s="321"/>
      <c r="C77" s="322"/>
      <c r="D77" s="304" t="str">
        <f t="shared" si="5"/>
        <v>   </v>
      </c>
      <c r="E77" s="305"/>
    </row>
    <row r="78" spans="1:5" ht="13.5">
      <c r="A78" s="285" t="s">
        <v>35</v>
      </c>
      <c r="B78" s="306">
        <f>Лист1!B62+Лист2!B53+Лист3!B50+Лист4!B48+Лист5!B49+Лист6!B50+Лист7!B60+Лист8!B50+Лист9!B52+Лист10!B49</f>
        <v>15275800</v>
      </c>
      <c r="C78" s="306">
        <f>Лист1!C62+Лист2!C53+Лист3!C50+Лист4!C48+Лист5!C49+Лист6!C50+Лист7!C60+Лист8!C50+Лист9!C52+Лист10!C49</f>
        <v>338151.2</v>
      </c>
      <c r="D78" s="304">
        <f t="shared" si="5"/>
        <v>2.213639874834706</v>
      </c>
      <c r="E78" s="305">
        <f t="shared" si="7"/>
        <v>-14937648.8</v>
      </c>
    </row>
    <row r="79" spans="1:5" ht="13.5" customHeight="1">
      <c r="A79" s="285" t="s">
        <v>36</v>
      </c>
      <c r="B79" s="306">
        <f>Лист1!B63+Лист2!B54+Лист3!B51+Лист4!B49+Лист5!B50+Лист6!B51+Лист7!B61+Лист8!B51+Лист9!B53+Лист10!B50</f>
        <v>14879300</v>
      </c>
      <c r="C79" s="306">
        <f>Лист1!C63+Лист2!C54+Лист3!C51+Лист4!C49+Лист5!C50+Лист6!C51+Лист7!C61+Лист8!C51+Лист9!C53+Лист10!C50</f>
        <v>338151.2</v>
      </c>
      <c r="D79" s="304">
        <f t="shared" si="5"/>
        <v>2.2726284166593858</v>
      </c>
      <c r="E79" s="305">
        <f t="shared" si="7"/>
        <v>-14541148.8</v>
      </c>
    </row>
    <row r="80" spans="1:5" ht="13.5">
      <c r="A80" s="285" t="s">
        <v>121</v>
      </c>
      <c r="B80" s="306">
        <f>Лист1!B64+Лист2!B55+Лист3!B52+Лист4!B50+Лист5!B51+Лист6!B52+Лист7!B62+Лист8!B52+Лист9!B54+Лист10!B51</f>
        <v>9335561</v>
      </c>
      <c r="C80" s="306">
        <f>Лист1!C64+Лист2!C55+Лист3!C52+Лист4!C50+Лист5!C51+Лист6!C52+Лист7!C62+Лист8!C52+Лист9!C54+Лист10!C51</f>
        <v>221700</v>
      </c>
      <c r="D80" s="304">
        <f t="shared" si="5"/>
        <v>2.3747903312934273</v>
      </c>
      <c r="E80" s="305">
        <f t="shared" si="7"/>
        <v>-9113861</v>
      </c>
    </row>
    <row r="81" spans="1:5" ht="13.5">
      <c r="A81" s="285" t="s">
        <v>276</v>
      </c>
      <c r="B81" s="306">
        <f>Лист1!B65+Лист2!B56+Лист3!B53+Лист4!B51+Лист5!B52+Лист6!B53+Лист7!B63+Лист8!B53+Лист9!B55+Лист10!B52</f>
        <v>1700</v>
      </c>
      <c r="C81" s="306">
        <f>Лист1!C65+Лист2!C56+Лист3!C53+Лист4!C51+Лист5!C52+Лист6!C53+Лист7!C63+Лист8!C53+Лист9!C55+Лист10!C52</f>
        <v>0</v>
      </c>
      <c r="D81" s="304">
        <f>IF(B81=0,"   ",C81/B81*100)</f>
        <v>0</v>
      </c>
      <c r="E81" s="305">
        <f>C81-B81</f>
        <v>-1700</v>
      </c>
    </row>
    <row r="82" spans="1:5" ht="13.5">
      <c r="A82" s="285" t="s">
        <v>95</v>
      </c>
      <c r="B82" s="306">
        <f>Лист1!B66+Лист2!B57+Лист3!B54+Лист4!B52+Лист5!B53+Лист6!B54+Лист7!B64+Лист8!B54+Лист9!B56+Лист10!B53</f>
        <v>14500</v>
      </c>
      <c r="C82" s="306">
        <f>Лист1!C66+Лист2!C57+Лист3!C54+Лист4!C52+Лист5!C53+Лист6!C54+Лист7!C64+Лист8!C54+Лист9!C56+Лист10!C53</f>
        <v>0</v>
      </c>
      <c r="D82" s="304">
        <f t="shared" si="5"/>
        <v>0</v>
      </c>
      <c r="E82" s="305">
        <f t="shared" si="7"/>
        <v>-14500</v>
      </c>
    </row>
    <row r="83" spans="1:5" ht="13.5">
      <c r="A83" s="285" t="s">
        <v>52</v>
      </c>
      <c r="B83" s="307">
        <f>SUM(B84:B88)</f>
        <v>382000</v>
      </c>
      <c r="C83" s="307">
        <f>SUM(C84:C88)</f>
        <v>0</v>
      </c>
      <c r="D83" s="304">
        <f t="shared" si="5"/>
        <v>0</v>
      </c>
      <c r="E83" s="305">
        <f t="shared" si="7"/>
        <v>-382000</v>
      </c>
    </row>
    <row r="84" spans="1:5" ht="27">
      <c r="A84" s="188" t="s">
        <v>240</v>
      </c>
      <c r="B84" s="306">
        <f>Лист7!B67</f>
        <v>2000</v>
      </c>
      <c r="C84" s="306">
        <f>Лист7!C67</f>
        <v>0</v>
      </c>
      <c r="D84" s="304">
        <f>IF(B84=0,"   ",C84/B84*100)</f>
        <v>0</v>
      </c>
      <c r="E84" s="305">
        <f>C84-B84</f>
        <v>-2000</v>
      </c>
    </row>
    <row r="85" spans="1:5" ht="47.25" customHeight="1">
      <c r="A85" s="188" t="s">
        <v>241</v>
      </c>
      <c r="B85" s="306">
        <f>Лист3!B56+Лист7!B66+Лист1!B68+Лист2!B59+Лист4!B55+Лист5!B55+Лист6!B56+Лист8!B56+Лист9!B58+Лист10!B55</f>
        <v>230000</v>
      </c>
      <c r="C85" s="306">
        <f>Лист3!C56+Лист7!C66+Лист1!C68+Лист2!C59+Лист4!C55+Лист5!C55+Лист6!C56+Лист8!C56+Лист9!C58+Лист10!C55</f>
        <v>0</v>
      </c>
      <c r="D85" s="304">
        <f>IF(B85=0,"   ",C85/B85*100)</f>
        <v>0</v>
      </c>
      <c r="E85" s="305">
        <f>C85-B85</f>
        <v>-230000</v>
      </c>
    </row>
    <row r="86" spans="1:5" ht="26.25" customHeight="1">
      <c r="A86" s="188" t="s">
        <v>294</v>
      </c>
      <c r="B86" s="306">
        <f>Лист3!B57</f>
        <v>0</v>
      </c>
      <c r="C86" s="306">
        <f>Лист3!C57</f>
        <v>0</v>
      </c>
      <c r="D86" s="304" t="str">
        <f t="shared" si="5"/>
        <v>   </v>
      </c>
      <c r="E86" s="305">
        <f>C86-B86</f>
        <v>0</v>
      </c>
    </row>
    <row r="87" spans="1:5" ht="22.5" customHeight="1">
      <c r="A87" s="188" t="s">
        <v>221</v>
      </c>
      <c r="B87" s="306">
        <f>Лист4!B54+Лист7!B69+Лист5!B56+Лист1!B69</f>
        <v>150000</v>
      </c>
      <c r="C87" s="306">
        <f>Лист4!C54+Лист7!C69+Лист5!C56+Лист1!C69</f>
        <v>0</v>
      </c>
      <c r="D87" s="304">
        <f>IF(B87=0,"   ",C87/B87*100)</f>
        <v>0</v>
      </c>
      <c r="E87" s="305">
        <f>C87-B87</f>
        <v>-150000</v>
      </c>
    </row>
    <row r="88" spans="1:5" ht="33" customHeight="1">
      <c r="A88" s="188" t="s">
        <v>244</v>
      </c>
      <c r="B88" s="306">
        <f>Лист7!B68</f>
        <v>0</v>
      </c>
      <c r="C88" s="306">
        <f>Лист7!C68</f>
        <v>0</v>
      </c>
      <c r="D88" s="306" t="str">
        <f>Лист7!D68</f>
        <v>   </v>
      </c>
      <c r="E88" s="306">
        <f>Лист7!E68</f>
        <v>0</v>
      </c>
    </row>
    <row r="89" spans="1:5" ht="13.5">
      <c r="A89" s="285" t="s">
        <v>49</v>
      </c>
      <c r="B89" s="307">
        <f>SUM(B90)</f>
        <v>1447400</v>
      </c>
      <c r="C89" s="307">
        <f>SUM(C90)</f>
        <v>29000</v>
      </c>
      <c r="D89" s="304">
        <f t="shared" si="5"/>
        <v>2.0035926488876603</v>
      </c>
      <c r="E89" s="305">
        <f t="shared" si="7"/>
        <v>-1418400</v>
      </c>
    </row>
    <row r="90" spans="1:5" ht="33" customHeight="1">
      <c r="A90" s="285" t="s">
        <v>107</v>
      </c>
      <c r="B90" s="306">
        <f>Лист1!B71+Лист2!B61+Лист3!B59+Лист4!B57+Лист5!B58+Лист6!B58+Лист7!B71+Лист8!B58+Лист9!B60+Лист10!B57</f>
        <v>1447400</v>
      </c>
      <c r="C90" s="306">
        <f>Лист1!C71+Лист2!C61+Лист3!C59+Лист4!C57+Лист5!C58+Лист6!C58+Лист7!C71+Лист8!C58+Лист9!C60+Лист10!C57</f>
        <v>29000</v>
      </c>
      <c r="D90" s="304">
        <f t="shared" si="5"/>
        <v>2.0035926488876603</v>
      </c>
      <c r="E90" s="305">
        <f t="shared" si="7"/>
        <v>-1418400</v>
      </c>
    </row>
    <row r="91" spans="1:5" ht="27">
      <c r="A91" s="285" t="s">
        <v>37</v>
      </c>
      <c r="B91" s="306">
        <f>Лист1!B72+Лист2!B62+Лист3!B60+Лист4!B58+Лист5!B59+Лист6!B59+Лист7!B72+Лист8!B59+Лист9!B61+Лист10!B58</f>
        <v>990400</v>
      </c>
      <c r="C91" s="306">
        <f>Лист1!C72+Лист2!C62+Лист3!C60+Лист4!C58+Лист5!C59+Лист6!C59+Лист7!C72+Лист8!C59+Лист9!C61+Лист10!C58</f>
        <v>10000</v>
      </c>
      <c r="D91" s="304">
        <f t="shared" si="5"/>
        <v>1.0096930533117932</v>
      </c>
      <c r="E91" s="305">
        <f t="shared" si="7"/>
        <v>-980400</v>
      </c>
    </row>
    <row r="92" spans="1:5" ht="45" customHeight="1">
      <c r="A92" s="285" t="s">
        <v>87</v>
      </c>
      <c r="B92" s="307">
        <f>Лист7!B73</f>
        <v>913400</v>
      </c>
      <c r="C92" s="307">
        <f>Лист7!C73</f>
        <v>10000</v>
      </c>
      <c r="D92" s="304">
        <f t="shared" si="5"/>
        <v>1.0948105977665865</v>
      </c>
      <c r="E92" s="305">
        <f t="shared" si="7"/>
        <v>-903400</v>
      </c>
    </row>
    <row r="93" spans="1:5" ht="18.75" customHeight="1">
      <c r="A93" s="285" t="s">
        <v>96</v>
      </c>
      <c r="B93" s="306">
        <f>Лист7!B74</f>
        <v>913400</v>
      </c>
      <c r="C93" s="306">
        <f>Лист7!C74</f>
        <v>10000</v>
      </c>
      <c r="D93" s="304">
        <f t="shared" si="5"/>
        <v>1.0948105977665865</v>
      </c>
      <c r="E93" s="305">
        <f t="shared" si="7"/>
        <v>-903400</v>
      </c>
    </row>
    <row r="94" spans="1:5" ht="15.75" customHeight="1">
      <c r="A94" s="285" t="s">
        <v>121</v>
      </c>
      <c r="B94" s="306">
        <f>Лист7!B75</f>
        <v>687711</v>
      </c>
      <c r="C94" s="306">
        <f>Лист7!C75</f>
        <v>10000</v>
      </c>
      <c r="D94" s="304">
        <f t="shared" si="5"/>
        <v>1.4540991782885544</v>
      </c>
      <c r="E94" s="305">
        <f t="shared" si="7"/>
        <v>-677711</v>
      </c>
    </row>
    <row r="95" spans="1:5" ht="13.5">
      <c r="A95" s="285" t="s">
        <v>97</v>
      </c>
      <c r="B95" s="306">
        <f>Лист1!B73+Лист2!B63+Лист3!B61+Лист4!B59+Лист5!B60+Лист6!B60+Лист7!B76+Лист8!B60+Лист9!B62+Лист10!B59</f>
        <v>77000</v>
      </c>
      <c r="C95" s="306">
        <f>Лист1!C73+Лист2!C63+Лист3!C61+Лист4!C59+Лист5!C60+Лист6!C60+Лист7!C76+Лист8!C60+Лист9!C62+Лист10!C59</f>
        <v>0</v>
      </c>
      <c r="D95" s="304">
        <f t="shared" si="5"/>
        <v>0</v>
      </c>
      <c r="E95" s="305">
        <f t="shared" si="7"/>
        <v>-77000</v>
      </c>
    </row>
    <row r="96" spans="1:5" ht="13.5">
      <c r="A96" s="285" t="s">
        <v>38</v>
      </c>
      <c r="B96" s="307">
        <f>B106+B99+B121+B104+B97</f>
        <v>22481173.66</v>
      </c>
      <c r="C96" s="307">
        <f>C106+C99+C121+C104+C97</f>
        <v>37323.9</v>
      </c>
      <c r="D96" s="304">
        <f t="shared" si="5"/>
        <v>0.16602291572707864</v>
      </c>
      <c r="E96" s="305">
        <f t="shared" si="7"/>
        <v>-22443849.76</v>
      </c>
    </row>
    <row r="97" spans="1:5" ht="13.5">
      <c r="A97" s="323" t="s">
        <v>238</v>
      </c>
      <c r="B97" s="307">
        <f>B98</f>
        <v>268800</v>
      </c>
      <c r="C97" s="307">
        <f>C98</f>
        <v>2558.4</v>
      </c>
      <c r="D97" s="304">
        <f>IF(B97=0,"   ",C97/B97*100)</f>
        <v>0.9517857142857143</v>
      </c>
      <c r="E97" s="305">
        <f t="shared" si="7"/>
        <v>-266241.6</v>
      </c>
    </row>
    <row r="98" spans="1:5" ht="27">
      <c r="A98" s="324" t="s">
        <v>239</v>
      </c>
      <c r="B98" s="307">
        <f>Лист7!B79</f>
        <v>268800</v>
      </c>
      <c r="C98" s="307">
        <f>Лист7!C79</f>
        <v>2558.4</v>
      </c>
      <c r="D98" s="304">
        <f>IF(B98=0,"   ",C98/B98*100)</f>
        <v>0.9517857142857143</v>
      </c>
      <c r="E98" s="305">
        <f t="shared" si="7"/>
        <v>-266241.6</v>
      </c>
    </row>
    <row r="99" spans="1:5" ht="15.75" customHeight="1">
      <c r="A99" s="325" t="s">
        <v>172</v>
      </c>
      <c r="B99" s="307">
        <f>SUM(B100:B103)</f>
        <v>961400</v>
      </c>
      <c r="C99" s="307">
        <f>SUM(C100:C103)</f>
        <v>0</v>
      </c>
      <c r="D99" s="304">
        <f t="shared" si="5"/>
        <v>0</v>
      </c>
      <c r="E99" s="305">
        <f aca="true" t="shared" si="8" ref="E99:E105">C99-B99</f>
        <v>-961400</v>
      </c>
    </row>
    <row r="100" spans="1:5" ht="30" customHeight="1">
      <c r="A100" s="324" t="s">
        <v>169</v>
      </c>
      <c r="B100" s="307">
        <f>Лист10!B62+Лист7!B81+Лист2!B67+Лист6!B64+Лист1!B77+Лист3!B65+Лист4!B63+Лист5!B64+Лист8!B64+Лист9!B66</f>
        <v>60000</v>
      </c>
      <c r="C100" s="307">
        <f>Лист10!C62+Лист7!C81+Лист2!C67+Лист6!C64+Лист1!C77+Лист3!C65+Лист4!C63+Лист5!C64+Лист8!C64+Лист9!C66</f>
        <v>0</v>
      </c>
      <c r="D100" s="304">
        <f t="shared" si="5"/>
        <v>0</v>
      </c>
      <c r="E100" s="305">
        <f t="shared" si="8"/>
        <v>-60000</v>
      </c>
    </row>
    <row r="101" spans="1:5" ht="27">
      <c r="A101" s="326" t="s">
        <v>166</v>
      </c>
      <c r="B101" s="307">
        <f>Лист1!B76+Лист2!B66+Лист3!B64+Лист4!B62+Лист5!B63+Лист6!B63+Лист7!B82+Лист8!B63+Лист9!B65+Лист10!B63</f>
        <v>21300</v>
      </c>
      <c r="C101" s="307">
        <f>Лист1!C76+Лист2!C66+Лист3!C64+Лист4!C62+Лист5!C63+Лист6!C63+Лист7!C82+Лист8!C63+Лист9!C65+Лист10!C63</f>
        <v>0</v>
      </c>
      <c r="D101" s="304">
        <f t="shared" si="5"/>
        <v>0</v>
      </c>
      <c r="E101" s="305">
        <f t="shared" si="8"/>
        <v>-21300</v>
      </c>
    </row>
    <row r="102" spans="1:5" ht="26.25">
      <c r="A102" s="75" t="s">
        <v>334</v>
      </c>
      <c r="B102" s="307">
        <f>Лист7!B83+Лист2!B68+Лист6!B65+Лист3!B66+Лист5!B65+Лист8!B65</f>
        <v>827300</v>
      </c>
      <c r="C102" s="307">
        <f>Лист7!C83+Лист2!C68+Лист6!C65+Лист3!C66+Лист5!C65+Лист8!C65</f>
        <v>0</v>
      </c>
      <c r="D102" s="304">
        <f>IF(B102=0,"   ",C102/B102*100)</f>
        <v>0</v>
      </c>
      <c r="E102" s="305">
        <f t="shared" si="8"/>
        <v>-827300</v>
      </c>
    </row>
    <row r="103" spans="1:5" ht="26.25">
      <c r="A103" s="75" t="s">
        <v>335</v>
      </c>
      <c r="B103" s="307">
        <f>Лист7!B84+Лист2!B69+Лист6!B66+Лист3!B67+Лист5!B66+Лист8!B66</f>
        <v>52800</v>
      </c>
      <c r="C103" s="307">
        <f>Лист7!C84+Лист2!C69+Лист6!C66+Лист3!C67+Лист5!C66+Лист8!C66</f>
        <v>0</v>
      </c>
      <c r="D103" s="304">
        <f>IF(B103=0,"   ",C103/B103*100)</f>
        <v>0</v>
      </c>
      <c r="E103" s="305">
        <f t="shared" si="8"/>
        <v>-52800</v>
      </c>
    </row>
    <row r="104" spans="1:5" ht="13.5">
      <c r="A104" s="323" t="s">
        <v>232</v>
      </c>
      <c r="B104" s="307">
        <f>B105</f>
        <v>70000</v>
      </c>
      <c r="C104" s="307">
        <f>C105</f>
        <v>0</v>
      </c>
      <c r="D104" s="304">
        <f>IF(B104=0,"   ",C104/B104*100)</f>
        <v>0</v>
      </c>
      <c r="E104" s="305">
        <f t="shared" si="8"/>
        <v>-70000</v>
      </c>
    </row>
    <row r="105" spans="1:5" ht="27">
      <c r="A105" s="324" t="s">
        <v>229</v>
      </c>
      <c r="B105" s="307">
        <f>Лист7!B86+Лист2!B71+Лист1!B79+Лист6!B68+Лист8!B68</f>
        <v>70000</v>
      </c>
      <c r="C105" s="307">
        <f>Лист7!C86+Лист2!C71+Лист1!C79+Лист6!C68+Лист8!C68</f>
        <v>0</v>
      </c>
      <c r="D105" s="304">
        <f>IF(B105=0,"   ",C105/B105*100)</f>
        <v>0</v>
      </c>
      <c r="E105" s="305">
        <f t="shared" si="8"/>
        <v>-70000</v>
      </c>
    </row>
    <row r="106" spans="1:5" ht="13.5">
      <c r="A106" s="327" t="s">
        <v>131</v>
      </c>
      <c r="B106" s="307">
        <f>SUM(B107,B111:B120)</f>
        <v>20473800</v>
      </c>
      <c r="C106" s="307">
        <f>SUM(C107,C111:C120)</f>
        <v>34765.5</v>
      </c>
      <c r="D106" s="304">
        <f aca="true" t="shared" si="9" ref="D106:D127">IF(B106=0,"   ",C106/B106*100)</f>
        <v>0.16980482372593264</v>
      </c>
      <c r="E106" s="305">
        <f t="shared" si="7"/>
        <v>-20439034.5</v>
      </c>
    </row>
    <row r="107" spans="1:5" ht="27">
      <c r="A107" s="188" t="s">
        <v>204</v>
      </c>
      <c r="B107" s="307">
        <f>Лист1!B82</f>
        <v>0</v>
      </c>
      <c r="C107" s="307">
        <f>Лист1!C82</f>
        <v>0</v>
      </c>
      <c r="D107" s="304" t="str">
        <f t="shared" si="9"/>
        <v>   </v>
      </c>
      <c r="E107" s="305">
        <f t="shared" si="7"/>
        <v>0</v>
      </c>
    </row>
    <row r="108" spans="1:5" ht="41.25">
      <c r="A108" s="188" t="s">
        <v>214</v>
      </c>
      <c r="B108" s="307">
        <f>Лист1!B83</f>
        <v>0</v>
      </c>
      <c r="C108" s="307">
        <f>Лист1!C83</f>
        <v>0</v>
      </c>
      <c r="D108" s="304" t="str">
        <f t="shared" si="9"/>
        <v>   </v>
      </c>
      <c r="E108" s="305">
        <f t="shared" si="7"/>
        <v>0</v>
      </c>
    </row>
    <row r="109" spans="1:5" ht="41.25">
      <c r="A109" s="188" t="s">
        <v>205</v>
      </c>
      <c r="B109" s="307">
        <f>Лист1!B84</f>
        <v>0</v>
      </c>
      <c r="C109" s="307">
        <f>Лист1!C84</f>
        <v>0</v>
      </c>
      <c r="D109" s="304" t="str">
        <f t="shared" si="9"/>
        <v>   </v>
      </c>
      <c r="E109" s="305">
        <f t="shared" si="7"/>
        <v>0</v>
      </c>
    </row>
    <row r="110" spans="1:5" ht="27" customHeight="1">
      <c r="A110" s="188" t="s">
        <v>215</v>
      </c>
      <c r="B110" s="307">
        <f>Лист1!B85</f>
        <v>0</v>
      </c>
      <c r="C110" s="307">
        <f>Лист1!C85</f>
        <v>0</v>
      </c>
      <c r="D110" s="304" t="str">
        <f t="shared" si="9"/>
        <v>   </v>
      </c>
      <c r="E110" s="305">
        <f t="shared" si="7"/>
        <v>0</v>
      </c>
    </row>
    <row r="111" spans="1:5" ht="13.5">
      <c r="A111" s="326" t="s">
        <v>270</v>
      </c>
      <c r="B111" s="307">
        <f>Лист1!B81+Лист2!B73+Лист3!B69+Лист4!B65+Лист5!B68+Лист6!B70+Лист7!B88+Лист8!B70+Лист9!B68+Лист10!B65</f>
        <v>770000</v>
      </c>
      <c r="C111" s="307">
        <f>Лист1!C81+Лист2!C73+Лист3!C69+Лист4!C65+Лист5!C68+Лист6!C70+Лист7!C88+Лист8!C70+Лист9!C68+Лист10!C65</f>
        <v>0</v>
      </c>
      <c r="D111" s="304">
        <f>IF(B111=0,"   ",C111/B111*100)</f>
        <v>0</v>
      </c>
      <c r="E111" s="305">
        <f>C111-B111</f>
        <v>-770000</v>
      </c>
    </row>
    <row r="112" spans="1:5" ht="27">
      <c r="A112" s="324" t="s">
        <v>257</v>
      </c>
      <c r="B112" s="307">
        <f>Лист7!B95</f>
        <v>0</v>
      </c>
      <c r="C112" s="307">
        <f>Лист7!C95</f>
        <v>0</v>
      </c>
      <c r="D112" s="304" t="str">
        <f>IF(B112=0,"   ",C112/B112*100)</f>
        <v>   </v>
      </c>
      <c r="E112" s="305">
        <f>C112-B112</f>
        <v>0</v>
      </c>
    </row>
    <row r="113" spans="1:5" ht="42.75" customHeight="1">
      <c r="A113" s="188" t="s">
        <v>246</v>
      </c>
      <c r="B113" s="307">
        <f>Лист1!B86+Лист2!B74+Лист3!B70+Лист4!B66+Лист5!B69+Лист6!B71+Лист7!B89+Лист8!B71+Лист9!B69+Лист10!B66</f>
        <v>4005500</v>
      </c>
      <c r="C113" s="307">
        <f>Лист1!C86+Лист2!C74+Лист3!C70+Лист4!C66+Лист5!C69+Лист6!C71+Лист7!C89+Лист8!C71+Лист9!C69+Лист10!C66</f>
        <v>0</v>
      </c>
      <c r="D113" s="304">
        <f>IF(B113=0,"   ",C113/B113*100)</f>
        <v>0</v>
      </c>
      <c r="E113" s="305">
        <f>C113-B113</f>
        <v>-4005500</v>
      </c>
    </row>
    <row r="114" spans="1:5" ht="45" customHeight="1">
      <c r="A114" s="188" t="s">
        <v>247</v>
      </c>
      <c r="B114" s="307">
        <f>Лист1!B87+Лист2!B75+Лист3!B71+Лист4!B67+Лист5!B70+Лист6!B72+Лист7!B90+Лист8!B72+Лист9!B70+Лист10!B67</f>
        <v>1458000</v>
      </c>
      <c r="C114" s="307">
        <f>Лист1!C87+Лист2!C75+Лист3!C71+Лист4!C67+Лист5!C70+Лист6!C72+Лист7!C90+Лист8!C72+Лист9!C70+Лист10!C67</f>
        <v>0</v>
      </c>
      <c r="D114" s="304">
        <f t="shared" si="9"/>
        <v>0</v>
      </c>
      <c r="E114" s="305">
        <f t="shared" si="7"/>
        <v>-1458000</v>
      </c>
    </row>
    <row r="115" spans="1:5" ht="44.25" customHeight="1">
      <c r="A115" s="188" t="s">
        <v>248</v>
      </c>
      <c r="B115" s="307">
        <f>Лист1!B88+Лист2!B76+Лист3!B72+Лист4!B68+Лист5!B71+Лист6!B73+Лист7!B91+Лист8!B73+Лист9!B71+Лист10!B68</f>
        <v>6658400</v>
      </c>
      <c r="C115" s="307">
        <f>Лист1!C88+Лист2!C76+Лист3!C72+Лист4!C68+Лист5!C71+Лист6!C73+Лист7!C91+Лист8!C73+Лист9!C71+Лист10!C68</f>
        <v>0</v>
      </c>
      <c r="D115" s="304">
        <f t="shared" si="9"/>
        <v>0</v>
      </c>
      <c r="E115" s="305">
        <f t="shared" si="7"/>
        <v>-6658400</v>
      </c>
    </row>
    <row r="116" spans="1:5" ht="48" customHeight="1">
      <c r="A116" s="188" t="s">
        <v>249</v>
      </c>
      <c r="B116" s="307">
        <f>Лист1!B89+Лист2!B77+Лист3!B73+Лист4!B69+Лист5!B72+Лист6!B74+Лист7!B92+Лист8!B74+Лист9!B72+Лист10!B69</f>
        <v>740300</v>
      </c>
      <c r="C116" s="307">
        <f>Лист1!C89+Лист2!C77+Лист3!C73+Лист4!C69+Лист5!C72+Лист6!C74+Лист7!C92+Лист8!C74+Лист9!C72+Лист10!C69</f>
        <v>0</v>
      </c>
      <c r="D116" s="304">
        <f t="shared" si="9"/>
        <v>0</v>
      </c>
      <c r="E116" s="305">
        <f t="shared" si="7"/>
        <v>-740300</v>
      </c>
    </row>
    <row r="117" spans="1:5" ht="33.75" customHeight="1">
      <c r="A117" s="188" t="s">
        <v>250</v>
      </c>
      <c r="B117" s="307">
        <f>Лист1!B90+Лист2!B78+Лист3!B74+Лист4!B70+Лист5!B73+Лист6!B75+Лист7!B93+Лист8!B75+Лист9!B73+Лист10!B70</f>
        <v>4589800</v>
      </c>
      <c r="C117" s="307">
        <f>Лист1!C90+Лист2!C78+Лист3!C74+Лист4!C70+Лист5!C73+Лист6!C75+Лист7!C93+Лист8!C75+Лист9!C73+Лист10!C70</f>
        <v>0</v>
      </c>
      <c r="D117" s="304">
        <f t="shared" si="9"/>
        <v>0</v>
      </c>
      <c r="E117" s="305">
        <f>C117-B117</f>
        <v>-4589800</v>
      </c>
    </row>
    <row r="118" spans="1:5" ht="46.5" customHeight="1">
      <c r="A118" s="188" t="s">
        <v>251</v>
      </c>
      <c r="B118" s="307">
        <f>Лист1!B91+Лист2!B79+Лист3!B75+Лист4!B71+Лист5!B74+Лист6!B76+Лист7!B94+Лист8!B76+Лист9!B74+Лист10!B71</f>
        <v>510500</v>
      </c>
      <c r="C118" s="307">
        <f>Лист1!C91+Лист2!C79+Лист3!C75+Лист4!C71+Лист5!C74+Лист6!C76+Лист7!C94+Лист8!C76+Лист9!C74+Лист10!C71</f>
        <v>34765.5</v>
      </c>
      <c r="D118" s="304">
        <f t="shared" si="9"/>
        <v>6.810088148873654</v>
      </c>
      <c r="E118" s="305">
        <f t="shared" si="7"/>
        <v>-475734.5</v>
      </c>
    </row>
    <row r="119" spans="1:5" ht="45" customHeight="1">
      <c r="A119" s="188" t="s">
        <v>141</v>
      </c>
      <c r="B119" s="307">
        <f>Лист7!B96</f>
        <v>1567100</v>
      </c>
      <c r="C119" s="307">
        <f>Лист7!C96</f>
        <v>0</v>
      </c>
      <c r="D119" s="304">
        <f t="shared" si="9"/>
        <v>0</v>
      </c>
      <c r="E119" s="305">
        <f t="shared" si="7"/>
        <v>-1567100</v>
      </c>
    </row>
    <row r="120" spans="1:5" ht="36" customHeight="1">
      <c r="A120" s="285" t="s">
        <v>242</v>
      </c>
      <c r="B120" s="307">
        <f>Лист7!B97</f>
        <v>174200</v>
      </c>
      <c r="C120" s="307">
        <f>Лист7!C97</f>
        <v>0</v>
      </c>
      <c r="D120" s="304">
        <f>IF(B120=0,"   ",C120/B120*100)</f>
        <v>0</v>
      </c>
      <c r="E120" s="305">
        <f aca="true" t="shared" si="10" ref="E120:E149">C120-B120</f>
        <v>-174200</v>
      </c>
    </row>
    <row r="121" spans="1:5" ht="18.75" customHeight="1">
      <c r="A121" s="327" t="s">
        <v>176</v>
      </c>
      <c r="B121" s="307">
        <f>B122+B123</f>
        <v>707173.66</v>
      </c>
      <c r="C121" s="307">
        <f>C122+C123</f>
        <v>0</v>
      </c>
      <c r="D121" s="304">
        <f t="shared" si="9"/>
        <v>0</v>
      </c>
      <c r="E121" s="305">
        <f t="shared" si="10"/>
        <v>-707173.66</v>
      </c>
    </row>
    <row r="122" spans="1:5" ht="45" customHeight="1">
      <c r="A122" s="285" t="s">
        <v>155</v>
      </c>
      <c r="B122" s="307">
        <f>Лист1!B93+Лист2!B81+Лист7!B99+Лист9!B76+Лист4!B73+Лист5!B76+Лист6!B78</f>
        <v>354100</v>
      </c>
      <c r="C122" s="307">
        <f>Лист1!C93+Лист2!C81+Лист7!C99+Лист9!C76+Лист4!C73+Лист5!C76+Лист6!C78</f>
        <v>0</v>
      </c>
      <c r="D122" s="304">
        <f t="shared" si="9"/>
        <v>0</v>
      </c>
      <c r="E122" s="305">
        <f t="shared" si="10"/>
        <v>-354100</v>
      </c>
    </row>
    <row r="123" spans="1:5" ht="44.25" customHeight="1">
      <c r="A123" s="336" t="s">
        <v>177</v>
      </c>
      <c r="B123" s="307">
        <f>Лист1!B94+Лист2!B82+Лист3!B77+Лист5!B77+Лист7!B100+Лист8!B78+Лист9!B77+Лист10!B73</f>
        <v>353073.66000000003</v>
      </c>
      <c r="C123" s="307">
        <f>Лист1!C94+Лист2!C82+Лист3!C77+Лист5!C77+Лист7!C100+Лист8!C78+Лист9!C77+Лист10!C73</f>
        <v>0</v>
      </c>
      <c r="D123" s="304">
        <f>IF(B123=0,"   ",C123/B123*100)</f>
        <v>0</v>
      </c>
      <c r="E123" s="305">
        <f t="shared" si="10"/>
        <v>-353073.66000000003</v>
      </c>
    </row>
    <row r="124" spans="1:5" ht="15.75" customHeight="1">
      <c r="A124" s="285" t="s">
        <v>13</v>
      </c>
      <c r="B124" s="306">
        <f>SUM(B125,B128,B141,)</f>
        <v>26891853.99</v>
      </c>
      <c r="C124" s="306">
        <f>SUM(C125,C128,C141,)</f>
        <v>682614.65</v>
      </c>
      <c r="D124" s="304">
        <f t="shared" si="9"/>
        <v>2.538369612797381</v>
      </c>
      <c r="E124" s="305">
        <f t="shared" si="10"/>
        <v>-26209239.34</v>
      </c>
    </row>
    <row r="125" spans="1:5" ht="14.25" customHeight="1">
      <c r="A125" s="285" t="s">
        <v>14</v>
      </c>
      <c r="B125" s="306">
        <f>SUM(B126:B127)</f>
        <v>1030000</v>
      </c>
      <c r="C125" s="306">
        <f>SUM(C126:C127)</f>
        <v>0</v>
      </c>
      <c r="D125" s="304">
        <f t="shared" si="9"/>
        <v>0</v>
      </c>
      <c r="E125" s="305">
        <f t="shared" si="10"/>
        <v>-1030000</v>
      </c>
    </row>
    <row r="126" spans="1:5" ht="14.25" customHeight="1">
      <c r="A126" s="285" t="s">
        <v>92</v>
      </c>
      <c r="B126" s="306">
        <f>Лист7!B103+Лист9!B80+Лист1!B99</f>
        <v>960000</v>
      </c>
      <c r="C126" s="306">
        <f>Лист7!C103+Лист9!C80+Лист1!C99</f>
        <v>0</v>
      </c>
      <c r="D126" s="304">
        <f t="shared" si="9"/>
        <v>0</v>
      </c>
      <c r="E126" s="305">
        <f t="shared" si="10"/>
        <v>-960000</v>
      </c>
    </row>
    <row r="127" spans="1:5" ht="21.75" customHeight="1">
      <c r="A127" s="285" t="s">
        <v>182</v>
      </c>
      <c r="B127" s="306">
        <f>Лист7!B104</f>
        <v>70000</v>
      </c>
      <c r="C127" s="306">
        <f>Лист7!C104</f>
        <v>0</v>
      </c>
      <c r="D127" s="304">
        <f t="shared" si="9"/>
        <v>0</v>
      </c>
      <c r="E127" s="305">
        <f t="shared" si="10"/>
        <v>-70000</v>
      </c>
    </row>
    <row r="128" spans="1:5" ht="14.25" customHeight="1">
      <c r="A128" s="285" t="s">
        <v>70</v>
      </c>
      <c r="B128" s="306">
        <f>SUM(B129:B134:B136,B137)</f>
        <v>4904926.34</v>
      </c>
      <c r="C128" s="306">
        <f>SUM(C129:C134:C136,C137)</f>
        <v>0</v>
      </c>
      <c r="D128" s="304">
        <f aca="true" t="shared" si="11" ref="D128:D158">IF(B128=0,"   ",C128/B128*100)</f>
        <v>0</v>
      </c>
      <c r="E128" s="305">
        <f t="shared" si="10"/>
        <v>-4904926.34</v>
      </c>
    </row>
    <row r="129" spans="1:5" ht="13.5">
      <c r="A129" s="285" t="s">
        <v>71</v>
      </c>
      <c r="B129" s="306">
        <f>Лист7!B115</f>
        <v>300000</v>
      </c>
      <c r="C129" s="306">
        <f>Лист7!C115</f>
        <v>0</v>
      </c>
      <c r="D129" s="304">
        <f t="shared" si="11"/>
        <v>0</v>
      </c>
      <c r="E129" s="305">
        <f t="shared" si="10"/>
        <v>-300000</v>
      </c>
    </row>
    <row r="130" spans="1:5" ht="27">
      <c r="A130" s="285" t="s">
        <v>289</v>
      </c>
      <c r="B130" s="306">
        <f>Лист1!B103+Лист2!B86+Лист3!B80+Лист5!B80+Лист6!B83+Лист7!B114+Лист8!B84+Лист9!B82+Лист10!B76</f>
        <v>0</v>
      </c>
      <c r="C130" s="306">
        <f>Лист1!C103+Лист2!C86+Лист3!C80+Лист5!C80+Лист6!C83+Лист7!C114+Лист8!C84+Лист9!C82+Лист10!C76</f>
        <v>0</v>
      </c>
      <c r="D130" s="304" t="str">
        <f t="shared" si="11"/>
        <v>   </v>
      </c>
      <c r="E130" s="305">
        <f t="shared" si="10"/>
        <v>0</v>
      </c>
    </row>
    <row r="131" spans="1:5" ht="30.75">
      <c r="A131" s="257" t="s">
        <v>338</v>
      </c>
      <c r="B131" s="306">
        <f>Лист7!B108</f>
        <v>3421600</v>
      </c>
      <c r="C131" s="306">
        <f>Лист7!C108</f>
        <v>0</v>
      </c>
      <c r="D131" s="304">
        <f>IF(B131=0,"   ",C131/B131*100)</f>
        <v>0</v>
      </c>
      <c r="E131" s="305">
        <f>C131-B131</f>
        <v>-3421600</v>
      </c>
    </row>
    <row r="132" spans="1:5" ht="46.5">
      <c r="A132" s="257" t="s">
        <v>339</v>
      </c>
      <c r="B132" s="306">
        <f>Лист7!B109</f>
        <v>218400</v>
      </c>
      <c r="C132" s="306">
        <f>Лист7!C109</f>
        <v>0</v>
      </c>
      <c r="D132" s="304">
        <f>IF(B132=0,"   ",C132/B132*100)</f>
        <v>0</v>
      </c>
      <c r="E132" s="305">
        <f>C132-B132</f>
        <v>-218400</v>
      </c>
    </row>
    <row r="133" spans="1:5" ht="16.5" customHeight="1">
      <c r="A133" s="285" t="s">
        <v>293</v>
      </c>
      <c r="B133" s="306">
        <f>Лист3!B81+Лист6!B84+Лист9!B83+Лист1!B104+Лист5!B81+Лист8!B85</f>
        <v>0</v>
      </c>
      <c r="C133" s="306">
        <f>Лист3!C81+Лист6!C84+Лист9!C83+Лист1!C104+Лист5!C81+Лист8!C85</f>
        <v>0</v>
      </c>
      <c r="D133" s="304" t="str">
        <f>IF(B133=0,"   ",C133/B133*100)</f>
        <v>   </v>
      </c>
      <c r="E133" s="305">
        <f t="shared" si="10"/>
        <v>0</v>
      </c>
    </row>
    <row r="134" spans="1:5" ht="41.25">
      <c r="A134" s="285" t="s">
        <v>194</v>
      </c>
      <c r="B134" s="306">
        <f>Лист8!B83+Лист7!B106+Лист6!B81+Лист2!B85+Лист1!B101</f>
        <v>128000</v>
      </c>
      <c r="C134" s="306">
        <f>Лист8!C83+Лист7!C106+Лист6!C81+Лист2!C85</f>
        <v>0</v>
      </c>
      <c r="D134" s="304">
        <f t="shared" si="11"/>
        <v>0</v>
      </c>
      <c r="E134" s="305">
        <f t="shared" si="10"/>
        <v>-128000</v>
      </c>
    </row>
    <row r="135" spans="1:5" ht="26.25">
      <c r="A135" s="16" t="s">
        <v>343</v>
      </c>
      <c r="B135" s="306">
        <f>Лист1!B109</f>
        <v>590526.34</v>
      </c>
      <c r="C135" s="306">
        <f>Лист1!C109</f>
        <v>0</v>
      </c>
      <c r="D135" s="304">
        <f t="shared" si="11"/>
        <v>0</v>
      </c>
      <c r="E135" s="305">
        <f t="shared" si="10"/>
        <v>-590526.34</v>
      </c>
    </row>
    <row r="136" spans="1:5" ht="17.25" customHeight="1">
      <c r="A136" s="302" t="s">
        <v>159</v>
      </c>
      <c r="B136" s="306">
        <f>Лист7!B107+Лист9!B84+Лист1!B102</f>
        <v>246400</v>
      </c>
      <c r="C136" s="306">
        <f>Лист7!C107+Лист6!C82</f>
        <v>0</v>
      </c>
      <c r="D136" s="304">
        <f t="shared" si="11"/>
        <v>0</v>
      </c>
      <c r="E136" s="305">
        <f t="shared" si="10"/>
        <v>-246400</v>
      </c>
    </row>
    <row r="137" spans="1:5" ht="33" customHeight="1">
      <c r="A137" s="188" t="s">
        <v>204</v>
      </c>
      <c r="B137" s="306">
        <f>SUM(B138:B140)</f>
        <v>0</v>
      </c>
      <c r="C137" s="306">
        <f>SUM(C138:C140)</f>
        <v>0</v>
      </c>
      <c r="D137" s="304" t="str">
        <f t="shared" si="11"/>
        <v>   </v>
      </c>
      <c r="E137" s="305">
        <f t="shared" si="10"/>
        <v>0</v>
      </c>
    </row>
    <row r="138" spans="1:5" ht="50.25" customHeight="1">
      <c r="A138" s="188" t="s">
        <v>186</v>
      </c>
      <c r="B138" s="306">
        <f>Лист1!B106+Лист9!B86</f>
        <v>0</v>
      </c>
      <c r="C138" s="306">
        <f>Лист1!C106+Лист9!C86</f>
        <v>0</v>
      </c>
      <c r="D138" s="304" t="str">
        <f t="shared" si="11"/>
        <v>   </v>
      </c>
      <c r="E138" s="305">
        <f t="shared" si="10"/>
        <v>0</v>
      </c>
    </row>
    <row r="139" spans="1:5" ht="44.25" customHeight="1">
      <c r="A139" s="188" t="s">
        <v>198</v>
      </c>
      <c r="B139" s="306">
        <f>Лист1!B107+Лист9!B87</f>
        <v>0</v>
      </c>
      <c r="C139" s="306">
        <f>Лист1!C107+Лист9!C87</f>
        <v>0</v>
      </c>
      <c r="D139" s="304" t="str">
        <f t="shared" si="11"/>
        <v>   </v>
      </c>
      <c r="E139" s="305">
        <f t="shared" si="10"/>
        <v>0</v>
      </c>
    </row>
    <row r="140" spans="1:5" ht="26.25" customHeight="1">
      <c r="A140" s="188" t="s">
        <v>210</v>
      </c>
      <c r="B140" s="306">
        <f>Лист1!B108+Лист9!B88</f>
        <v>0</v>
      </c>
      <c r="C140" s="306">
        <f>Лист1!C108+Лист9!C88</f>
        <v>0</v>
      </c>
      <c r="D140" s="304" t="str">
        <f t="shared" si="11"/>
        <v>   </v>
      </c>
      <c r="E140" s="305">
        <f t="shared" si="10"/>
        <v>0</v>
      </c>
    </row>
    <row r="141" spans="1:5" ht="13.5">
      <c r="A141" s="285" t="s">
        <v>72</v>
      </c>
      <c r="B141" s="306">
        <f>B142+B146+B147+B148+B164+B154+B143+B145+B150+B160+B149+B144+B159</f>
        <v>20956927.65</v>
      </c>
      <c r="C141" s="306">
        <f>C142+C146+C147+C148+C164+C154+C143+C145+C150+C160+C149+C144</f>
        <v>682614.65</v>
      </c>
      <c r="D141" s="304">
        <f t="shared" si="11"/>
        <v>3.2572267338051337</v>
      </c>
      <c r="E141" s="305">
        <f t="shared" si="10"/>
        <v>-20274313</v>
      </c>
    </row>
    <row r="142" spans="1:5" ht="13.5">
      <c r="A142" s="285" t="s">
        <v>60</v>
      </c>
      <c r="B142" s="306">
        <f>Лист1!B111+Лист2!B93+Лист3!B83+Лист4!B77+Лист5!B87+Лист6!B90+Лист7!B117+Лист8!B87+Лист9!B90+Лист10!B78</f>
        <v>7149200</v>
      </c>
      <c r="C142" s="306">
        <f>Лист1!C111+Лист2!C93+Лист3!C83+Лист4!C77+Лист5!C87+Лист6!C90+Лист7!C117+Лист8!C87+Лист9!C90+Лист10!C78</f>
        <v>362705.97000000003</v>
      </c>
      <c r="D142" s="304">
        <f t="shared" si="11"/>
        <v>5.073378419963073</v>
      </c>
      <c r="E142" s="305">
        <f t="shared" si="10"/>
        <v>-6786494.03</v>
      </c>
    </row>
    <row r="143" spans="1:5" ht="27" customHeight="1">
      <c r="A143" s="285" t="s">
        <v>216</v>
      </c>
      <c r="B143" s="306">
        <f>Лист7!B118</f>
        <v>6000</v>
      </c>
      <c r="C143" s="306">
        <f>Лист7!C118</f>
        <v>0</v>
      </c>
      <c r="D143" s="304">
        <f t="shared" si="11"/>
        <v>0</v>
      </c>
      <c r="E143" s="305">
        <f t="shared" si="10"/>
        <v>-6000</v>
      </c>
    </row>
    <row r="144" spans="1:5" ht="27" customHeight="1">
      <c r="A144" s="188" t="s">
        <v>291</v>
      </c>
      <c r="B144" s="306">
        <f>Лист7!B123</f>
        <v>0</v>
      </c>
      <c r="C144" s="306">
        <f>Лист7!C123</f>
        <v>0</v>
      </c>
      <c r="D144" s="304" t="str">
        <f>IF(B144=0,"   ",C144/B144*100)</f>
        <v>   </v>
      </c>
      <c r="E144" s="305">
        <f t="shared" si="10"/>
        <v>0</v>
      </c>
    </row>
    <row r="145" spans="1:5" ht="23.25" customHeight="1">
      <c r="A145" s="188" t="s">
        <v>245</v>
      </c>
      <c r="B145" s="306">
        <f>Лист7!B132</f>
        <v>0</v>
      </c>
      <c r="C145" s="306">
        <f>Лист7!C132</f>
        <v>0</v>
      </c>
      <c r="D145" s="304" t="str">
        <f t="shared" si="11"/>
        <v>   </v>
      </c>
      <c r="E145" s="305">
        <f t="shared" si="10"/>
        <v>0</v>
      </c>
    </row>
    <row r="146" spans="1:5" ht="13.5">
      <c r="A146" s="285" t="s">
        <v>73</v>
      </c>
      <c r="B146" s="306">
        <f>Лист7!B119</f>
        <v>300000</v>
      </c>
      <c r="C146" s="306">
        <f>Лист7!C119</f>
        <v>0</v>
      </c>
      <c r="D146" s="304">
        <f t="shared" si="11"/>
        <v>0</v>
      </c>
      <c r="E146" s="305">
        <f t="shared" si="10"/>
        <v>-300000</v>
      </c>
    </row>
    <row r="147" spans="1:5" ht="13.5">
      <c r="A147" s="285" t="s">
        <v>74</v>
      </c>
      <c r="B147" s="306">
        <f>Лист7!B120</f>
        <v>100000</v>
      </c>
      <c r="C147" s="306">
        <f>Лист7!C120</f>
        <v>0</v>
      </c>
      <c r="D147" s="304">
        <f t="shared" si="11"/>
        <v>0</v>
      </c>
      <c r="E147" s="305">
        <f t="shared" si="10"/>
        <v>-100000</v>
      </c>
    </row>
    <row r="148" spans="1:5" ht="13.5">
      <c r="A148" s="285" t="s">
        <v>75</v>
      </c>
      <c r="B148" s="306">
        <f>Лист1!B113+Лист3!B84+Лист4!B78+Лист5!B88+Лист7!B121+Лист8!B89+Лист9!B91+Лист10!B80+Лист6!B91+Лист2!B103</f>
        <v>7837800</v>
      </c>
      <c r="C148" s="306">
        <f>Лист1!C113+Лист3!C84+Лист4!C78+Лист5!C88+Лист7!C121+Лист8!C89+Лист9!C91+Лист10!C80+Лист6!C91+Лист2!C103</f>
        <v>319908.68</v>
      </c>
      <c r="D148" s="304">
        <f t="shared" si="11"/>
        <v>4.0816132077879</v>
      </c>
      <c r="E148" s="305">
        <f t="shared" si="10"/>
        <v>-7517891.32</v>
      </c>
    </row>
    <row r="149" spans="1:5" ht="27">
      <c r="A149" s="188" t="s">
        <v>290</v>
      </c>
      <c r="B149" s="306">
        <f>Лист1!B114+Лист3!B90+Лист4!B83+Лист5!B94+Лист7!B122+Лист8!B88+Лист9!B92+Лист10!B79+Лист6!B96+Лист2!B104</f>
        <v>0</v>
      </c>
      <c r="C149" s="306">
        <f>Лист1!C114+Лист3!C90+Лист4!C83+Лист5!C94+Лист7!C122+Лист8!C88+Лист9!C92+Лист10!C79+Лист6!C96+Лист2!C104</f>
        <v>0</v>
      </c>
      <c r="D149" s="304" t="str">
        <f>IF(B149=0,"   ",C149/B149*100)</f>
        <v>   </v>
      </c>
      <c r="E149" s="305">
        <f t="shared" si="10"/>
        <v>0</v>
      </c>
    </row>
    <row r="150" spans="1:5" ht="27">
      <c r="A150" s="188" t="s">
        <v>204</v>
      </c>
      <c r="B150" s="306">
        <f>SUM(B151:B153)</f>
        <v>0</v>
      </c>
      <c r="C150" s="306">
        <f>SUM(C151:C153)</f>
        <v>0</v>
      </c>
      <c r="D150" s="304" t="str">
        <f>IF(B150=0,"   ",C150/B150*100)</f>
        <v>   </v>
      </c>
      <c r="E150" s="305">
        <f aca="true" t="shared" si="12" ref="E150:E155">C150-B150</f>
        <v>0</v>
      </c>
    </row>
    <row r="151" spans="1:5" ht="41.25">
      <c r="A151" s="188" t="s">
        <v>211</v>
      </c>
      <c r="B151" s="306">
        <f>Лист1!B116+Лист2!B95+Лист4!B80+Лист6!B93+Лист9!B94+Лист10!B82+Лист5!B91+Лист7!B129</f>
        <v>0</v>
      </c>
      <c r="C151" s="306">
        <f>Лист1!C116+Лист2!C95+Лист4!C80+Лист6!C93+Лист9!C94+Лист10!C82+Лист5!C91+Лист7!C129</f>
        <v>0</v>
      </c>
      <c r="D151" s="304" t="str">
        <f>IF(B151=0,"   ",C151/B151*100)</f>
        <v>   </v>
      </c>
      <c r="E151" s="305">
        <f t="shared" si="12"/>
        <v>0</v>
      </c>
    </row>
    <row r="152" spans="1:5" ht="41.25">
      <c r="A152" s="188" t="s">
        <v>212</v>
      </c>
      <c r="B152" s="306">
        <f>Лист1!B117+Лист2!B96+Лист4!B81+Лист6!B94+Лист9!B95+Лист10!B83+Лист5!B92+Лист7!B130</f>
        <v>0</v>
      </c>
      <c r="C152" s="306">
        <f>Лист1!C117+Лист2!C96+Лист4!C81+Лист6!C94+Лист9!C95+Лист10!C83+Лист5!C92+Лист7!C130</f>
        <v>0</v>
      </c>
      <c r="D152" s="304" t="str">
        <f>IF(B152=0,"   ",C152/B152*100)</f>
        <v>   </v>
      </c>
      <c r="E152" s="305">
        <f t="shared" si="12"/>
        <v>0</v>
      </c>
    </row>
    <row r="153" spans="1:5" ht="24.75" customHeight="1">
      <c r="A153" s="188" t="s">
        <v>213</v>
      </c>
      <c r="B153" s="306">
        <f>Лист1!B118+Лист2!B97+Лист4!B82+Лист6!B95+Лист9!B96+Лист10!B84+Лист5!B93+Лист7!B131</f>
        <v>0</v>
      </c>
      <c r="C153" s="306">
        <f>Лист1!C118+Лист2!C97+Лист4!C82+Лист6!C95+Лист9!C96+Лист10!C84+Лист5!C93+Лист7!C131</f>
        <v>0</v>
      </c>
      <c r="D153" s="304" t="str">
        <f>IF(B153=0,"   ",C153/B153*100)</f>
        <v>   </v>
      </c>
      <c r="E153" s="305">
        <f t="shared" si="12"/>
        <v>0</v>
      </c>
    </row>
    <row r="154" spans="1:5" ht="13.5">
      <c r="A154" s="188" t="s">
        <v>262</v>
      </c>
      <c r="B154" s="306">
        <f>SUM(B155:B158)</f>
        <v>0</v>
      </c>
      <c r="C154" s="306">
        <f>SUM(C155:C158)</f>
        <v>0</v>
      </c>
      <c r="D154" s="304" t="str">
        <f t="shared" si="11"/>
        <v>   </v>
      </c>
      <c r="E154" s="305">
        <f t="shared" si="12"/>
        <v>0</v>
      </c>
    </row>
    <row r="155" spans="1:5" ht="13.5">
      <c r="A155" s="188" t="s">
        <v>263</v>
      </c>
      <c r="B155" s="306">
        <f>Лист2!B99+Лист9!B98</f>
        <v>0</v>
      </c>
      <c r="C155" s="306">
        <f>Лист2!C99+Лист9!C98</f>
        <v>0</v>
      </c>
      <c r="D155" s="304" t="str">
        <f t="shared" si="11"/>
        <v>   </v>
      </c>
      <c r="E155" s="305">
        <f t="shared" si="12"/>
        <v>0</v>
      </c>
    </row>
    <row r="156" spans="1:5" ht="13.5">
      <c r="A156" s="188" t="s">
        <v>264</v>
      </c>
      <c r="B156" s="306">
        <f>Лист2!B100+Лист9!B99</f>
        <v>0</v>
      </c>
      <c r="C156" s="306">
        <f>Лист2!C100+Лист9!C99</f>
        <v>0</v>
      </c>
      <c r="D156" s="304" t="str">
        <f t="shared" si="11"/>
        <v>   </v>
      </c>
      <c r="E156" s="305">
        <f aca="true" t="shared" si="13" ref="E156:E178">C156-B156</f>
        <v>0</v>
      </c>
    </row>
    <row r="157" spans="1:5" ht="13.5">
      <c r="A157" s="188" t="s">
        <v>265</v>
      </c>
      <c r="B157" s="306">
        <f>Лист2!B101+Лист9!B100</f>
        <v>0</v>
      </c>
      <c r="C157" s="306">
        <f>Лист2!C101+Лист9!C100</f>
        <v>0</v>
      </c>
      <c r="D157" s="304" t="str">
        <f t="shared" si="11"/>
        <v>   </v>
      </c>
      <c r="E157" s="305">
        <f t="shared" si="13"/>
        <v>0</v>
      </c>
    </row>
    <row r="158" spans="1:5" ht="13.5">
      <c r="A158" s="188" t="s">
        <v>266</v>
      </c>
      <c r="B158" s="306">
        <f>Лист2!B102+Лист9!B101</f>
        <v>0</v>
      </c>
      <c r="C158" s="306">
        <f>Лист2!C102+Лист9!C101</f>
        <v>0</v>
      </c>
      <c r="D158" s="304" t="str">
        <f t="shared" si="11"/>
        <v>   </v>
      </c>
      <c r="E158" s="305">
        <f t="shared" si="13"/>
        <v>0</v>
      </c>
    </row>
    <row r="159" spans="1:5" ht="27">
      <c r="A159" s="188" t="s">
        <v>307</v>
      </c>
      <c r="B159" s="303">
        <f>Лист7!B133</f>
        <v>0</v>
      </c>
      <c r="C159" s="303">
        <f>Лист7!C133</f>
        <v>0</v>
      </c>
      <c r="D159" s="304" t="str">
        <f>IF(B159=0,"   ",C159/B159*100)</f>
        <v>   </v>
      </c>
      <c r="E159" s="305">
        <f>C159-B159</f>
        <v>0</v>
      </c>
    </row>
    <row r="160" spans="1:5" ht="27">
      <c r="A160" s="188" t="s">
        <v>277</v>
      </c>
      <c r="B160" s="303">
        <f>B161+B163+B162</f>
        <v>0</v>
      </c>
      <c r="C160" s="303">
        <f>C161+C163+C162</f>
        <v>0</v>
      </c>
      <c r="D160" s="304" t="str">
        <f>IF(B160=0,"   ",C160/B160*100)</f>
        <v>   </v>
      </c>
      <c r="E160" s="305">
        <f t="shared" si="13"/>
        <v>0</v>
      </c>
    </row>
    <row r="161" spans="1:5" ht="27">
      <c r="A161" s="188" t="s">
        <v>261</v>
      </c>
      <c r="B161" s="303">
        <f>Лист7!B135</f>
        <v>0</v>
      </c>
      <c r="C161" s="303">
        <f>Лист7!C135</f>
        <v>0</v>
      </c>
      <c r="D161" s="304" t="str">
        <f>IF(B161=0,"   ",C161/B161*100)</f>
        <v>   </v>
      </c>
      <c r="E161" s="305">
        <f t="shared" si="13"/>
        <v>0</v>
      </c>
    </row>
    <row r="162" spans="1:5" ht="27">
      <c r="A162" s="188" t="s">
        <v>278</v>
      </c>
      <c r="B162" s="303">
        <f>Лист7!B136</f>
        <v>0</v>
      </c>
      <c r="C162" s="303">
        <f>Лист7!C136</f>
        <v>0</v>
      </c>
      <c r="D162" s="304" t="str">
        <f>IF(B162=0,"   ",C162/B162*100)</f>
        <v>   </v>
      </c>
      <c r="E162" s="305">
        <f t="shared" si="13"/>
        <v>0</v>
      </c>
    </row>
    <row r="163" spans="1:5" ht="27">
      <c r="A163" s="188" t="s">
        <v>279</v>
      </c>
      <c r="B163" s="303">
        <f>Лист7!B137</f>
        <v>0</v>
      </c>
      <c r="C163" s="303">
        <f>Лист7!C137</f>
        <v>0</v>
      </c>
      <c r="D163" s="304" t="str">
        <f>IF(B163=0,"   ",C163/B163*100)</f>
        <v>   </v>
      </c>
      <c r="E163" s="305">
        <f t="shared" si="13"/>
        <v>0</v>
      </c>
    </row>
    <row r="164" spans="1:5" ht="33.75" customHeight="1">
      <c r="A164" s="188" t="s">
        <v>181</v>
      </c>
      <c r="B164" s="303">
        <f>B165+B167+B166</f>
        <v>5563927.65</v>
      </c>
      <c r="C164" s="303">
        <f>C165+C167+C166</f>
        <v>0</v>
      </c>
      <c r="D164" s="314">
        <f>IF(B164=0,"   ",C164/B164)</f>
        <v>0</v>
      </c>
      <c r="E164" s="315">
        <f t="shared" si="13"/>
        <v>-5563927.65</v>
      </c>
    </row>
    <row r="165" spans="1:5" ht="13.5">
      <c r="A165" s="188" t="s">
        <v>179</v>
      </c>
      <c r="B165" s="303">
        <f>Лист7!B125</f>
        <v>5508288.37</v>
      </c>
      <c r="C165" s="303">
        <f>Лист7!C125</f>
        <v>0</v>
      </c>
      <c r="D165" s="314">
        <f>IF(B165=0,"   ",C165/B165)</f>
        <v>0</v>
      </c>
      <c r="E165" s="315">
        <f t="shared" si="13"/>
        <v>-5508288.37</v>
      </c>
    </row>
    <row r="166" spans="1:5" ht="13.5">
      <c r="A166" s="188" t="s">
        <v>180</v>
      </c>
      <c r="B166" s="303">
        <f>Лист7!B126</f>
        <v>38947.49</v>
      </c>
      <c r="C166" s="303">
        <f>Лист7!C126</f>
        <v>0</v>
      </c>
      <c r="D166" s="314">
        <f>IF(B166=0,"   ",C166/B166)</f>
        <v>0</v>
      </c>
      <c r="E166" s="315">
        <f t="shared" si="13"/>
        <v>-38947.49</v>
      </c>
    </row>
    <row r="167" spans="1:5" ht="13.5">
      <c r="A167" s="188" t="s">
        <v>193</v>
      </c>
      <c r="B167" s="303">
        <f>Лист7!B127</f>
        <v>16691.79</v>
      </c>
      <c r="C167" s="303">
        <f>Лист7!C127</f>
        <v>0</v>
      </c>
      <c r="D167" s="314">
        <f>IF(B167=0,"   ",C167/B167)</f>
        <v>0</v>
      </c>
      <c r="E167" s="315">
        <f t="shared" si="13"/>
        <v>-16691.79</v>
      </c>
    </row>
    <row r="168" spans="1:5" ht="13.5">
      <c r="A168" s="285" t="s">
        <v>17</v>
      </c>
      <c r="B168" s="306">
        <f>Лист1!B119+Лист2!B105+Лист3!B91+Лист4!B84+Лист5!B95+Лист6!B97+Лист7!B138+Лист8!B95+Лист9!B102+Лист10!B85</f>
        <v>40000</v>
      </c>
      <c r="C168" s="306">
        <f>Лист1!C119+Лист2!C105+Лист3!C91+Лист4!C84+Лист5!C95+Лист6!C97+Лист7!C138+Лист8!C95+Лист9!C102+Лист10!C85</f>
        <v>0</v>
      </c>
      <c r="D168" s="304">
        <f aca="true" t="shared" si="14" ref="D168:D178">IF(B168=0,"   ",C168/B168*100)</f>
        <v>0</v>
      </c>
      <c r="E168" s="305">
        <f t="shared" si="13"/>
        <v>-40000</v>
      </c>
    </row>
    <row r="169" spans="1:5" ht="27">
      <c r="A169" s="285" t="s">
        <v>41</v>
      </c>
      <c r="B169" s="303">
        <f>SUM(B170,)</f>
        <v>29214640</v>
      </c>
      <c r="C169" s="303">
        <f>C170</f>
        <v>222300</v>
      </c>
      <c r="D169" s="304">
        <f t="shared" si="14"/>
        <v>0.760919867573244</v>
      </c>
      <c r="E169" s="305">
        <f t="shared" si="13"/>
        <v>-28992340</v>
      </c>
    </row>
    <row r="170" spans="1:5" ht="13.5">
      <c r="A170" s="285" t="s">
        <v>42</v>
      </c>
      <c r="B170" s="306">
        <f>Лист1!B121+Лист2!B107+Лист3!B93+Лист4!B86+Лист5!B97+Лист6!B99+Лист7!B140+Лист8!B97+Лист9!B104+Лист10!B87</f>
        <v>29214640</v>
      </c>
      <c r="C170" s="306">
        <f>Лист1!C121+Лист2!C107+Лист3!C93+Лист4!C86+Лист5!C97+Лист6!C99+Лист7!C140+Лист8!C97+Лист9!C104+Лист10!C87</f>
        <v>222300</v>
      </c>
      <c r="D170" s="304">
        <f t="shared" si="14"/>
        <v>0.760919867573244</v>
      </c>
      <c r="E170" s="305">
        <f t="shared" si="13"/>
        <v>-28992340</v>
      </c>
    </row>
    <row r="171" spans="1:5" ht="32.25" customHeight="1">
      <c r="A171" s="285" t="s">
        <v>143</v>
      </c>
      <c r="B171" s="306">
        <f>Лист1!B121+Лист2!B108+Лист3!B94+Лист4!B86+Лист5!B97+Лист6!B100+Лист7!B141+Лист8!B97+Лист9!B104+Лист10!B87</f>
        <v>12912800</v>
      </c>
      <c r="C171" s="306">
        <f>Лист1!C121+Лист2!C108+Лист3!C94+Лист4!C86+Лист5!C97+Лист6!C100+Лист7!C141+Лист8!C97+Лист9!C104+Лист10!C87</f>
        <v>122300</v>
      </c>
      <c r="D171" s="304">
        <f t="shared" si="14"/>
        <v>0.9471222353014064</v>
      </c>
      <c r="E171" s="305">
        <f t="shared" si="13"/>
        <v>-12790500</v>
      </c>
    </row>
    <row r="172" spans="1:5" ht="16.5" customHeight="1">
      <c r="A172" s="285" t="s">
        <v>252</v>
      </c>
      <c r="B172" s="306">
        <f>Лист2!B110</f>
        <v>0</v>
      </c>
      <c r="C172" s="306">
        <f>Лист2!C110</f>
        <v>0</v>
      </c>
      <c r="D172" s="304" t="str">
        <f t="shared" si="14"/>
        <v>   </v>
      </c>
      <c r="E172" s="305">
        <f t="shared" si="13"/>
        <v>0</v>
      </c>
    </row>
    <row r="173" spans="1:5" ht="18" customHeight="1">
      <c r="A173" s="335" t="s">
        <v>304</v>
      </c>
      <c r="B173" s="306">
        <f>Лист6!B101</f>
        <v>0</v>
      </c>
      <c r="C173" s="306">
        <f>Лист6!C101</f>
        <v>0</v>
      </c>
      <c r="D173" s="304" t="str">
        <f>IF(B173=0,"   ",C173/B173*100)</f>
        <v>   </v>
      </c>
      <c r="E173" s="305">
        <f t="shared" si="13"/>
        <v>0</v>
      </c>
    </row>
    <row r="174" spans="1:5" ht="18" customHeight="1">
      <c r="A174" s="335" t="s">
        <v>305</v>
      </c>
      <c r="B174" s="306">
        <f>Лист6!B102</f>
        <v>0</v>
      </c>
      <c r="C174" s="306">
        <f>Лист6!C102</f>
        <v>0</v>
      </c>
      <c r="D174" s="304" t="str">
        <f>IF(B174=0,"   ",C174/B174*100)</f>
        <v>   </v>
      </c>
      <c r="E174" s="305">
        <f t="shared" si="13"/>
        <v>0</v>
      </c>
    </row>
    <row r="175" spans="1:5" ht="25.5" customHeight="1">
      <c r="A175" s="285" t="s">
        <v>201</v>
      </c>
      <c r="B175" s="306">
        <f>Лист3!B96+Лист6!B103+Лист2!B109</f>
        <v>300000</v>
      </c>
      <c r="C175" s="306">
        <f>Лист3!C96+Лист6!C103+Лист2!C109</f>
        <v>0</v>
      </c>
      <c r="D175" s="304">
        <f t="shared" si="14"/>
        <v>0</v>
      </c>
      <c r="E175" s="305">
        <f t="shared" si="13"/>
        <v>-300000</v>
      </c>
    </row>
    <row r="176" spans="1:5" ht="25.5" customHeight="1">
      <c r="A176" s="285" t="s">
        <v>282</v>
      </c>
      <c r="B176" s="306">
        <f>Лист7!B144</f>
        <v>0</v>
      </c>
      <c r="C176" s="306">
        <f>Лист7!C144</f>
        <v>0</v>
      </c>
      <c r="D176" s="304" t="str">
        <f>IF(B176=0,"   ",C176/B176*100)</f>
        <v>   </v>
      </c>
      <c r="E176" s="305">
        <f t="shared" si="13"/>
        <v>0</v>
      </c>
    </row>
    <row r="177" spans="1:5" ht="21.75" customHeight="1">
      <c r="A177" s="285" t="s">
        <v>192</v>
      </c>
      <c r="B177" s="306">
        <f>Лист7!B142</f>
        <v>5050500</v>
      </c>
      <c r="C177" s="306">
        <f>Лист7!C142</f>
        <v>0</v>
      </c>
      <c r="D177" s="304">
        <f t="shared" si="14"/>
        <v>0</v>
      </c>
      <c r="E177" s="305">
        <f t="shared" si="13"/>
        <v>-5050500</v>
      </c>
    </row>
    <row r="178" spans="1:5" ht="25.5" customHeight="1">
      <c r="A178" s="285" t="s">
        <v>144</v>
      </c>
      <c r="B178" s="306">
        <f>Лист7!B143</f>
        <v>1409400</v>
      </c>
      <c r="C178" s="306">
        <f>Лист7!C143</f>
        <v>100000</v>
      </c>
      <c r="D178" s="304">
        <f t="shared" si="14"/>
        <v>7.095217823187172</v>
      </c>
      <c r="E178" s="305">
        <f t="shared" si="13"/>
        <v>-1309400</v>
      </c>
    </row>
    <row r="179" spans="1:5" ht="30.75" customHeight="1">
      <c r="A179" s="257" t="s">
        <v>340</v>
      </c>
      <c r="B179" s="306">
        <f>Лист7!B145</f>
        <v>9541940</v>
      </c>
      <c r="C179" s="306">
        <f>Лист7!C145</f>
        <v>0</v>
      </c>
      <c r="D179" s="304">
        <f>IF(B179=0,"   ",C179/B179*100)</f>
        <v>0</v>
      </c>
      <c r="E179" s="305">
        <f aca="true" t="shared" si="15" ref="E179:E191">C179-B179</f>
        <v>-9541940</v>
      </c>
    </row>
    <row r="180" spans="1:5" ht="21" customHeight="1">
      <c r="A180" s="266" t="s">
        <v>341</v>
      </c>
      <c r="B180" s="306">
        <f>Лист7!B146</f>
        <v>8969440</v>
      </c>
      <c r="C180" s="306">
        <f>Лист7!C146</f>
        <v>0</v>
      </c>
      <c r="D180" s="304">
        <f>IF(B180=0,"   ",C180/B180*100)</f>
        <v>0</v>
      </c>
      <c r="E180" s="305">
        <f t="shared" si="15"/>
        <v>-8969440</v>
      </c>
    </row>
    <row r="181" spans="1:5" ht="18.75" customHeight="1">
      <c r="A181" s="266" t="s">
        <v>342</v>
      </c>
      <c r="B181" s="306">
        <f>Лист7!B147</f>
        <v>572500</v>
      </c>
      <c r="C181" s="306">
        <f>Лист7!C147</f>
        <v>0</v>
      </c>
      <c r="D181" s="304">
        <f>IF(B181=0,"   ",C181/B181*100)</f>
        <v>0</v>
      </c>
      <c r="E181" s="305">
        <f t="shared" si="15"/>
        <v>-572500</v>
      </c>
    </row>
    <row r="182" spans="1:5" ht="21.75" customHeight="1">
      <c r="A182" s="285" t="s">
        <v>230</v>
      </c>
      <c r="B182" s="306">
        <f>SUM(B183,)</f>
        <v>6000</v>
      </c>
      <c r="C182" s="306">
        <f>SUM(C183,)</f>
        <v>0</v>
      </c>
      <c r="D182" s="304">
        <f>IF(B182=0,"   ",C182/B182*100)</f>
        <v>0</v>
      </c>
      <c r="E182" s="305">
        <f t="shared" si="15"/>
        <v>-6000</v>
      </c>
    </row>
    <row r="183" spans="1:5" ht="19.5" customHeight="1">
      <c r="A183" s="285" t="s">
        <v>231</v>
      </c>
      <c r="B183" s="306">
        <f>Лист10!B89</f>
        <v>6000</v>
      </c>
      <c r="C183" s="306">
        <f>Лист10!C89</f>
        <v>0</v>
      </c>
      <c r="D183" s="304">
        <f>IF(B183=0,"   ",C183/B183*100)</f>
        <v>0</v>
      </c>
      <c r="E183" s="305">
        <f t="shared" si="15"/>
        <v>-6000</v>
      </c>
    </row>
    <row r="184" spans="1:5" ht="20.25" customHeight="1">
      <c r="A184" s="285" t="s">
        <v>124</v>
      </c>
      <c r="B184" s="306">
        <f>SUM(B185+B186)</f>
        <v>263000</v>
      </c>
      <c r="C184" s="306">
        <f>SUM(C185+C186)</f>
        <v>0</v>
      </c>
      <c r="D184" s="304">
        <f aca="true" t="shared" si="16" ref="D184:D191">IF(B184=0,"   ",C184/B184*100)</f>
        <v>0</v>
      </c>
      <c r="E184" s="305">
        <f t="shared" si="15"/>
        <v>-263000</v>
      </c>
    </row>
    <row r="185" spans="1:5" ht="19.5" customHeight="1">
      <c r="A185" s="285" t="s">
        <v>283</v>
      </c>
      <c r="B185" s="306">
        <f>Лист1!B123+Лист2!B112+Лист3!B98+Лист4!B88+Лист5!B99+Лист6!B105+Лист7!B149+Лист8!B99+Лист9!B106+Лист10!B91</f>
        <v>263000</v>
      </c>
      <c r="C185" s="306">
        <f>Лист1!C123+Лист2!C112+Лист3!C98+Лист4!C88+Лист5!C99+Лист6!C105+Лист7!C149+Лист8!C99+Лист9!C106+Лист10!C91</f>
        <v>0</v>
      </c>
      <c r="D185" s="304">
        <f t="shared" si="16"/>
        <v>0</v>
      </c>
      <c r="E185" s="305">
        <f t="shared" si="15"/>
        <v>-263000</v>
      </c>
    </row>
    <row r="186" spans="1:5" ht="17.25" customHeight="1">
      <c r="A186" s="188" t="s">
        <v>262</v>
      </c>
      <c r="B186" s="306">
        <f>SUM(B187:B190)</f>
        <v>0</v>
      </c>
      <c r="C186" s="306">
        <f>SUM(C187:C190)</f>
        <v>0</v>
      </c>
      <c r="D186" s="304" t="str">
        <f>IF(B186=0,"   ",C186/B186*100)</f>
        <v>   </v>
      </c>
      <c r="E186" s="305">
        <f t="shared" si="15"/>
        <v>0</v>
      </c>
    </row>
    <row r="187" spans="1:5" ht="12" customHeight="1">
      <c r="A187" s="188" t="s">
        <v>263</v>
      </c>
      <c r="B187" s="306">
        <f>Лист4!B90</f>
        <v>0</v>
      </c>
      <c r="C187" s="306">
        <f>Лист4!C90</f>
        <v>0</v>
      </c>
      <c r="D187" s="304" t="str">
        <f t="shared" si="16"/>
        <v>   </v>
      </c>
      <c r="E187" s="305">
        <f t="shared" si="15"/>
        <v>0</v>
      </c>
    </row>
    <row r="188" spans="1:5" ht="12" customHeight="1">
      <c r="A188" s="188" t="s">
        <v>264</v>
      </c>
      <c r="B188" s="306">
        <f>Лист4!B91</f>
        <v>0</v>
      </c>
      <c r="C188" s="306">
        <f>Лист4!C91</f>
        <v>0</v>
      </c>
      <c r="D188" s="304" t="str">
        <f t="shared" si="16"/>
        <v>   </v>
      </c>
      <c r="E188" s="305">
        <f t="shared" si="15"/>
        <v>0</v>
      </c>
    </row>
    <row r="189" spans="1:5" ht="12.75" customHeight="1">
      <c r="A189" s="188" t="s">
        <v>266</v>
      </c>
      <c r="B189" s="306">
        <f>Лист4!B93</f>
        <v>0</v>
      </c>
      <c r="C189" s="306">
        <f>Лист4!C93</f>
        <v>0</v>
      </c>
      <c r="D189" s="304" t="str">
        <f>IF(B189=0,"   ",C189/B189*100)</f>
        <v>   </v>
      </c>
      <c r="E189" s="305">
        <f>C189-B189</f>
        <v>0</v>
      </c>
    </row>
    <row r="190" spans="1:5" ht="11.25" customHeight="1">
      <c r="A190" s="188" t="s">
        <v>265</v>
      </c>
      <c r="B190" s="306">
        <f>Лист4!B92</f>
        <v>0</v>
      </c>
      <c r="C190" s="306">
        <f>Лист4!C92</f>
        <v>0</v>
      </c>
      <c r="D190" s="304" t="str">
        <f t="shared" si="16"/>
        <v>   </v>
      </c>
      <c r="E190" s="305">
        <f t="shared" si="15"/>
        <v>0</v>
      </c>
    </row>
    <row r="191" spans="1:6" ht="25.5" customHeight="1">
      <c r="A191" s="308" t="s">
        <v>15</v>
      </c>
      <c r="B191" s="309">
        <f>B78+B89+B91+B96+B124+B168+B169+B182+B184</f>
        <v>96610267.64999999</v>
      </c>
      <c r="C191" s="309">
        <f>C78+C89+C91+C96+C124+C168+C169+C182+C184</f>
        <v>1319389.75</v>
      </c>
      <c r="D191" s="310">
        <f t="shared" si="16"/>
        <v>1.3656827396233802</v>
      </c>
      <c r="E191" s="311">
        <f t="shared" si="15"/>
        <v>-95290877.89999999</v>
      </c>
      <c r="F191" s="187"/>
    </row>
    <row r="192" spans="1:5" s="59" customFormat="1" ht="23.25" customHeight="1">
      <c r="A192" s="328" t="s">
        <v>271</v>
      </c>
      <c r="B192" s="329">
        <f>(B75-B191)</f>
        <v>-179399.9999999851</v>
      </c>
      <c r="C192" s="329">
        <f>(C75-C191)</f>
        <v>2844088.92</v>
      </c>
      <c r="D192" s="300"/>
      <c r="E192" s="300"/>
    </row>
    <row r="193" spans="1:5" s="59" customFormat="1" ht="21" customHeight="1">
      <c r="A193" s="328" t="s">
        <v>272</v>
      </c>
      <c r="B193" s="328"/>
      <c r="C193" s="330"/>
      <c r="D193" s="330"/>
      <c r="E193" s="330"/>
    </row>
    <row r="194" spans="1:5" ht="13.5">
      <c r="A194" s="328" t="s">
        <v>273</v>
      </c>
      <c r="B194" s="329">
        <f>SUM(B8+B44+B45+B51+B59)</f>
        <v>20427400</v>
      </c>
      <c r="C194" s="329">
        <f>SUM(C8+C44+C45+C51+C59)</f>
        <v>610903.23</v>
      </c>
      <c r="D194" s="310">
        <f>IF(B194=0,"   ",C194/B194*100)</f>
        <v>2.9906068809540125</v>
      </c>
      <c r="E194" s="311">
        <f>C194-B194</f>
        <v>-19816496.77</v>
      </c>
    </row>
    <row r="195" spans="1:5" ht="13.5">
      <c r="A195" s="328" t="s">
        <v>274</v>
      </c>
      <c r="B195" s="329">
        <f>SUM(B106)</f>
        <v>20473800</v>
      </c>
      <c r="C195" s="329">
        <f>SUM(C106)</f>
        <v>34765.5</v>
      </c>
      <c r="D195" s="310">
        <f>IF(B195=0,"   ",C195/B195*100)</f>
        <v>0.16980482372593264</v>
      </c>
      <c r="E195" s="311">
        <f>C195-B195</f>
        <v>-20439034.5</v>
      </c>
    </row>
    <row r="196" spans="1:5" ht="13.5">
      <c r="A196" s="328" t="s">
        <v>271</v>
      </c>
      <c r="B196" s="329">
        <f>(B194-B195)</f>
        <v>-46400</v>
      </c>
      <c r="C196" s="329">
        <f>(C194-C195)</f>
        <v>576137.73</v>
      </c>
      <c r="D196" s="328"/>
      <c r="E196" s="331"/>
    </row>
    <row r="197" spans="1:5" ht="13.5">
      <c r="A197" s="332"/>
      <c r="B197" s="332"/>
      <c r="C197" s="333"/>
      <c r="D197" s="332"/>
      <c r="E197" s="334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zoomScalePageLayoutView="0" workbookViewId="0" topLeftCell="A1">
      <selection activeCell="C50" sqref="C50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313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317</v>
      </c>
      <c r="C3" s="32" t="s">
        <v>314</v>
      </c>
      <c r="D3" s="19" t="s">
        <v>320</v>
      </c>
      <c r="E3" s="36" t="s">
        <v>319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09">
        <f>SUM(B7)</f>
        <v>24500</v>
      </c>
      <c r="C6" s="210">
        <f>SUM(C7)</f>
        <v>555.24</v>
      </c>
      <c r="D6" s="26">
        <f aca="true" t="shared" si="0" ref="D6:D112">IF(B6=0,"   ",C6/B6*100)</f>
        <v>2.2662857142857145</v>
      </c>
      <c r="E6" s="42">
        <f aca="true" t="shared" si="1" ref="E6:E112">C6-B6</f>
        <v>-23944.76</v>
      </c>
    </row>
    <row r="7" spans="1:5" ht="16.5" customHeight="1">
      <c r="A7" s="16" t="s">
        <v>44</v>
      </c>
      <c r="B7" s="211">
        <v>24500</v>
      </c>
      <c r="C7" s="226">
        <v>555.24</v>
      </c>
      <c r="D7" s="26">
        <f t="shared" si="0"/>
        <v>2.2662857142857145</v>
      </c>
      <c r="E7" s="42">
        <f t="shared" si="1"/>
        <v>-23944.76</v>
      </c>
    </row>
    <row r="8" spans="1:5" ht="12.75" customHeight="1">
      <c r="A8" s="64" t="s">
        <v>137</v>
      </c>
      <c r="B8" s="209">
        <f>SUM(B9)</f>
        <v>712800</v>
      </c>
      <c r="C8" s="212">
        <f>SUM(C9)</f>
        <v>57206.94</v>
      </c>
      <c r="D8" s="26">
        <f t="shared" si="0"/>
        <v>8.025664983164983</v>
      </c>
      <c r="E8" s="42">
        <f t="shared" si="1"/>
        <v>-655593.06</v>
      </c>
    </row>
    <row r="9" spans="1:5" ht="18.75" customHeight="1">
      <c r="A9" s="41" t="s">
        <v>138</v>
      </c>
      <c r="B9" s="211">
        <v>712800</v>
      </c>
      <c r="C9" s="226">
        <v>57206.94</v>
      </c>
      <c r="D9" s="26">
        <f t="shared" si="0"/>
        <v>8.025664983164983</v>
      </c>
      <c r="E9" s="42">
        <f t="shared" si="1"/>
        <v>-655593.06</v>
      </c>
    </row>
    <row r="10" spans="1:5" ht="16.5" customHeight="1">
      <c r="A10" s="16" t="s">
        <v>7</v>
      </c>
      <c r="B10" s="211">
        <f>SUM(B11:B11)</f>
        <v>44700</v>
      </c>
      <c r="C10" s="213">
        <f>SUM(C11:C11)</f>
        <v>0</v>
      </c>
      <c r="D10" s="26">
        <f t="shared" si="0"/>
        <v>0</v>
      </c>
      <c r="E10" s="42">
        <f t="shared" si="1"/>
        <v>-44700</v>
      </c>
    </row>
    <row r="11" spans="1:5" ht="14.25" customHeight="1">
      <c r="A11" s="16" t="s">
        <v>26</v>
      </c>
      <c r="B11" s="211">
        <v>44700</v>
      </c>
      <c r="C11" s="226">
        <v>0</v>
      </c>
      <c r="D11" s="26">
        <f t="shared" si="0"/>
        <v>0</v>
      </c>
      <c r="E11" s="42">
        <f t="shared" si="1"/>
        <v>-44700</v>
      </c>
    </row>
    <row r="12" spans="1:5" ht="14.25" customHeight="1">
      <c r="A12" s="16" t="s">
        <v>9</v>
      </c>
      <c r="B12" s="211">
        <f>SUM(B13:B14)</f>
        <v>220000</v>
      </c>
      <c r="C12" s="213">
        <f>SUM(C13:C14)</f>
        <v>2503.14</v>
      </c>
      <c r="D12" s="26">
        <f t="shared" si="0"/>
        <v>1.1377909090909089</v>
      </c>
      <c r="E12" s="42">
        <f t="shared" si="1"/>
        <v>-217496.86</v>
      </c>
    </row>
    <row r="13" spans="1:5" ht="12.75" customHeight="1">
      <c r="A13" s="16" t="s">
        <v>27</v>
      </c>
      <c r="B13" s="211">
        <v>71000</v>
      </c>
      <c r="C13" s="226">
        <v>16.11</v>
      </c>
      <c r="D13" s="26">
        <f t="shared" si="0"/>
        <v>0.02269014084507042</v>
      </c>
      <c r="E13" s="42">
        <f t="shared" si="1"/>
        <v>-70983.89</v>
      </c>
    </row>
    <row r="14" spans="1:5" ht="12.75">
      <c r="A14" s="41" t="s">
        <v>160</v>
      </c>
      <c r="B14" s="197">
        <f>SUM(B15:B16)</f>
        <v>149000</v>
      </c>
      <c r="C14" s="213">
        <f>SUM(C15:C16)</f>
        <v>2487.0299999999997</v>
      </c>
      <c r="D14" s="26">
        <f t="shared" si="0"/>
        <v>1.6691476510067114</v>
      </c>
      <c r="E14" s="42">
        <f t="shared" si="1"/>
        <v>-146512.97</v>
      </c>
    </row>
    <row r="15" spans="1:5" ht="12.75">
      <c r="A15" s="41" t="s">
        <v>161</v>
      </c>
      <c r="B15" s="197">
        <v>5000</v>
      </c>
      <c r="C15" s="226">
        <v>500</v>
      </c>
      <c r="D15" s="26">
        <f t="shared" si="0"/>
        <v>10</v>
      </c>
      <c r="E15" s="42">
        <f t="shared" si="1"/>
        <v>-4500</v>
      </c>
    </row>
    <row r="16" spans="1:5" ht="12.75">
      <c r="A16" s="41" t="s">
        <v>162</v>
      </c>
      <c r="B16" s="197">
        <v>144000</v>
      </c>
      <c r="C16" s="226">
        <v>1987.03</v>
      </c>
      <c r="D16" s="26">
        <f t="shared" si="0"/>
        <v>1.3798819444444443</v>
      </c>
      <c r="E16" s="42">
        <f t="shared" si="1"/>
        <v>-142012.97</v>
      </c>
    </row>
    <row r="17" spans="1:5" ht="12.75">
      <c r="A17" s="41" t="s">
        <v>195</v>
      </c>
      <c r="B17" s="197">
        <v>0</v>
      </c>
      <c r="C17" s="214">
        <v>0</v>
      </c>
      <c r="D17" s="26" t="str">
        <f t="shared" si="0"/>
        <v>   </v>
      </c>
      <c r="E17" s="42">
        <f t="shared" si="1"/>
        <v>0</v>
      </c>
    </row>
    <row r="18" spans="1:5" ht="18" customHeight="1">
      <c r="A18" s="16" t="s">
        <v>88</v>
      </c>
      <c r="B18" s="211">
        <v>0</v>
      </c>
      <c r="C18" s="214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09">
        <f>B21+B20</f>
        <v>0</v>
      </c>
      <c r="C19" s="212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55" t="s">
        <v>183</v>
      </c>
      <c r="B20" s="209">
        <v>0</v>
      </c>
      <c r="C20" s="212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295</v>
      </c>
      <c r="B21" s="211">
        <v>0</v>
      </c>
      <c r="C21" s="214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11">
        <f>SUM(B23:B24)</f>
        <v>99200</v>
      </c>
      <c r="C22" s="212">
        <f>SUM(C23:C24)</f>
        <v>0.35</v>
      </c>
      <c r="D22" s="26">
        <f t="shared" si="0"/>
        <v>0.00035282258064516127</v>
      </c>
      <c r="E22" s="42">
        <f t="shared" si="1"/>
        <v>-99199.65</v>
      </c>
    </row>
    <row r="23" spans="1:5" ht="15.75" customHeight="1">
      <c r="A23" s="41" t="s">
        <v>152</v>
      </c>
      <c r="B23" s="211">
        <v>99200</v>
      </c>
      <c r="C23" s="226">
        <v>0.35</v>
      </c>
      <c r="D23" s="26">
        <f t="shared" si="0"/>
        <v>0.00035282258064516127</v>
      </c>
      <c r="E23" s="42">
        <f t="shared" si="1"/>
        <v>-99199.65</v>
      </c>
    </row>
    <row r="24" spans="1:5" ht="15.75" customHeight="1">
      <c r="A24" s="16" t="s">
        <v>30</v>
      </c>
      <c r="B24" s="211">
        <v>0</v>
      </c>
      <c r="C24" s="214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173</v>
      </c>
      <c r="B25" s="209">
        <f>SUM(B26)</f>
        <v>0</v>
      </c>
      <c r="C25" s="212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174</v>
      </c>
      <c r="B26" s="211">
        <v>0</v>
      </c>
      <c r="C26" s="214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11">
        <f>SUM(B29:B30)</f>
        <v>0</v>
      </c>
      <c r="C28" s="213">
        <f>SUM(C29:C30)</f>
        <v>0.93</v>
      </c>
      <c r="D28" s="26" t="str">
        <f t="shared" si="0"/>
        <v>   </v>
      </c>
      <c r="E28" s="42">
        <f t="shared" si="1"/>
        <v>0.93</v>
      </c>
    </row>
    <row r="29" spans="1:5" ht="15.75" customHeight="1">
      <c r="A29" s="16" t="s">
        <v>105</v>
      </c>
      <c r="B29" s="211">
        <v>0</v>
      </c>
      <c r="C29" s="213">
        <v>0.93</v>
      </c>
      <c r="D29" s="26" t="str">
        <f t="shared" si="0"/>
        <v>   </v>
      </c>
      <c r="E29" s="42">
        <f t="shared" si="1"/>
        <v>0.93</v>
      </c>
    </row>
    <row r="30" spans="1:5" s="9" customFormat="1" ht="15" customHeight="1">
      <c r="A30" s="16" t="s">
        <v>108</v>
      </c>
      <c r="B30" s="215">
        <v>0</v>
      </c>
      <c r="C30" s="212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71" t="s">
        <v>10</v>
      </c>
      <c r="B31" s="202">
        <f>SUM(B6,B8,B10,B12,B17,B18,B19,B22,B27,B28,B25)</f>
        <v>1101200</v>
      </c>
      <c r="C31" s="206">
        <f>SUM(C6,C8,C10,C12,C17,C18,C19,C22,C27,C28,C25)</f>
        <v>60266.6</v>
      </c>
      <c r="D31" s="140">
        <f t="shared" si="0"/>
        <v>5.4728114783872135</v>
      </c>
      <c r="E31" s="141">
        <f t="shared" si="1"/>
        <v>-1040933.4</v>
      </c>
    </row>
    <row r="32" spans="1:5" ht="19.5" customHeight="1">
      <c r="A32" s="179" t="s">
        <v>140</v>
      </c>
      <c r="B32" s="216">
        <f>SUM(B33:B37,B40:B44,B49)</f>
        <v>3483700</v>
      </c>
      <c r="C32" s="216">
        <f>SUM(C33:C37,C40:C44,C49)</f>
        <v>197890</v>
      </c>
      <c r="D32" s="140">
        <f t="shared" si="0"/>
        <v>5.680454688980107</v>
      </c>
      <c r="E32" s="141">
        <f t="shared" si="1"/>
        <v>-3285810</v>
      </c>
    </row>
    <row r="33" spans="1:5" ht="18.75" customHeight="1">
      <c r="A33" s="17" t="s">
        <v>34</v>
      </c>
      <c r="B33" s="209">
        <v>2275600</v>
      </c>
      <c r="C33" s="226">
        <v>187890</v>
      </c>
      <c r="D33" s="26">
        <f t="shared" si="0"/>
        <v>8.256723501494111</v>
      </c>
      <c r="E33" s="42">
        <f t="shared" si="1"/>
        <v>-2087710</v>
      </c>
    </row>
    <row r="34" spans="1:5" ht="18.75" customHeight="1">
      <c r="A34" s="17" t="s">
        <v>226</v>
      </c>
      <c r="B34" s="209">
        <v>0</v>
      </c>
      <c r="C34" s="226">
        <v>0</v>
      </c>
      <c r="D34" s="26" t="str">
        <f>IF(B34=0,"   ",C34/B34*100)</f>
        <v>   </v>
      </c>
      <c r="E34" s="42">
        <f>C34-B34</f>
        <v>0</v>
      </c>
    </row>
    <row r="35" spans="1:5" ht="15.75" customHeight="1">
      <c r="A35" s="41" t="s">
        <v>147</v>
      </c>
      <c r="B35" s="211">
        <v>0</v>
      </c>
      <c r="C35" s="214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33" t="s">
        <v>51</v>
      </c>
      <c r="B36" s="134">
        <v>103400</v>
      </c>
      <c r="C36" s="230">
        <v>10000</v>
      </c>
      <c r="D36" s="135">
        <f t="shared" si="0"/>
        <v>9.671179883945841</v>
      </c>
      <c r="E36" s="136">
        <f t="shared" si="1"/>
        <v>-93400</v>
      </c>
    </row>
    <row r="37" spans="1:5" ht="32.25" customHeight="1">
      <c r="A37" s="108" t="s">
        <v>148</v>
      </c>
      <c r="B37" s="134">
        <f>SUM(B38:B39)</f>
        <v>100</v>
      </c>
      <c r="C37" s="134">
        <f>SUM(C38:C39)</f>
        <v>0</v>
      </c>
      <c r="D37" s="135">
        <f t="shared" si="0"/>
        <v>0</v>
      </c>
      <c r="E37" s="136">
        <f t="shared" si="1"/>
        <v>-100</v>
      </c>
    </row>
    <row r="38" spans="1:5" ht="15.75" customHeight="1">
      <c r="A38" s="108" t="s">
        <v>163</v>
      </c>
      <c r="B38" s="134">
        <v>100</v>
      </c>
      <c r="C38" s="134">
        <v>0</v>
      </c>
      <c r="D38" s="135">
        <f>IF(B38=0,"   ",C38/B38*100)</f>
        <v>0</v>
      </c>
      <c r="E38" s="136">
        <f>C38-B38</f>
        <v>-100</v>
      </c>
    </row>
    <row r="39" spans="1:5" ht="24.75" customHeight="1">
      <c r="A39" s="108" t="s">
        <v>164</v>
      </c>
      <c r="B39" s="134">
        <v>0</v>
      </c>
      <c r="C39" s="134">
        <v>0</v>
      </c>
      <c r="D39" s="135" t="str">
        <f>IF(B39=0,"   ",C39/B39*100)</f>
        <v>   </v>
      </c>
      <c r="E39" s="136">
        <f>C39-B39</f>
        <v>0</v>
      </c>
    </row>
    <row r="40" spans="1:5" ht="26.25" customHeight="1">
      <c r="A40" s="16" t="s">
        <v>292</v>
      </c>
      <c r="B40" s="134">
        <v>0</v>
      </c>
      <c r="C40" s="134">
        <v>0</v>
      </c>
      <c r="D40" s="135" t="str">
        <f t="shared" si="0"/>
        <v>   </v>
      </c>
      <c r="E40" s="136">
        <f t="shared" si="1"/>
        <v>0</v>
      </c>
    </row>
    <row r="41" spans="1:5" ht="25.5" customHeight="1">
      <c r="A41" s="16" t="s">
        <v>286</v>
      </c>
      <c r="B41" s="134">
        <v>0</v>
      </c>
      <c r="C41" s="134">
        <v>0</v>
      </c>
      <c r="D41" s="135" t="str">
        <f t="shared" si="0"/>
        <v>   </v>
      </c>
      <c r="E41" s="136">
        <f t="shared" si="1"/>
        <v>0</v>
      </c>
    </row>
    <row r="42" spans="1:5" ht="54.75" customHeight="1">
      <c r="A42" s="16" t="s">
        <v>235</v>
      </c>
      <c r="B42" s="134">
        <v>637800</v>
      </c>
      <c r="C42" s="134">
        <v>0</v>
      </c>
      <c r="D42" s="135">
        <f t="shared" si="0"/>
        <v>0</v>
      </c>
      <c r="E42" s="136">
        <f t="shared" si="1"/>
        <v>-637800</v>
      </c>
    </row>
    <row r="43" spans="1:5" ht="26.25" customHeight="1">
      <c r="A43" s="16" t="s">
        <v>267</v>
      </c>
      <c r="B43" s="134">
        <v>0</v>
      </c>
      <c r="C43" s="134">
        <v>0</v>
      </c>
      <c r="D43" s="135" t="str">
        <f t="shared" si="0"/>
        <v>   </v>
      </c>
      <c r="E43" s="136">
        <f t="shared" si="1"/>
        <v>0</v>
      </c>
    </row>
    <row r="44" spans="1:5" ht="16.5" customHeight="1">
      <c r="A44" s="16" t="s">
        <v>80</v>
      </c>
      <c r="B44" s="211">
        <f>B48+B45+B47+B46</f>
        <v>466800</v>
      </c>
      <c r="C44" s="211">
        <f>C48+C45+C47+C46</f>
        <v>0</v>
      </c>
      <c r="D44" s="26">
        <f t="shared" si="0"/>
        <v>0</v>
      </c>
      <c r="E44" s="42">
        <f t="shared" si="1"/>
        <v>-466800</v>
      </c>
    </row>
    <row r="45" spans="1:5" ht="15" customHeight="1">
      <c r="A45" s="46" t="s">
        <v>187</v>
      </c>
      <c r="B45" s="211">
        <v>0</v>
      </c>
      <c r="C45" s="218">
        <v>0</v>
      </c>
      <c r="D45" s="26" t="str">
        <f t="shared" si="0"/>
        <v>   </v>
      </c>
      <c r="E45" s="42">
        <f t="shared" si="1"/>
        <v>0</v>
      </c>
    </row>
    <row r="46" spans="1:5" ht="15" customHeight="1">
      <c r="A46" s="46" t="s">
        <v>333</v>
      </c>
      <c r="B46" s="211">
        <v>36900</v>
      </c>
      <c r="C46" s="218">
        <v>0</v>
      </c>
      <c r="D46" s="26">
        <f t="shared" si="0"/>
        <v>0</v>
      </c>
      <c r="E46" s="42">
        <f t="shared" si="1"/>
        <v>-36900</v>
      </c>
    </row>
    <row r="47" spans="1:5" ht="15" customHeight="1">
      <c r="A47" s="46" t="s">
        <v>284</v>
      </c>
      <c r="B47" s="211">
        <v>0</v>
      </c>
      <c r="C47" s="218">
        <v>0</v>
      </c>
      <c r="D47" s="26" t="str">
        <f>IF(B47=0,"   ",C47/B47*100)</f>
        <v>   </v>
      </c>
      <c r="E47" s="42">
        <f>C47-B47</f>
        <v>0</v>
      </c>
    </row>
    <row r="48" spans="1:5" s="7" customFormat="1" ht="16.5" customHeight="1">
      <c r="A48" s="46" t="s">
        <v>109</v>
      </c>
      <c r="B48" s="219">
        <v>429900</v>
      </c>
      <c r="C48" s="218">
        <v>0</v>
      </c>
      <c r="D48" s="47">
        <f t="shared" si="0"/>
        <v>0</v>
      </c>
      <c r="E48" s="40">
        <f t="shared" si="1"/>
        <v>-429900</v>
      </c>
    </row>
    <row r="49" spans="1:5" s="7" customFormat="1" ht="19.5" customHeight="1">
      <c r="A49" s="16" t="s">
        <v>197</v>
      </c>
      <c r="B49" s="233">
        <v>0</v>
      </c>
      <c r="C49" s="218">
        <v>0</v>
      </c>
      <c r="D49" s="47" t="str">
        <f>IF(B49=0,"   ",C49/B49*100)</f>
        <v>   </v>
      </c>
      <c r="E49" s="40">
        <f>C49-B49</f>
        <v>0</v>
      </c>
    </row>
    <row r="50" spans="1:5" ht="21.75" customHeight="1">
      <c r="A50" s="171" t="s">
        <v>11</v>
      </c>
      <c r="B50" s="206">
        <f>B31+B32</f>
        <v>4584900</v>
      </c>
      <c r="C50" s="206">
        <f>C31+C32</f>
        <v>258156.6</v>
      </c>
      <c r="D50" s="140">
        <f t="shared" si="0"/>
        <v>5.630583000719755</v>
      </c>
      <c r="E50" s="141">
        <f t="shared" si="1"/>
        <v>-4326743.4</v>
      </c>
    </row>
    <row r="51" spans="1:5" ht="12.75">
      <c r="A51" s="30"/>
      <c r="B51" s="209"/>
      <c r="C51" s="220"/>
      <c r="D51" s="26" t="str">
        <f t="shared" si="0"/>
        <v>   </v>
      </c>
      <c r="E51" s="42"/>
    </row>
    <row r="52" spans="1:5" ht="13.5" thickBot="1">
      <c r="A52" s="105" t="s">
        <v>12</v>
      </c>
      <c r="B52" s="221"/>
      <c r="C52" s="222"/>
      <c r="D52" s="111" t="str">
        <f t="shared" si="0"/>
        <v>   </v>
      </c>
      <c r="E52" s="112"/>
    </row>
    <row r="53" spans="1:5" ht="13.5" thickBot="1">
      <c r="A53" s="128" t="s">
        <v>35</v>
      </c>
      <c r="B53" s="129">
        <f>SUM(B54,B57+B58)</f>
        <v>1185300</v>
      </c>
      <c r="C53" s="129">
        <f>SUM(C54,C57+C58)</f>
        <v>37890.45</v>
      </c>
      <c r="D53" s="130">
        <f t="shared" si="0"/>
        <v>3.1966970387243734</v>
      </c>
      <c r="E53" s="131">
        <f t="shared" si="1"/>
        <v>-1147409.55</v>
      </c>
    </row>
    <row r="54" spans="1:5" ht="13.5" thickBot="1">
      <c r="A54" s="116" t="s">
        <v>36</v>
      </c>
      <c r="B54" s="117">
        <v>1174800</v>
      </c>
      <c r="C54" s="129">
        <v>37890.45</v>
      </c>
      <c r="D54" s="118">
        <f t="shared" si="0"/>
        <v>3.2252681307456585</v>
      </c>
      <c r="E54" s="119">
        <f t="shared" si="1"/>
        <v>-1136909.55</v>
      </c>
    </row>
    <row r="55" spans="1:5" ht="12.75">
      <c r="A55" s="85" t="s">
        <v>120</v>
      </c>
      <c r="B55" s="25">
        <v>783410</v>
      </c>
      <c r="C55" s="28">
        <v>25500</v>
      </c>
      <c r="D55" s="26">
        <f t="shared" si="0"/>
        <v>3.2550005744118664</v>
      </c>
      <c r="E55" s="42">
        <f t="shared" si="1"/>
        <v>-757910</v>
      </c>
    </row>
    <row r="56" spans="1:5" ht="12.75">
      <c r="A56" s="85" t="s">
        <v>276</v>
      </c>
      <c r="B56" s="25">
        <v>100</v>
      </c>
      <c r="C56" s="28">
        <v>0</v>
      </c>
      <c r="D56" s="26">
        <f>IF(B56=0,"   ",C56/B56*100)</f>
        <v>0</v>
      </c>
      <c r="E56" s="42">
        <f>C56-B56</f>
        <v>-100</v>
      </c>
    </row>
    <row r="57" spans="1:5" ht="12.75">
      <c r="A57" s="16" t="s">
        <v>95</v>
      </c>
      <c r="B57" s="25">
        <v>500</v>
      </c>
      <c r="C57" s="28">
        <v>0</v>
      </c>
      <c r="D57" s="26">
        <f t="shared" si="0"/>
        <v>0</v>
      </c>
      <c r="E57" s="42">
        <f t="shared" si="1"/>
        <v>-500</v>
      </c>
    </row>
    <row r="58" spans="1:5" ht="12.75">
      <c r="A58" s="104" t="s">
        <v>53</v>
      </c>
      <c r="B58" s="31">
        <f>SUM(B59)</f>
        <v>10000</v>
      </c>
      <c r="C58" s="31">
        <f>SUM(C59)</f>
        <v>0</v>
      </c>
      <c r="D58" s="111">
        <f t="shared" si="0"/>
        <v>0</v>
      </c>
      <c r="E58" s="112">
        <f t="shared" si="1"/>
        <v>-10000</v>
      </c>
    </row>
    <row r="59" spans="1:5" ht="29.25" customHeight="1" thickBot="1">
      <c r="A59" s="104" t="s">
        <v>243</v>
      </c>
      <c r="B59" s="121">
        <v>10000</v>
      </c>
      <c r="C59" s="122">
        <v>0</v>
      </c>
      <c r="D59" s="111">
        <f t="shared" si="0"/>
        <v>0</v>
      </c>
      <c r="E59" s="112">
        <f t="shared" si="1"/>
        <v>-10000</v>
      </c>
    </row>
    <row r="60" spans="1:5" ht="13.5" thickBot="1">
      <c r="A60" s="128" t="s">
        <v>49</v>
      </c>
      <c r="B60" s="181">
        <f>SUM(B61)</f>
        <v>103400</v>
      </c>
      <c r="C60" s="181">
        <f>SUM(C61)</f>
        <v>2000</v>
      </c>
      <c r="D60" s="130">
        <f t="shared" si="0"/>
        <v>1.9342359767891684</v>
      </c>
      <c r="E60" s="131">
        <f t="shared" si="1"/>
        <v>-101400</v>
      </c>
    </row>
    <row r="61" spans="1:5" ht="16.5" customHeight="1" thickBot="1">
      <c r="A61" s="120" t="s">
        <v>107</v>
      </c>
      <c r="B61" s="121">
        <v>103400</v>
      </c>
      <c r="C61" s="122">
        <v>2000</v>
      </c>
      <c r="D61" s="123">
        <f t="shared" si="0"/>
        <v>1.9342359767891684</v>
      </c>
      <c r="E61" s="124">
        <f t="shared" si="1"/>
        <v>-101400</v>
      </c>
    </row>
    <row r="62" spans="1:5" ht="13.5" thickBot="1">
      <c r="A62" s="128" t="s">
        <v>37</v>
      </c>
      <c r="B62" s="129">
        <f>SUM(B63)</f>
        <v>5000</v>
      </c>
      <c r="C62" s="181">
        <f>SUM(C63)</f>
        <v>0</v>
      </c>
      <c r="D62" s="130">
        <f t="shared" si="0"/>
        <v>0</v>
      </c>
      <c r="E62" s="131">
        <f t="shared" si="1"/>
        <v>-5000</v>
      </c>
    </row>
    <row r="63" spans="1:5" ht="13.5" thickBot="1">
      <c r="A63" s="75" t="s">
        <v>128</v>
      </c>
      <c r="B63" s="121">
        <v>5000</v>
      </c>
      <c r="C63" s="122">
        <v>0</v>
      </c>
      <c r="D63" s="123">
        <f t="shared" si="0"/>
        <v>0</v>
      </c>
      <c r="E63" s="124">
        <f t="shared" si="1"/>
        <v>-5000</v>
      </c>
    </row>
    <row r="64" spans="1:5" ht="13.5" thickBot="1">
      <c r="A64" s="128" t="s">
        <v>38</v>
      </c>
      <c r="B64" s="98">
        <f>B65+B70+B72+B80</f>
        <v>1949700</v>
      </c>
      <c r="C64" s="98">
        <f>C65+C70+C72+C80</f>
        <v>0</v>
      </c>
      <c r="D64" s="130">
        <f t="shared" si="0"/>
        <v>0</v>
      </c>
      <c r="E64" s="131">
        <f t="shared" si="1"/>
        <v>-1949700</v>
      </c>
    </row>
    <row r="65" spans="1:5" ht="15.75" customHeight="1" thickBot="1">
      <c r="A65" s="75" t="s">
        <v>175</v>
      </c>
      <c r="B65" s="98">
        <f>SUM(B66:B69)</f>
        <v>39200</v>
      </c>
      <c r="C65" s="98">
        <f>SUM(C66+C67)</f>
        <v>0</v>
      </c>
      <c r="D65" s="130">
        <f aca="true" t="shared" si="2" ref="D65:D71">IF(B65=0,"   ",C65/B65*100)</f>
        <v>0</v>
      </c>
      <c r="E65" s="131">
        <f aca="true" t="shared" si="3" ref="E65:E71">C65-B65</f>
        <v>-39200</v>
      </c>
    </row>
    <row r="66" spans="1:5" ht="18" customHeight="1" thickBot="1">
      <c r="A66" s="75" t="s">
        <v>166</v>
      </c>
      <c r="B66" s="237">
        <v>0</v>
      </c>
      <c r="C66" s="129">
        <v>0</v>
      </c>
      <c r="D66" s="130" t="str">
        <f t="shared" si="2"/>
        <v>   </v>
      </c>
      <c r="E66" s="131">
        <f t="shared" si="3"/>
        <v>0</v>
      </c>
    </row>
    <row r="67" spans="1:5" ht="18" customHeight="1" thickBot="1">
      <c r="A67" s="75" t="s">
        <v>188</v>
      </c>
      <c r="B67" s="117">
        <v>0</v>
      </c>
      <c r="C67" s="117">
        <v>0</v>
      </c>
      <c r="D67" s="130" t="str">
        <f t="shared" si="2"/>
        <v>   </v>
      </c>
      <c r="E67" s="131">
        <f t="shared" si="3"/>
        <v>0</v>
      </c>
    </row>
    <row r="68" spans="1:5" ht="18" customHeight="1" thickBot="1">
      <c r="A68" s="75" t="s">
        <v>334</v>
      </c>
      <c r="B68" s="25">
        <v>36900</v>
      </c>
      <c r="C68" s="25">
        <v>0</v>
      </c>
      <c r="D68" s="130">
        <f t="shared" si="2"/>
        <v>0</v>
      </c>
      <c r="E68" s="131">
        <f t="shared" si="3"/>
        <v>-36900</v>
      </c>
    </row>
    <row r="69" spans="1:5" ht="18" customHeight="1" thickBot="1">
      <c r="A69" s="75" t="s">
        <v>335</v>
      </c>
      <c r="B69" s="25">
        <v>2300</v>
      </c>
      <c r="C69" s="25">
        <v>0</v>
      </c>
      <c r="D69" s="130">
        <f t="shared" si="2"/>
        <v>0</v>
      </c>
      <c r="E69" s="131">
        <f t="shared" si="3"/>
        <v>-2300</v>
      </c>
    </row>
    <row r="70" spans="1:5" ht="18" customHeight="1" thickBot="1">
      <c r="A70" s="75" t="s">
        <v>228</v>
      </c>
      <c r="B70" s="189">
        <f>SUM(B71)</f>
        <v>0</v>
      </c>
      <c r="C70" s="189">
        <f>SUM(C71)</f>
        <v>0</v>
      </c>
      <c r="D70" s="130" t="str">
        <f t="shared" si="2"/>
        <v>   </v>
      </c>
      <c r="E70" s="131">
        <f t="shared" si="3"/>
        <v>0</v>
      </c>
    </row>
    <row r="71" spans="1:5" ht="18" customHeight="1" thickBot="1">
      <c r="A71" s="75" t="s">
        <v>229</v>
      </c>
      <c r="B71" s="117">
        <v>0</v>
      </c>
      <c r="C71" s="117">
        <v>0</v>
      </c>
      <c r="D71" s="130" t="str">
        <f t="shared" si="2"/>
        <v>   </v>
      </c>
      <c r="E71" s="131">
        <f t="shared" si="3"/>
        <v>0</v>
      </c>
    </row>
    <row r="72" spans="1:5" ht="12.75">
      <c r="A72" s="95" t="s">
        <v>131</v>
      </c>
      <c r="B72" s="117">
        <f>SUM(B73:B79)</f>
        <v>1780500</v>
      </c>
      <c r="C72" s="117">
        <f>SUM(C73:C79)</f>
        <v>0</v>
      </c>
      <c r="D72" s="118">
        <f t="shared" si="0"/>
        <v>0</v>
      </c>
      <c r="E72" s="119">
        <f t="shared" si="1"/>
        <v>-1780500</v>
      </c>
    </row>
    <row r="73" spans="1:5" ht="19.5" customHeight="1">
      <c r="A73" s="75" t="s">
        <v>149</v>
      </c>
      <c r="B73" s="25">
        <v>250000</v>
      </c>
      <c r="C73" s="25">
        <v>0</v>
      </c>
      <c r="D73" s="118">
        <f t="shared" si="0"/>
        <v>0</v>
      </c>
      <c r="E73" s="119">
        <f t="shared" si="1"/>
        <v>-250000</v>
      </c>
    </row>
    <row r="74" spans="1:5" ht="26.25">
      <c r="A74" s="71" t="s">
        <v>246</v>
      </c>
      <c r="B74" s="25">
        <v>173000</v>
      </c>
      <c r="C74" s="25">
        <v>0</v>
      </c>
      <c r="D74" s="26">
        <f t="shared" si="0"/>
        <v>0</v>
      </c>
      <c r="E74" s="27">
        <f t="shared" si="1"/>
        <v>-173000</v>
      </c>
    </row>
    <row r="75" spans="1:5" ht="26.25">
      <c r="A75" s="71" t="s">
        <v>247</v>
      </c>
      <c r="B75" s="25">
        <v>171100</v>
      </c>
      <c r="C75" s="25">
        <v>0</v>
      </c>
      <c r="D75" s="26">
        <f t="shared" si="0"/>
        <v>0</v>
      </c>
      <c r="E75" s="27">
        <f t="shared" si="1"/>
        <v>-171100</v>
      </c>
    </row>
    <row r="76" spans="1:5" ht="26.25">
      <c r="A76" s="71" t="s">
        <v>248</v>
      </c>
      <c r="B76" s="25">
        <v>637800</v>
      </c>
      <c r="C76" s="25">
        <v>0</v>
      </c>
      <c r="D76" s="26">
        <f t="shared" si="0"/>
        <v>0</v>
      </c>
      <c r="E76" s="27">
        <f t="shared" si="1"/>
        <v>-637800</v>
      </c>
    </row>
    <row r="77" spans="1:5" ht="26.25">
      <c r="A77" s="71" t="s">
        <v>249</v>
      </c>
      <c r="B77" s="25">
        <v>70900</v>
      </c>
      <c r="C77" s="25">
        <v>0</v>
      </c>
      <c r="D77" s="26">
        <f t="shared" si="0"/>
        <v>0</v>
      </c>
      <c r="E77" s="27">
        <f t="shared" si="1"/>
        <v>-70900</v>
      </c>
    </row>
    <row r="78" spans="1:5" ht="26.25">
      <c r="A78" s="71" t="s">
        <v>250</v>
      </c>
      <c r="B78" s="25">
        <v>429900</v>
      </c>
      <c r="C78" s="25">
        <v>0</v>
      </c>
      <c r="D78" s="26">
        <f t="shared" si="0"/>
        <v>0</v>
      </c>
      <c r="E78" s="27">
        <f t="shared" si="1"/>
        <v>-429900</v>
      </c>
    </row>
    <row r="79" spans="1:5" ht="27" thickBot="1">
      <c r="A79" s="71" t="s">
        <v>251</v>
      </c>
      <c r="B79" s="113">
        <v>47800</v>
      </c>
      <c r="C79" s="113">
        <v>0</v>
      </c>
      <c r="D79" s="111">
        <f t="shared" si="0"/>
        <v>0</v>
      </c>
      <c r="E79" s="112">
        <f t="shared" si="1"/>
        <v>-47800</v>
      </c>
    </row>
    <row r="80" spans="1:5" ht="12.75">
      <c r="A80" s="95" t="s">
        <v>176</v>
      </c>
      <c r="B80" s="269">
        <f>SUM(B81+B82)</f>
        <v>130000</v>
      </c>
      <c r="C80" s="269">
        <f>SUM(C81+C82)</f>
        <v>0</v>
      </c>
      <c r="D80" s="111">
        <f>IF(B80=0,"   ",C80/B80*100)</f>
        <v>0</v>
      </c>
      <c r="E80" s="112">
        <f>C80-B80</f>
        <v>-130000</v>
      </c>
    </row>
    <row r="81" spans="1:5" ht="26.25">
      <c r="A81" s="104" t="s">
        <v>155</v>
      </c>
      <c r="B81" s="31">
        <v>40000</v>
      </c>
      <c r="C81" s="31">
        <v>0</v>
      </c>
      <c r="D81" s="111">
        <f>IF(B81=0,"   ",C81/B81*100)</f>
        <v>0</v>
      </c>
      <c r="E81" s="112">
        <f>C81-B81</f>
        <v>-40000</v>
      </c>
    </row>
    <row r="82" spans="1:5" ht="27" thickBot="1">
      <c r="A82" s="75" t="s">
        <v>177</v>
      </c>
      <c r="B82" s="121">
        <v>90000</v>
      </c>
      <c r="C82" s="121">
        <v>0</v>
      </c>
      <c r="D82" s="111">
        <f>IF(B82=0,"   ",C82/B82*100)</f>
        <v>0</v>
      </c>
      <c r="E82" s="112">
        <f>C82-B82</f>
        <v>-90000</v>
      </c>
    </row>
    <row r="83" spans="1:5" ht="13.5" customHeight="1" thickBot="1">
      <c r="A83" s="128" t="s">
        <v>13</v>
      </c>
      <c r="B83" s="129">
        <f>SUM(B92,B91,B84)</f>
        <v>702000</v>
      </c>
      <c r="C83" s="129">
        <f>SUM(C92,C91,C84)</f>
        <v>7717.38</v>
      </c>
      <c r="D83" s="130">
        <f t="shared" si="0"/>
        <v>1.0993418803418804</v>
      </c>
      <c r="E83" s="131">
        <f t="shared" si="1"/>
        <v>-694282.62</v>
      </c>
    </row>
    <row r="84" spans="1:5" ht="13.5" customHeight="1" thickBot="1">
      <c r="A84" s="41" t="s">
        <v>150</v>
      </c>
      <c r="B84" s="117">
        <f>SUM(B85+B86+B87)</f>
        <v>0</v>
      </c>
      <c r="C84" s="117">
        <f>SUM(C85+C86+C87)</f>
        <v>0</v>
      </c>
      <c r="D84" s="130" t="str">
        <f t="shared" si="0"/>
        <v>   </v>
      </c>
      <c r="E84" s="270">
        <f t="shared" si="1"/>
        <v>0</v>
      </c>
    </row>
    <row r="85" spans="1:5" ht="30.75" customHeight="1" thickBot="1">
      <c r="A85" s="16" t="s">
        <v>194</v>
      </c>
      <c r="B85" s="117">
        <v>0</v>
      </c>
      <c r="C85" s="117">
        <v>0</v>
      </c>
      <c r="D85" s="130" t="str">
        <f t="shared" si="0"/>
        <v>   </v>
      </c>
      <c r="E85" s="27">
        <f t="shared" si="1"/>
        <v>0</v>
      </c>
    </row>
    <row r="86" spans="1:5" ht="18" customHeight="1" thickBot="1">
      <c r="A86" s="16" t="s">
        <v>289</v>
      </c>
      <c r="B86" s="117">
        <v>0</v>
      </c>
      <c r="C86" s="117">
        <v>0</v>
      </c>
      <c r="D86" s="130" t="str">
        <f>IF(B86=0,"   ",C86/B86*100)</f>
        <v>   </v>
      </c>
      <c r="E86" s="27">
        <f>C86-B86</f>
        <v>0</v>
      </c>
    </row>
    <row r="87" spans="1:5" ht="19.5" customHeight="1" thickBot="1">
      <c r="A87" s="104" t="s">
        <v>204</v>
      </c>
      <c r="B87" s="117">
        <f>SUM(B88+B89+B90)</f>
        <v>0</v>
      </c>
      <c r="C87" s="117">
        <f>SUM(C88+C89+C90)</f>
        <v>0</v>
      </c>
      <c r="D87" s="130" t="str">
        <f>IF(B87=0,"   ",C87/B87*100)</f>
        <v>   </v>
      </c>
      <c r="E87" s="27">
        <f>C87-B87</f>
        <v>0</v>
      </c>
    </row>
    <row r="88" spans="1:5" ht="30.75" customHeight="1" thickBot="1">
      <c r="A88" s="104" t="s">
        <v>214</v>
      </c>
      <c r="B88" s="117">
        <v>0</v>
      </c>
      <c r="C88" s="117">
        <v>0</v>
      </c>
      <c r="D88" s="130" t="str">
        <f>IF(B88=0,"   ",C88/B88*100)</f>
        <v>   </v>
      </c>
      <c r="E88" s="27">
        <f>C88-B88</f>
        <v>0</v>
      </c>
    </row>
    <row r="89" spans="1:5" ht="30.75" customHeight="1" thickBot="1">
      <c r="A89" s="104" t="s">
        <v>205</v>
      </c>
      <c r="B89" s="117">
        <v>0</v>
      </c>
      <c r="C89" s="117">
        <v>0</v>
      </c>
      <c r="D89" s="130" t="str">
        <f>IF(B89=0,"   ",C89/B89*100)</f>
        <v>   </v>
      </c>
      <c r="E89" s="27">
        <f>C89-B89</f>
        <v>0</v>
      </c>
    </row>
    <row r="90" spans="1:5" ht="30.75" customHeight="1" thickBot="1">
      <c r="A90" s="104" t="s">
        <v>215</v>
      </c>
      <c r="B90" s="117">
        <v>0</v>
      </c>
      <c r="C90" s="117">
        <v>0</v>
      </c>
      <c r="D90" s="130" t="str">
        <f>IF(B90=0,"   ",C90/B90*100)</f>
        <v>   </v>
      </c>
      <c r="E90" s="27">
        <f>C90-B90</f>
        <v>0</v>
      </c>
    </row>
    <row r="91" spans="1:5" ht="13.5" customHeight="1" thickBot="1">
      <c r="A91" s="116" t="s">
        <v>85</v>
      </c>
      <c r="B91" s="117">
        <v>0</v>
      </c>
      <c r="C91" s="117">
        <v>0</v>
      </c>
      <c r="D91" s="130" t="str">
        <f t="shared" si="0"/>
        <v>   </v>
      </c>
      <c r="E91" s="27">
        <f t="shared" si="1"/>
        <v>0</v>
      </c>
    </row>
    <row r="92" spans="1:5" ht="12.75">
      <c r="A92" s="16" t="s">
        <v>58</v>
      </c>
      <c r="B92" s="25">
        <f>B93+B103+B94+B98+B104</f>
        <v>702000</v>
      </c>
      <c r="C92" s="25">
        <f>C93+C103+C94+C98+C104</f>
        <v>7717.38</v>
      </c>
      <c r="D92" s="26">
        <f t="shared" si="0"/>
        <v>1.0993418803418804</v>
      </c>
      <c r="E92" s="42">
        <f t="shared" si="1"/>
        <v>-694282.62</v>
      </c>
    </row>
    <row r="93" spans="1:5" ht="12.75">
      <c r="A93" s="16" t="s">
        <v>56</v>
      </c>
      <c r="B93" s="25">
        <v>110000</v>
      </c>
      <c r="C93" s="27">
        <v>7717.38</v>
      </c>
      <c r="D93" s="26">
        <f t="shared" si="0"/>
        <v>7.0158</v>
      </c>
      <c r="E93" s="42">
        <f t="shared" si="1"/>
        <v>-102282.62</v>
      </c>
    </row>
    <row r="94" spans="1:5" ht="12.75">
      <c r="A94" s="104" t="s">
        <v>204</v>
      </c>
      <c r="B94" s="25">
        <f>SUM(B95:B97)</f>
        <v>0</v>
      </c>
      <c r="C94" s="25">
        <f>SUM(C95:C97)</f>
        <v>0</v>
      </c>
      <c r="D94" s="111" t="str">
        <f t="shared" si="0"/>
        <v>   </v>
      </c>
      <c r="E94" s="112">
        <f t="shared" si="1"/>
        <v>0</v>
      </c>
    </row>
    <row r="95" spans="1:5" ht="26.25">
      <c r="A95" s="104" t="s">
        <v>211</v>
      </c>
      <c r="B95" s="25">
        <v>0</v>
      </c>
      <c r="C95" s="27">
        <v>0</v>
      </c>
      <c r="D95" s="111" t="str">
        <f t="shared" si="0"/>
        <v>   </v>
      </c>
      <c r="E95" s="112">
        <f t="shared" si="1"/>
        <v>0</v>
      </c>
    </row>
    <row r="96" spans="1:5" ht="26.25">
      <c r="A96" s="104" t="s">
        <v>212</v>
      </c>
      <c r="B96" s="25">
        <v>0</v>
      </c>
      <c r="C96" s="27">
        <v>0</v>
      </c>
      <c r="D96" s="111" t="str">
        <f t="shared" si="0"/>
        <v>   </v>
      </c>
      <c r="E96" s="112">
        <f t="shared" si="1"/>
        <v>0</v>
      </c>
    </row>
    <row r="97" spans="1:5" ht="26.25">
      <c r="A97" s="104" t="s">
        <v>213</v>
      </c>
      <c r="B97" s="25">
        <v>0</v>
      </c>
      <c r="C97" s="27">
        <v>0</v>
      </c>
      <c r="D97" s="111" t="str">
        <f t="shared" si="0"/>
        <v>   </v>
      </c>
      <c r="E97" s="112">
        <f t="shared" si="1"/>
        <v>0</v>
      </c>
    </row>
    <row r="98" spans="1:5" ht="15">
      <c r="A98" s="266" t="s">
        <v>262</v>
      </c>
      <c r="B98" s="25">
        <f>SUM(B100+B101+B102+B99)</f>
        <v>0</v>
      </c>
      <c r="C98" s="25">
        <f>SUM(C100+C101+C102+C99)</f>
        <v>0</v>
      </c>
      <c r="D98" s="111" t="str">
        <f>IF(B98=0,"   ",C98/B98*100)</f>
        <v>   </v>
      </c>
      <c r="E98" s="112">
        <f>C98-B98</f>
        <v>0</v>
      </c>
    </row>
    <row r="99" spans="1:5" ht="15">
      <c r="A99" s="266" t="s">
        <v>263</v>
      </c>
      <c r="B99" s="113">
        <v>0</v>
      </c>
      <c r="C99" s="113">
        <v>0</v>
      </c>
      <c r="D99" s="111" t="str">
        <f>IF(B99=0,"   ",C99/B99*100)</f>
        <v>   </v>
      </c>
      <c r="E99" s="112">
        <f>C99-B99</f>
        <v>0</v>
      </c>
    </row>
    <row r="100" spans="1:5" ht="15">
      <c r="A100" s="266" t="s">
        <v>264</v>
      </c>
      <c r="B100" s="113">
        <v>0</v>
      </c>
      <c r="C100" s="114">
        <v>0</v>
      </c>
      <c r="D100" s="111" t="str">
        <f t="shared" si="0"/>
        <v>   </v>
      </c>
      <c r="E100" s="112">
        <f t="shared" si="1"/>
        <v>0</v>
      </c>
    </row>
    <row r="101" spans="1:5" ht="15" customHeight="1">
      <c r="A101" s="266" t="s">
        <v>265</v>
      </c>
      <c r="B101" s="113">
        <v>0</v>
      </c>
      <c r="C101" s="114">
        <v>0</v>
      </c>
      <c r="D101" s="111" t="str">
        <f t="shared" si="0"/>
        <v>   </v>
      </c>
      <c r="E101" s="112">
        <f t="shared" si="1"/>
        <v>0</v>
      </c>
    </row>
    <row r="102" spans="1:5" ht="16.5" customHeight="1">
      <c r="A102" s="266" t="s">
        <v>266</v>
      </c>
      <c r="B102" s="113">
        <v>0</v>
      </c>
      <c r="C102" s="114">
        <v>0</v>
      </c>
      <c r="D102" s="111" t="str">
        <f t="shared" si="0"/>
        <v>   </v>
      </c>
      <c r="E102" s="112">
        <f t="shared" si="1"/>
        <v>0</v>
      </c>
    </row>
    <row r="103" spans="1:5" ht="12.75">
      <c r="A103" s="104" t="s">
        <v>59</v>
      </c>
      <c r="B103" s="25">
        <v>592000</v>
      </c>
      <c r="C103" s="27">
        <v>0</v>
      </c>
      <c r="D103" s="26">
        <f t="shared" si="0"/>
        <v>0</v>
      </c>
      <c r="E103" s="27">
        <f t="shared" si="1"/>
        <v>-592000</v>
      </c>
    </row>
    <row r="104" spans="1:5" ht="27" thickBot="1">
      <c r="A104" s="104" t="s">
        <v>290</v>
      </c>
      <c r="B104" s="25">
        <v>0</v>
      </c>
      <c r="C104" s="27">
        <v>0</v>
      </c>
      <c r="D104" s="26" t="str">
        <f t="shared" si="0"/>
        <v>   </v>
      </c>
      <c r="E104" s="27">
        <f t="shared" si="1"/>
        <v>0</v>
      </c>
    </row>
    <row r="105" spans="1:5" ht="15" thickBot="1">
      <c r="A105" s="132" t="s">
        <v>17</v>
      </c>
      <c r="B105" s="189">
        <v>8000</v>
      </c>
      <c r="C105" s="189">
        <v>0</v>
      </c>
      <c r="D105" s="144">
        <f t="shared" si="0"/>
        <v>0</v>
      </c>
      <c r="E105" s="145">
        <f t="shared" si="1"/>
        <v>-8000</v>
      </c>
    </row>
    <row r="106" spans="1:5" ht="13.5" thickBot="1">
      <c r="A106" s="128" t="s">
        <v>41</v>
      </c>
      <c r="B106" s="182">
        <f>B107</f>
        <v>623500</v>
      </c>
      <c r="C106" s="182">
        <f>C107</f>
        <v>0</v>
      </c>
      <c r="D106" s="130">
        <f t="shared" si="0"/>
        <v>0</v>
      </c>
      <c r="E106" s="131">
        <f t="shared" si="1"/>
        <v>-623500</v>
      </c>
    </row>
    <row r="107" spans="1:5" ht="12.75">
      <c r="A107" s="116" t="s">
        <v>42</v>
      </c>
      <c r="B107" s="117">
        <f>SUM(B108+B110+B109)</f>
        <v>623500</v>
      </c>
      <c r="C107" s="117">
        <f>SUM(C108+C110+C109)</f>
        <v>0</v>
      </c>
      <c r="D107" s="118">
        <f t="shared" si="0"/>
        <v>0</v>
      </c>
      <c r="E107" s="119">
        <f t="shared" si="1"/>
        <v>-623500</v>
      </c>
    </row>
    <row r="108" spans="1:5" ht="12.75">
      <c r="A108" s="167" t="s">
        <v>143</v>
      </c>
      <c r="B108" s="121">
        <v>623500</v>
      </c>
      <c r="C108" s="122">
        <v>0</v>
      </c>
      <c r="D108" s="123">
        <f t="shared" si="0"/>
        <v>0</v>
      </c>
      <c r="E108" s="124">
        <f t="shared" si="1"/>
        <v>-623500</v>
      </c>
    </row>
    <row r="109" spans="1:5" ht="12.75">
      <c r="A109" s="116" t="s">
        <v>297</v>
      </c>
      <c r="B109" s="121">
        <v>0</v>
      </c>
      <c r="C109" s="122">
        <v>0</v>
      </c>
      <c r="D109" s="123" t="str">
        <f t="shared" si="0"/>
        <v>   </v>
      </c>
      <c r="E109" s="125">
        <f t="shared" si="1"/>
        <v>0</v>
      </c>
    </row>
    <row r="110" spans="1:5" ht="21.75" customHeight="1" thickBot="1">
      <c r="A110" s="16" t="s">
        <v>252</v>
      </c>
      <c r="B110" s="25">
        <v>0</v>
      </c>
      <c r="C110" s="27">
        <v>0</v>
      </c>
      <c r="D110" s="26" t="str">
        <f t="shared" si="0"/>
        <v>   </v>
      </c>
      <c r="E110" s="27">
        <f t="shared" si="1"/>
        <v>0</v>
      </c>
    </row>
    <row r="111" spans="1:5" ht="13.5" thickBot="1">
      <c r="A111" s="128" t="s">
        <v>124</v>
      </c>
      <c r="B111" s="183">
        <f>SUM(B112,)</f>
        <v>8000</v>
      </c>
      <c r="C111" s="183">
        <f>SUM(C112,)</f>
        <v>0</v>
      </c>
      <c r="D111" s="144">
        <f t="shared" si="0"/>
        <v>0</v>
      </c>
      <c r="E111" s="145">
        <f t="shared" si="1"/>
        <v>-8000</v>
      </c>
    </row>
    <row r="112" spans="1:5" ht="12.75">
      <c r="A112" s="126" t="s">
        <v>43</v>
      </c>
      <c r="B112" s="121">
        <v>8000</v>
      </c>
      <c r="C112" s="127">
        <v>0</v>
      </c>
      <c r="D112" s="123">
        <f t="shared" si="0"/>
        <v>0</v>
      </c>
      <c r="E112" s="124">
        <f t="shared" si="1"/>
        <v>-8000</v>
      </c>
    </row>
    <row r="113" spans="1:5" ht="27" customHeight="1">
      <c r="A113" s="171" t="s">
        <v>15</v>
      </c>
      <c r="B113" s="149">
        <f>SUM(B53,B60,B62,B64,B83,B105,B106,B111,)</f>
        <v>4584900</v>
      </c>
      <c r="C113" s="149">
        <f>SUM(C53,C60,C62,C64,C83,C105,C106,C111,)</f>
        <v>47607.829999999994</v>
      </c>
      <c r="D113" s="140">
        <f>IF(B113=0,"   ",C113/B113*100)</f>
        <v>1.0383613601169053</v>
      </c>
      <c r="E113" s="141">
        <f>C113-B113</f>
        <v>-4537292.17</v>
      </c>
    </row>
    <row r="114" spans="1:5" s="59" customFormat="1" ht="42.75" customHeight="1">
      <c r="A114" s="80" t="s">
        <v>309</v>
      </c>
      <c r="B114" s="80"/>
      <c r="C114" s="337"/>
      <c r="D114" s="337"/>
      <c r="E114" s="337"/>
    </row>
    <row r="115" spans="1:5" s="59" customFormat="1" ht="18.75" customHeight="1">
      <c r="A115" s="80" t="s">
        <v>154</v>
      </c>
      <c r="B115" s="80"/>
      <c r="C115" s="81" t="s">
        <v>310</v>
      </c>
      <c r="D115" s="82"/>
      <c r="E115" s="83"/>
    </row>
    <row r="116" spans="1:5" ht="12.75">
      <c r="A116" s="7"/>
      <c r="B116" s="7"/>
      <c r="C116" s="6"/>
      <c r="D116" s="7"/>
      <c r="E116" s="2"/>
    </row>
    <row r="117" spans="1:5" ht="12.75">
      <c r="A117" s="7"/>
      <c r="B117" s="7"/>
      <c r="C117" s="6"/>
      <c r="D117" s="7"/>
      <c r="E117" s="2"/>
    </row>
    <row r="118" spans="1:5" ht="12.75">
      <c r="A118" s="7"/>
      <c r="B118" s="7"/>
      <c r="C118" s="6"/>
      <c r="D118" s="7"/>
      <c r="E118" s="2"/>
    </row>
    <row r="119" spans="1:5" ht="12.75">
      <c r="A119" s="7"/>
      <c r="B119" s="7"/>
      <c r="C119" s="6"/>
      <c r="D119" s="7"/>
      <c r="E119" s="2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  <row r="131" spans="1:5" ht="12.75">
      <c r="A131" s="4"/>
      <c r="B131" s="4"/>
      <c r="C131" s="4"/>
      <c r="D131" s="4"/>
      <c r="E131" s="4"/>
    </row>
    <row r="132" spans="1:5" ht="12.75">
      <c r="A132" s="4"/>
      <c r="B132" s="4"/>
      <c r="C132" s="4"/>
      <c r="D132" s="4"/>
      <c r="E132" s="4"/>
    </row>
    <row r="133" spans="1:5" ht="12.75">
      <c r="A133" s="4"/>
      <c r="B133" s="4"/>
      <c r="C133" s="4"/>
      <c r="D133" s="4"/>
      <c r="E133" s="4"/>
    </row>
    <row r="134" spans="1:5" ht="12.75">
      <c r="A134" s="4"/>
      <c r="B134" s="4"/>
      <c r="C134" s="4"/>
      <c r="D134" s="4"/>
      <c r="E134" s="4"/>
    </row>
    <row r="135" spans="1:5" ht="12.75">
      <c r="A135" s="4"/>
      <c r="B135" s="4"/>
      <c r="C135" s="4"/>
      <c r="D135" s="4"/>
      <c r="E135" s="4"/>
    </row>
    <row r="136" spans="1:5" ht="12.75">
      <c r="A136" s="4"/>
      <c r="B136" s="4"/>
      <c r="C136" s="4"/>
      <c r="D136" s="4"/>
      <c r="E136" s="4"/>
    </row>
    <row r="137" spans="1:5" ht="12.75">
      <c r="A137" s="4"/>
      <c r="B137" s="4"/>
      <c r="C137" s="4"/>
      <c r="D137" s="4"/>
      <c r="E137" s="4"/>
    </row>
    <row r="138" spans="1:5" ht="12.75">
      <c r="A138" s="4"/>
      <c r="B138" s="4"/>
      <c r="C138" s="4"/>
      <c r="D138" s="4"/>
      <c r="E138" s="4"/>
    </row>
  </sheetData>
  <sheetProtection/>
  <mergeCells count="2">
    <mergeCell ref="A1:E1"/>
    <mergeCell ref="C114:E114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SheetLayoutView="100" zoomScalePageLayoutView="0" workbookViewId="0" topLeftCell="A29">
      <selection activeCell="C48" sqref="C48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339" t="s">
        <v>315</v>
      </c>
      <c r="B1" s="339"/>
      <c r="C1" s="339"/>
      <c r="D1" s="339"/>
      <c r="E1" s="33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317</v>
      </c>
      <c r="C3" s="32" t="s">
        <v>316</v>
      </c>
      <c r="D3" s="19" t="s">
        <v>318</v>
      </c>
      <c r="E3" s="36" t="s">
        <v>321</v>
      </c>
    </row>
    <row r="4" spans="1:5" ht="12.75">
      <c r="A4" s="13">
        <v>1</v>
      </c>
      <c r="B4" s="74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56900</v>
      </c>
      <c r="C6" s="148">
        <f>SUM(C7)</f>
        <v>1287.57</v>
      </c>
      <c r="D6" s="26">
        <f aca="true" t="shared" si="0" ref="D6:D98">IF(B6=0,"   ",C6/B6*100)</f>
        <v>2.2628646748681898</v>
      </c>
      <c r="E6" s="42">
        <f aca="true" t="shared" si="1" ref="E6:E99">C6-B6</f>
        <v>-55612.43</v>
      </c>
    </row>
    <row r="7" spans="1:5" ht="15" customHeight="1">
      <c r="A7" s="16" t="s">
        <v>44</v>
      </c>
      <c r="B7" s="25">
        <v>56900</v>
      </c>
      <c r="C7" s="227">
        <v>1287.57</v>
      </c>
      <c r="D7" s="26">
        <f t="shared" si="0"/>
        <v>2.2628646748681898</v>
      </c>
      <c r="E7" s="42">
        <f t="shared" si="1"/>
        <v>-55612.43</v>
      </c>
    </row>
    <row r="8" spans="1:5" ht="15.75" customHeight="1">
      <c r="A8" s="64" t="s">
        <v>137</v>
      </c>
      <c r="B8" s="24">
        <f>SUM(B9)</f>
        <v>398000</v>
      </c>
      <c r="C8" s="193">
        <f>SUM(C9)</f>
        <v>31944.03</v>
      </c>
      <c r="D8" s="26">
        <f t="shared" si="0"/>
        <v>8.026138190954773</v>
      </c>
      <c r="E8" s="42">
        <f t="shared" si="1"/>
        <v>-366055.97</v>
      </c>
    </row>
    <row r="9" spans="1:5" ht="15" customHeight="1">
      <c r="A9" s="41" t="s">
        <v>138</v>
      </c>
      <c r="B9" s="25">
        <v>398000</v>
      </c>
      <c r="C9" s="227">
        <v>31944.03</v>
      </c>
      <c r="D9" s="26">
        <f t="shared" si="0"/>
        <v>8.026138190954773</v>
      </c>
      <c r="E9" s="42">
        <f t="shared" si="1"/>
        <v>-366055.97</v>
      </c>
    </row>
    <row r="10" spans="1:5" ht="16.5" customHeight="1">
      <c r="A10" s="16" t="s">
        <v>7</v>
      </c>
      <c r="B10" s="25">
        <f>B11</f>
        <v>20800</v>
      </c>
      <c r="C10" s="194">
        <f>C11</f>
        <v>0</v>
      </c>
      <c r="D10" s="26">
        <f t="shared" si="0"/>
        <v>0</v>
      </c>
      <c r="E10" s="42">
        <f t="shared" si="1"/>
        <v>-20800</v>
      </c>
    </row>
    <row r="11" spans="1:5" ht="15" customHeight="1">
      <c r="A11" s="16" t="s">
        <v>26</v>
      </c>
      <c r="B11" s="25">
        <v>20800</v>
      </c>
      <c r="C11" s="227">
        <v>0</v>
      </c>
      <c r="D11" s="26">
        <f t="shared" si="0"/>
        <v>0</v>
      </c>
      <c r="E11" s="42">
        <f t="shared" si="1"/>
        <v>-20800</v>
      </c>
    </row>
    <row r="12" spans="1:5" ht="15" customHeight="1">
      <c r="A12" s="16" t="s">
        <v>9</v>
      </c>
      <c r="B12" s="25">
        <f>SUM(B13:B14)</f>
        <v>212000</v>
      </c>
      <c r="C12" s="194">
        <f>SUM(C13:C14)</f>
        <v>4067.0699999999997</v>
      </c>
      <c r="D12" s="26">
        <f t="shared" si="0"/>
        <v>1.918429245283019</v>
      </c>
      <c r="E12" s="42">
        <f t="shared" si="1"/>
        <v>-207932.93</v>
      </c>
    </row>
    <row r="13" spans="1:5" ht="12.75" customHeight="1">
      <c r="A13" s="16" t="s">
        <v>27</v>
      </c>
      <c r="B13" s="25">
        <v>92000</v>
      </c>
      <c r="C13" s="227">
        <v>1234.07</v>
      </c>
      <c r="D13" s="26">
        <f t="shared" si="0"/>
        <v>1.3413804347826086</v>
      </c>
      <c r="E13" s="42">
        <f t="shared" si="1"/>
        <v>-90765.93</v>
      </c>
    </row>
    <row r="14" spans="1:5" ht="15" customHeight="1">
      <c r="A14" s="41" t="s">
        <v>160</v>
      </c>
      <c r="B14" s="31">
        <f>SUM(B15:B16)</f>
        <v>120000</v>
      </c>
      <c r="C14" s="194">
        <f>SUM(C15:C16)</f>
        <v>2833</v>
      </c>
      <c r="D14" s="26">
        <f t="shared" si="0"/>
        <v>2.3608333333333333</v>
      </c>
      <c r="E14" s="42">
        <f t="shared" si="1"/>
        <v>-117167</v>
      </c>
    </row>
    <row r="15" spans="1:5" ht="15" customHeight="1">
      <c r="A15" s="41" t="s">
        <v>161</v>
      </c>
      <c r="B15" s="31">
        <v>2500</v>
      </c>
      <c r="C15" s="227">
        <v>0</v>
      </c>
      <c r="D15" s="26">
        <f t="shared" si="0"/>
        <v>0</v>
      </c>
      <c r="E15" s="42">
        <f t="shared" si="1"/>
        <v>-2500</v>
      </c>
    </row>
    <row r="16" spans="1:5" ht="15" customHeight="1">
      <c r="A16" s="41" t="s">
        <v>162</v>
      </c>
      <c r="B16" s="31">
        <v>117500</v>
      </c>
      <c r="C16" s="227">
        <v>2833</v>
      </c>
      <c r="D16" s="26">
        <f t="shared" si="0"/>
        <v>2.411063829787234</v>
      </c>
      <c r="E16" s="42">
        <f t="shared" si="1"/>
        <v>-114667</v>
      </c>
    </row>
    <row r="17" spans="1:5" ht="15" customHeight="1">
      <c r="A17" s="41" t="s">
        <v>195</v>
      </c>
      <c r="B17" s="31">
        <v>0</v>
      </c>
      <c r="C17" s="195">
        <v>0</v>
      </c>
      <c r="D17" s="26" t="str">
        <f t="shared" si="0"/>
        <v>   </v>
      </c>
      <c r="E17" s="42">
        <f t="shared" si="1"/>
        <v>0</v>
      </c>
    </row>
    <row r="18" spans="1:5" ht="27.75" customHeight="1">
      <c r="A18" s="16" t="s">
        <v>88</v>
      </c>
      <c r="B18" s="25">
        <v>0</v>
      </c>
      <c r="C18" s="19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76200</v>
      </c>
      <c r="C19" s="194">
        <f>SUM(C20:C21)</f>
        <v>2820.99</v>
      </c>
      <c r="D19" s="26">
        <f t="shared" si="0"/>
        <v>3.702086614173228</v>
      </c>
      <c r="E19" s="42">
        <f t="shared" si="1"/>
        <v>-73379.01</v>
      </c>
    </row>
    <row r="20" spans="1:5" ht="12.75" customHeight="1">
      <c r="A20" s="41" t="s">
        <v>152</v>
      </c>
      <c r="B20" s="25">
        <v>42400</v>
      </c>
      <c r="C20" s="227">
        <v>0</v>
      </c>
      <c r="D20" s="26">
        <f t="shared" si="0"/>
        <v>0</v>
      </c>
      <c r="E20" s="42">
        <f t="shared" si="1"/>
        <v>-42400</v>
      </c>
    </row>
    <row r="21" spans="1:5" ht="15.75" customHeight="1">
      <c r="A21" s="16" t="s">
        <v>30</v>
      </c>
      <c r="B21" s="25">
        <v>33800</v>
      </c>
      <c r="C21" s="227">
        <v>2820.99</v>
      </c>
      <c r="D21" s="26">
        <f t="shared" si="0"/>
        <v>8.346124260355028</v>
      </c>
      <c r="E21" s="42">
        <f t="shared" si="1"/>
        <v>-30979.010000000002</v>
      </c>
    </row>
    <row r="22" spans="1:5" ht="15.75" customHeight="1">
      <c r="A22" s="39" t="s">
        <v>91</v>
      </c>
      <c r="B22" s="25">
        <v>0</v>
      </c>
      <c r="C22" s="19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0</v>
      </c>
      <c r="C23" s="193">
        <f>C24+C25</f>
        <v>0</v>
      </c>
      <c r="D23" s="26" t="str">
        <f t="shared" si="0"/>
        <v>   </v>
      </c>
      <c r="E23" s="42">
        <f t="shared" si="1"/>
        <v>0</v>
      </c>
    </row>
    <row r="24" spans="1:5" ht="27.75" customHeight="1">
      <c r="A24" s="16" t="s">
        <v>296</v>
      </c>
      <c r="B24" s="25">
        <v>0</v>
      </c>
      <c r="C24" s="230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134</v>
      </c>
      <c r="B25" s="25">
        <v>0</v>
      </c>
      <c r="C25" s="227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39" t="s">
        <v>308</v>
      </c>
      <c r="B26" s="25">
        <v>0</v>
      </c>
      <c r="C26" s="227">
        <v>0</v>
      </c>
      <c r="D26" s="26" t="str">
        <f>IF(B26=0,"   ",C26/B26*100)</f>
        <v>   </v>
      </c>
      <c r="E26" s="42">
        <f>C26-B26</f>
        <v>0</v>
      </c>
    </row>
    <row r="27" spans="1:5" ht="13.5" customHeight="1">
      <c r="A27" s="16" t="s">
        <v>32</v>
      </c>
      <c r="B27" s="25">
        <f>SUM(B28:B29)</f>
        <v>0</v>
      </c>
      <c r="C27" s="194">
        <f>SUM(C28:C29)</f>
        <v>92.69</v>
      </c>
      <c r="D27" s="26" t="str">
        <f t="shared" si="0"/>
        <v>   </v>
      </c>
      <c r="E27" s="42">
        <f t="shared" si="1"/>
        <v>92.69</v>
      </c>
    </row>
    <row r="28" spans="1:5" ht="13.5" customHeight="1">
      <c r="A28" s="16" t="s">
        <v>46</v>
      </c>
      <c r="B28" s="25">
        <v>0</v>
      </c>
      <c r="C28" s="194">
        <v>92.69</v>
      </c>
      <c r="D28" s="26"/>
      <c r="E28" s="42">
        <f t="shared" si="1"/>
        <v>92.69</v>
      </c>
    </row>
    <row r="29" spans="1:5" ht="15" customHeight="1">
      <c r="A29" s="16" t="s">
        <v>50</v>
      </c>
      <c r="B29" s="25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3.5" customHeight="1">
      <c r="A30" s="16" t="s">
        <v>31</v>
      </c>
      <c r="B30" s="25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22.5" customHeight="1">
      <c r="A31" s="171" t="s">
        <v>10</v>
      </c>
      <c r="B31" s="43">
        <f>SUM(B6,B8,B10,B12,B18,B19,B22,B23,B30,B27,B17)</f>
        <v>763900</v>
      </c>
      <c r="C31" s="149">
        <f>SUM(C6,C8,C10,C12,C18,C19,C22,C23,C30,C27,C17,C26)</f>
        <v>40212.35</v>
      </c>
      <c r="D31" s="140">
        <f t="shared" si="0"/>
        <v>5.26408561330017</v>
      </c>
      <c r="E31" s="141">
        <f t="shared" si="1"/>
        <v>-723687.65</v>
      </c>
    </row>
    <row r="32" spans="1:5" ht="16.5" customHeight="1">
      <c r="A32" s="179" t="s">
        <v>140</v>
      </c>
      <c r="B32" s="184">
        <f>SUM(B33:B36,B39:B42,B47)</f>
        <v>2607100</v>
      </c>
      <c r="C32" s="184">
        <f>SUM(C33:C36,C39:C42,C47)</f>
        <v>168840</v>
      </c>
      <c r="D32" s="140">
        <f t="shared" si="0"/>
        <v>6.476161251965785</v>
      </c>
      <c r="E32" s="141">
        <f t="shared" si="1"/>
        <v>-2438260</v>
      </c>
    </row>
    <row r="33" spans="1:5" ht="20.25" customHeight="1">
      <c r="A33" s="17" t="s">
        <v>34</v>
      </c>
      <c r="B33" s="24">
        <v>1923700</v>
      </c>
      <c r="C33" s="231">
        <v>158840</v>
      </c>
      <c r="D33" s="26">
        <f t="shared" si="0"/>
        <v>8.257004730467328</v>
      </c>
      <c r="E33" s="42">
        <f t="shared" si="1"/>
        <v>-1764860</v>
      </c>
    </row>
    <row r="34" spans="1:5" ht="20.25" customHeight="1">
      <c r="A34" s="17" t="s">
        <v>226</v>
      </c>
      <c r="B34" s="24">
        <v>0</v>
      </c>
      <c r="C34" s="231">
        <v>0</v>
      </c>
      <c r="D34" s="26" t="str">
        <f>IF(B34=0,"   ",C34/B34*100)</f>
        <v>   </v>
      </c>
      <c r="E34" s="42">
        <f>C34-B34</f>
        <v>0</v>
      </c>
    </row>
    <row r="35" spans="1:5" ht="26.25" customHeight="1">
      <c r="A35" s="133" t="s">
        <v>51</v>
      </c>
      <c r="B35" s="134">
        <v>103400</v>
      </c>
      <c r="C35" s="231">
        <v>10000</v>
      </c>
      <c r="D35" s="135">
        <f t="shared" si="0"/>
        <v>9.671179883945841</v>
      </c>
      <c r="E35" s="136">
        <f t="shared" si="1"/>
        <v>-93400</v>
      </c>
    </row>
    <row r="36" spans="1:5" ht="26.25" customHeight="1">
      <c r="A36" s="108" t="s">
        <v>148</v>
      </c>
      <c r="B36" s="134">
        <f>SUM(B37:B38)</f>
        <v>100</v>
      </c>
      <c r="C36" s="134">
        <f>SUM(C37:C38)</f>
        <v>0</v>
      </c>
      <c r="D36" s="135">
        <f t="shared" si="0"/>
        <v>0</v>
      </c>
      <c r="E36" s="136">
        <f t="shared" si="1"/>
        <v>-100</v>
      </c>
    </row>
    <row r="37" spans="1:5" ht="17.25" customHeight="1">
      <c r="A37" s="108" t="s">
        <v>163</v>
      </c>
      <c r="B37" s="134">
        <v>100</v>
      </c>
      <c r="C37" s="134">
        <v>0</v>
      </c>
      <c r="D37" s="135">
        <f>IF(B37=0,"   ",C37/B37*100)</f>
        <v>0</v>
      </c>
      <c r="E37" s="136">
        <f>C37-B37</f>
        <v>-100</v>
      </c>
    </row>
    <row r="38" spans="1:5" ht="26.25" customHeight="1">
      <c r="A38" s="108" t="s">
        <v>164</v>
      </c>
      <c r="B38" s="134">
        <v>0</v>
      </c>
      <c r="C38" s="134">
        <v>0</v>
      </c>
      <c r="D38" s="135" t="str">
        <f>IF(B38=0,"   ",C38/B38*100)</f>
        <v>   </v>
      </c>
      <c r="E38" s="136">
        <f>C38-B38</f>
        <v>0</v>
      </c>
    </row>
    <row r="39" spans="1:5" ht="44.25" customHeight="1">
      <c r="A39" s="16" t="s">
        <v>103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33" customHeight="1">
      <c r="A40" s="16" t="s">
        <v>286</v>
      </c>
      <c r="B40" s="25">
        <v>0</v>
      </c>
      <c r="C40" s="25">
        <v>0</v>
      </c>
      <c r="D40" s="26" t="str">
        <f t="shared" si="0"/>
        <v>   </v>
      </c>
      <c r="E40" s="42">
        <f t="shared" si="1"/>
        <v>0</v>
      </c>
    </row>
    <row r="41" spans="1:5" ht="57" customHeight="1">
      <c r="A41" s="16" t="s">
        <v>235</v>
      </c>
      <c r="B41" s="25">
        <v>333300</v>
      </c>
      <c r="C41" s="25">
        <v>0</v>
      </c>
      <c r="D41" s="26">
        <f t="shared" si="0"/>
        <v>0</v>
      </c>
      <c r="E41" s="42">
        <f t="shared" si="1"/>
        <v>-333300</v>
      </c>
    </row>
    <row r="42" spans="1:5" ht="15" customHeight="1">
      <c r="A42" s="16" t="s">
        <v>55</v>
      </c>
      <c r="B42" s="25">
        <f>SUM(B43:B46)</f>
        <v>246600</v>
      </c>
      <c r="C42" s="25">
        <f>SUM(C43:C46)</f>
        <v>0</v>
      </c>
      <c r="D42" s="26">
        <f t="shared" si="0"/>
        <v>0</v>
      </c>
      <c r="E42" s="42">
        <f t="shared" si="1"/>
        <v>-246600</v>
      </c>
    </row>
    <row r="43" spans="1:5" ht="15" customHeight="1">
      <c r="A43" s="46" t="s">
        <v>187</v>
      </c>
      <c r="B43" s="25">
        <v>0</v>
      </c>
      <c r="C43" s="25">
        <v>0</v>
      </c>
      <c r="D43" s="47" t="str">
        <f t="shared" si="0"/>
        <v>   </v>
      </c>
      <c r="E43" s="40">
        <f t="shared" si="1"/>
        <v>0</v>
      </c>
    </row>
    <row r="44" spans="1:5" ht="15" customHeight="1">
      <c r="A44" s="46" t="s">
        <v>333</v>
      </c>
      <c r="B44" s="25">
        <v>5900</v>
      </c>
      <c r="C44" s="25">
        <v>0</v>
      </c>
      <c r="D44" s="47">
        <f t="shared" si="0"/>
        <v>0</v>
      </c>
      <c r="E44" s="40">
        <f t="shared" si="1"/>
        <v>-5900</v>
      </c>
    </row>
    <row r="45" spans="1:5" ht="15" customHeight="1">
      <c r="A45" s="46" t="s">
        <v>284</v>
      </c>
      <c r="B45" s="25">
        <v>0</v>
      </c>
      <c r="C45" s="25">
        <v>0</v>
      </c>
      <c r="D45" s="47" t="str">
        <f>IF(B45=0,"   ",C45/B45*100)</f>
        <v>   </v>
      </c>
      <c r="E45" s="40">
        <f>C45-B45</f>
        <v>0</v>
      </c>
    </row>
    <row r="46" spans="1:5" s="7" customFormat="1" ht="18" customHeight="1">
      <c r="A46" s="46" t="s">
        <v>109</v>
      </c>
      <c r="B46" s="47">
        <v>240700</v>
      </c>
      <c r="C46" s="27">
        <v>0</v>
      </c>
      <c r="D46" s="47">
        <f t="shared" si="0"/>
        <v>0</v>
      </c>
      <c r="E46" s="40">
        <f t="shared" si="1"/>
        <v>-240700</v>
      </c>
    </row>
    <row r="47" spans="1:5" s="7" customFormat="1" ht="18" customHeight="1">
      <c r="A47" s="16" t="s">
        <v>197</v>
      </c>
      <c r="B47" s="47">
        <v>0</v>
      </c>
      <c r="C47" s="27">
        <v>0</v>
      </c>
      <c r="D47" s="47" t="str">
        <f t="shared" si="0"/>
        <v>   </v>
      </c>
      <c r="E47" s="40">
        <f t="shared" si="1"/>
        <v>0</v>
      </c>
    </row>
    <row r="48" spans="1:5" ht="18.75" customHeight="1">
      <c r="A48" s="171" t="s">
        <v>11</v>
      </c>
      <c r="B48" s="149">
        <f>SUM(B31:B32,)</f>
        <v>3371000</v>
      </c>
      <c r="C48" s="149">
        <f>SUM(C31:C32,)</f>
        <v>209052.35</v>
      </c>
      <c r="D48" s="140">
        <f t="shared" si="0"/>
        <v>6.201493622070602</v>
      </c>
      <c r="E48" s="141">
        <f t="shared" si="1"/>
        <v>-3161947.65</v>
      </c>
    </row>
    <row r="49" spans="1:5" ht="15" customHeight="1" thickBot="1">
      <c r="A49" s="105" t="s">
        <v>12</v>
      </c>
      <c r="B49" s="106"/>
      <c r="C49" s="107"/>
      <c r="D49" s="111" t="str">
        <f t="shared" si="0"/>
        <v>   </v>
      </c>
      <c r="E49" s="112">
        <f t="shared" si="1"/>
        <v>0</v>
      </c>
    </row>
    <row r="50" spans="1:5" ht="27.75" customHeight="1" thickBot="1">
      <c r="A50" s="128" t="s">
        <v>35</v>
      </c>
      <c r="B50" s="129">
        <f>SUM(B51,B54:B55)</f>
        <v>1468900</v>
      </c>
      <c r="C50" s="129">
        <f>SUM(C51,C54:C55)</f>
        <v>27489.39</v>
      </c>
      <c r="D50" s="130">
        <f t="shared" si="0"/>
        <v>1.871426918101981</v>
      </c>
      <c r="E50" s="131">
        <f t="shared" si="1"/>
        <v>-1441410.61</v>
      </c>
    </row>
    <row r="51" spans="1:5" ht="15.75" customHeight="1">
      <c r="A51" s="116" t="s">
        <v>36</v>
      </c>
      <c r="B51" s="117">
        <v>1463400</v>
      </c>
      <c r="C51" s="117">
        <v>27489.39</v>
      </c>
      <c r="D51" s="118">
        <f t="shared" si="0"/>
        <v>1.878460434604346</v>
      </c>
      <c r="E51" s="119">
        <f t="shared" si="1"/>
        <v>-1435910.61</v>
      </c>
    </row>
    <row r="52" spans="1:5" ht="14.25" customHeight="1">
      <c r="A52" s="85" t="s">
        <v>120</v>
      </c>
      <c r="B52" s="25">
        <v>965207</v>
      </c>
      <c r="C52" s="28">
        <v>21000</v>
      </c>
      <c r="D52" s="26">
        <f t="shared" si="0"/>
        <v>2.1756990987425495</v>
      </c>
      <c r="E52" s="42">
        <f t="shared" si="1"/>
        <v>-944207</v>
      </c>
    </row>
    <row r="53" spans="1:5" ht="14.25" customHeight="1">
      <c r="A53" s="85" t="s">
        <v>276</v>
      </c>
      <c r="B53" s="25">
        <v>100</v>
      </c>
      <c r="C53" s="28">
        <v>0</v>
      </c>
      <c r="D53" s="26">
        <f>IF(B53=0,"   ",C53/B53*100)</f>
        <v>0</v>
      </c>
      <c r="E53" s="42">
        <f>C53-B53</f>
        <v>-100</v>
      </c>
    </row>
    <row r="54" spans="1:5" ht="12.75" customHeight="1">
      <c r="A54" s="16" t="s">
        <v>95</v>
      </c>
      <c r="B54" s="25">
        <v>500</v>
      </c>
      <c r="C54" s="27">
        <v>0</v>
      </c>
      <c r="D54" s="26">
        <f t="shared" si="0"/>
        <v>0</v>
      </c>
      <c r="E54" s="42">
        <f t="shared" si="1"/>
        <v>-500</v>
      </c>
    </row>
    <row r="55" spans="1:5" ht="12.75" customHeight="1">
      <c r="A55" s="16" t="s">
        <v>52</v>
      </c>
      <c r="B55" s="25">
        <f>B57+B56</f>
        <v>5000</v>
      </c>
      <c r="C55" s="25">
        <f>C57+C56</f>
        <v>0</v>
      </c>
      <c r="D55" s="26">
        <f t="shared" si="0"/>
        <v>0</v>
      </c>
      <c r="E55" s="42">
        <f t="shared" si="1"/>
        <v>-5000</v>
      </c>
    </row>
    <row r="56" spans="1:5" ht="30.75" customHeight="1">
      <c r="A56" s="104" t="s">
        <v>241</v>
      </c>
      <c r="B56" s="25">
        <v>5000</v>
      </c>
      <c r="C56" s="27">
        <v>0</v>
      </c>
      <c r="D56" s="26">
        <f t="shared" si="0"/>
        <v>0</v>
      </c>
      <c r="E56" s="42">
        <f t="shared" si="1"/>
        <v>-5000</v>
      </c>
    </row>
    <row r="57" spans="1:5" ht="24" customHeight="1" thickBot="1">
      <c r="A57" s="104" t="s">
        <v>234</v>
      </c>
      <c r="B57" s="25">
        <v>0</v>
      </c>
      <c r="C57" s="27">
        <v>0</v>
      </c>
      <c r="D57" s="26" t="str">
        <f>IF(B57=0,"   ",C57/B57*100)</f>
        <v>   </v>
      </c>
      <c r="E57" s="42">
        <f>C57-B57</f>
        <v>0</v>
      </c>
    </row>
    <row r="58" spans="1:5" ht="14.25" customHeight="1" thickBot="1">
      <c r="A58" s="128" t="s">
        <v>49</v>
      </c>
      <c r="B58" s="235">
        <f>SUM(B59)</f>
        <v>103400</v>
      </c>
      <c r="C58" s="235">
        <f>SUM(C59)</f>
        <v>2000</v>
      </c>
      <c r="D58" s="130">
        <f t="shared" si="0"/>
        <v>1.9342359767891684</v>
      </c>
      <c r="E58" s="131">
        <f t="shared" si="1"/>
        <v>-101400</v>
      </c>
    </row>
    <row r="59" spans="1:5" ht="22.5" customHeight="1" thickBot="1">
      <c r="A59" s="120" t="s">
        <v>107</v>
      </c>
      <c r="B59" s="121">
        <v>103400</v>
      </c>
      <c r="C59" s="122">
        <v>2000</v>
      </c>
      <c r="D59" s="130">
        <f t="shared" si="0"/>
        <v>1.9342359767891684</v>
      </c>
      <c r="E59" s="124">
        <f t="shared" si="1"/>
        <v>-101400</v>
      </c>
    </row>
    <row r="60" spans="1:5" ht="17.25" customHeight="1" thickBot="1">
      <c r="A60" s="128" t="s">
        <v>37</v>
      </c>
      <c r="B60" s="129">
        <f>SUM(B61)</f>
        <v>1000</v>
      </c>
      <c r="C60" s="129">
        <f>SUM(C61)</f>
        <v>0</v>
      </c>
      <c r="D60" s="130">
        <f t="shared" si="0"/>
        <v>0</v>
      </c>
      <c r="E60" s="131">
        <f t="shared" si="1"/>
        <v>-1000</v>
      </c>
    </row>
    <row r="61" spans="1:5" ht="15.75" customHeight="1">
      <c r="A61" s="75" t="s">
        <v>128</v>
      </c>
      <c r="B61" s="117">
        <v>1000</v>
      </c>
      <c r="C61" s="125">
        <v>0</v>
      </c>
      <c r="D61" s="118">
        <f t="shared" si="0"/>
        <v>0</v>
      </c>
      <c r="E61" s="119">
        <f t="shared" si="1"/>
        <v>-1000</v>
      </c>
    </row>
    <row r="62" spans="1:5" ht="18.75" customHeight="1" thickBot="1">
      <c r="A62" s="146" t="s">
        <v>38</v>
      </c>
      <c r="B62" s="113">
        <f>B68+B63+B76</f>
        <v>1023300</v>
      </c>
      <c r="C62" s="113">
        <f>C68+C63+C76</f>
        <v>0</v>
      </c>
      <c r="D62" s="111">
        <f t="shared" si="0"/>
        <v>0</v>
      </c>
      <c r="E62" s="112">
        <f t="shared" si="1"/>
        <v>-1023300</v>
      </c>
    </row>
    <row r="63" spans="1:5" ht="18.75" customHeight="1" thickBot="1">
      <c r="A63" s="75" t="s">
        <v>165</v>
      </c>
      <c r="B63" s="98">
        <f>SUM(B64:B67)</f>
        <v>6300</v>
      </c>
      <c r="C63" s="98">
        <f>SUM(C64:C67)</f>
        <v>0</v>
      </c>
      <c r="D63" s="111">
        <f>IF(B63=0,"   ",C63/B63*100)</f>
        <v>0</v>
      </c>
      <c r="E63" s="112">
        <f>C63-B63</f>
        <v>-6300</v>
      </c>
    </row>
    <row r="64" spans="1:5" ht="18.75" customHeight="1">
      <c r="A64" s="75" t="s">
        <v>166</v>
      </c>
      <c r="B64" s="121">
        <v>0</v>
      </c>
      <c r="C64" s="113">
        <v>0</v>
      </c>
      <c r="D64" s="111" t="str">
        <f>IF(B64=0,"   ",C64/B64*100)</f>
        <v>   </v>
      </c>
      <c r="E64" s="112">
        <f>C64-B64</f>
        <v>0</v>
      </c>
    </row>
    <row r="65" spans="1:5" ht="18.75" customHeight="1">
      <c r="A65" s="75" t="s">
        <v>188</v>
      </c>
      <c r="B65" s="121">
        <v>0</v>
      </c>
      <c r="C65" s="113">
        <v>0</v>
      </c>
      <c r="D65" s="111" t="str">
        <f>IF(B65=0,"   ",C65/B65*100)</f>
        <v>   </v>
      </c>
      <c r="E65" s="112">
        <f>C65-B65</f>
        <v>0</v>
      </c>
    </row>
    <row r="66" spans="1:5" ht="18.75" customHeight="1">
      <c r="A66" s="75" t="s">
        <v>334</v>
      </c>
      <c r="B66" s="121">
        <v>5900</v>
      </c>
      <c r="C66" s="113">
        <v>0</v>
      </c>
      <c r="D66" s="111">
        <f>IF(B66=0,"   ",C66/B66*100)</f>
        <v>0</v>
      </c>
      <c r="E66" s="112">
        <f>C66-B66</f>
        <v>-5900</v>
      </c>
    </row>
    <row r="67" spans="1:5" ht="18.75" customHeight="1">
      <c r="A67" s="75" t="s">
        <v>335</v>
      </c>
      <c r="B67" s="121">
        <v>400</v>
      </c>
      <c r="C67" s="113">
        <v>0</v>
      </c>
      <c r="D67" s="111">
        <f>IF(B67=0,"   ",C67/B67*100)</f>
        <v>0</v>
      </c>
      <c r="E67" s="112">
        <f>C67-B67</f>
        <v>-400</v>
      </c>
    </row>
    <row r="68" spans="1:5" ht="15" customHeight="1">
      <c r="A68" s="147" t="s">
        <v>131</v>
      </c>
      <c r="B68" s="25">
        <f>SUM(B69:B75)</f>
        <v>972000</v>
      </c>
      <c r="C68" s="25">
        <f>SUM(C69:C75)</f>
        <v>0</v>
      </c>
      <c r="D68" s="111">
        <f t="shared" si="0"/>
        <v>0</v>
      </c>
      <c r="E68" s="112">
        <f t="shared" si="1"/>
        <v>-972000</v>
      </c>
    </row>
    <row r="69" spans="1:5" ht="18.75" customHeight="1">
      <c r="A69" s="75" t="s">
        <v>149</v>
      </c>
      <c r="B69" s="25">
        <v>0</v>
      </c>
      <c r="C69" s="25">
        <v>0</v>
      </c>
      <c r="D69" s="111" t="str">
        <f t="shared" si="0"/>
        <v>   </v>
      </c>
      <c r="E69" s="112">
        <f t="shared" si="1"/>
        <v>0</v>
      </c>
    </row>
    <row r="70" spans="1:5" ht="30.75" customHeight="1">
      <c r="A70" s="71" t="s">
        <v>246</v>
      </c>
      <c r="B70" s="25">
        <v>294000</v>
      </c>
      <c r="C70" s="25">
        <v>0</v>
      </c>
      <c r="D70" s="111">
        <f>IF(B70=0,"   ",C70/B70*100)</f>
        <v>0</v>
      </c>
      <c r="E70" s="112">
        <f>C70-B70</f>
        <v>-294000</v>
      </c>
    </row>
    <row r="71" spans="1:5" ht="30" customHeight="1">
      <c r="A71" s="71" t="s">
        <v>247</v>
      </c>
      <c r="B71" s="25">
        <v>40100</v>
      </c>
      <c r="C71" s="25">
        <v>0</v>
      </c>
      <c r="D71" s="111">
        <f t="shared" si="0"/>
        <v>0</v>
      </c>
      <c r="E71" s="112">
        <f t="shared" si="1"/>
        <v>-40100</v>
      </c>
    </row>
    <row r="72" spans="1:5" ht="30" customHeight="1">
      <c r="A72" s="71" t="s">
        <v>248</v>
      </c>
      <c r="B72" s="25">
        <v>333300</v>
      </c>
      <c r="C72" s="25">
        <v>0</v>
      </c>
      <c r="D72" s="111">
        <f t="shared" si="0"/>
        <v>0</v>
      </c>
      <c r="E72" s="112">
        <f t="shared" si="1"/>
        <v>-333300</v>
      </c>
    </row>
    <row r="73" spans="1:5" ht="30" customHeight="1">
      <c r="A73" s="71" t="s">
        <v>249</v>
      </c>
      <c r="B73" s="25">
        <v>37100</v>
      </c>
      <c r="C73" s="25">
        <v>0</v>
      </c>
      <c r="D73" s="111">
        <f t="shared" si="0"/>
        <v>0</v>
      </c>
      <c r="E73" s="112">
        <f t="shared" si="1"/>
        <v>-37100</v>
      </c>
    </row>
    <row r="74" spans="1:5" ht="30" customHeight="1">
      <c r="A74" s="71" t="s">
        <v>250</v>
      </c>
      <c r="B74" s="25">
        <v>240700</v>
      </c>
      <c r="C74" s="25">
        <v>0</v>
      </c>
      <c r="D74" s="111">
        <f t="shared" si="0"/>
        <v>0</v>
      </c>
      <c r="E74" s="112">
        <f t="shared" si="1"/>
        <v>-240700</v>
      </c>
    </row>
    <row r="75" spans="1:5" ht="30" customHeight="1" thickBot="1">
      <c r="A75" s="71" t="s">
        <v>251</v>
      </c>
      <c r="B75" s="25">
        <v>26800</v>
      </c>
      <c r="C75" s="25">
        <v>0</v>
      </c>
      <c r="D75" s="111">
        <f t="shared" si="0"/>
        <v>0</v>
      </c>
      <c r="E75" s="112">
        <f t="shared" si="1"/>
        <v>-26800</v>
      </c>
    </row>
    <row r="76" spans="1:5" ht="18" customHeight="1" thickBot="1">
      <c r="A76" s="95" t="s">
        <v>176</v>
      </c>
      <c r="B76" s="98">
        <f>SUM(B77)</f>
        <v>45000</v>
      </c>
      <c r="C76" s="98">
        <f>SUM(C77)</f>
        <v>0</v>
      </c>
      <c r="D76" s="111">
        <f>IF(B76=0,"   ",C76/B76*100)</f>
        <v>0</v>
      </c>
      <c r="E76" s="112">
        <f>C76-B76</f>
        <v>-45000</v>
      </c>
    </row>
    <row r="77" spans="1:5" ht="31.5" customHeight="1">
      <c r="A77" s="75" t="s">
        <v>177</v>
      </c>
      <c r="B77" s="121">
        <v>45000</v>
      </c>
      <c r="C77" s="121">
        <v>0</v>
      </c>
      <c r="D77" s="111">
        <f>IF(B77=0,"   ",C77/B77*100)</f>
        <v>0</v>
      </c>
      <c r="E77" s="112">
        <f>C77-B77</f>
        <v>-45000</v>
      </c>
    </row>
    <row r="78" spans="1:5" ht="20.25" customHeight="1" thickBot="1">
      <c r="A78" s="143" t="s">
        <v>13</v>
      </c>
      <c r="B78" s="183">
        <f>SUM(B82,B79)</f>
        <v>230000</v>
      </c>
      <c r="C78" s="183">
        <f>SUM(C82,C79)</f>
        <v>0</v>
      </c>
      <c r="D78" s="123">
        <f t="shared" si="0"/>
        <v>0</v>
      </c>
      <c r="E78" s="124">
        <f t="shared" si="1"/>
        <v>-230000</v>
      </c>
    </row>
    <row r="79" spans="1:5" ht="15" customHeight="1" thickBot="1">
      <c r="A79" s="41" t="s">
        <v>150</v>
      </c>
      <c r="B79" s="98">
        <f>SUM(B80+B81)</f>
        <v>0</v>
      </c>
      <c r="C79" s="98">
        <f>SUM(C80+C81)</f>
        <v>0</v>
      </c>
      <c r="D79" s="123" t="str">
        <f>IF(B79=0,"   ",C79/B79*100)</f>
        <v>   </v>
      </c>
      <c r="E79" s="124">
        <f>C79-B79</f>
        <v>0</v>
      </c>
    </row>
    <row r="80" spans="1:5" ht="15" customHeight="1">
      <c r="A80" s="16" t="s">
        <v>289</v>
      </c>
      <c r="B80" s="25">
        <v>0</v>
      </c>
      <c r="C80" s="25">
        <v>0</v>
      </c>
      <c r="D80" s="123" t="str">
        <f>IF(B80=0,"   ",C80/B80*100)</f>
        <v>   </v>
      </c>
      <c r="E80" s="124">
        <f>C80-B80</f>
        <v>0</v>
      </c>
    </row>
    <row r="81" spans="1:5" ht="15" customHeight="1">
      <c r="A81" s="16" t="s">
        <v>293</v>
      </c>
      <c r="B81" s="25">
        <v>0</v>
      </c>
      <c r="C81" s="25">
        <v>0</v>
      </c>
      <c r="D81" s="123" t="str">
        <f>IF(B81=0,"   ",C81/B81*100)</f>
        <v>   </v>
      </c>
      <c r="E81" s="124">
        <f>C81-B81</f>
        <v>0</v>
      </c>
    </row>
    <row r="82" spans="1:5" ht="15" customHeight="1">
      <c r="A82" s="16" t="s">
        <v>58</v>
      </c>
      <c r="B82" s="25">
        <f>B83+B84+B85+B86+B90</f>
        <v>230000</v>
      </c>
      <c r="C82" s="25">
        <f>C83+C84+C85+C86+C90</f>
        <v>0</v>
      </c>
      <c r="D82" s="26">
        <f t="shared" si="0"/>
        <v>0</v>
      </c>
      <c r="E82" s="42">
        <f t="shared" si="1"/>
        <v>-230000</v>
      </c>
    </row>
    <row r="83" spans="1:5" ht="15" customHeight="1">
      <c r="A83" s="16" t="s">
        <v>60</v>
      </c>
      <c r="B83" s="25">
        <v>220000</v>
      </c>
      <c r="C83" s="27">
        <v>0</v>
      </c>
      <c r="D83" s="26">
        <f t="shared" si="0"/>
        <v>0</v>
      </c>
      <c r="E83" s="42">
        <f t="shared" si="1"/>
        <v>-220000</v>
      </c>
    </row>
    <row r="84" spans="1:5" ht="15" customHeight="1">
      <c r="A84" s="104" t="s">
        <v>59</v>
      </c>
      <c r="B84" s="113">
        <v>10000</v>
      </c>
      <c r="C84" s="114">
        <v>0</v>
      </c>
      <c r="D84" s="111">
        <f t="shared" si="0"/>
        <v>0</v>
      </c>
      <c r="E84" s="112">
        <f t="shared" si="1"/>
        <v>-10000</v>
      </c>
    </row>
    <row r="85" spans="1:5" ht="29.25" customHeight="1">
      <c r="A85" s="104" t="s">
        <v>167</v>
      </c>
      <c r="B85" s="25">
        <v>0</v>
      </c>
      <c r="C85" s="27">
        <v>0</v>
      </c>
      <c r="D85" s="26" t="str">
        <f t="shared" si="0"/>
        <v>   </v>
      </c>
      <c r="E85" s="27">
        <f t="shared" si="1"/>
        <v>0</v>
      </c>
    </row>
    <row r="86" spans="1:5" ht="21.75" customHeight="1">
      <c r="A86" s="104" t="s">
        <v>204</v>
      </c>
      <c r="B86" s="25">
        <f>SUM(B87+B88+B89)</f>
        <v>0</v>
      </c>
      <c r="C86" s="25">
        <f>SUM(C87+C88+C89)</f>
        <v>0</v>
      </c>
      <c r="D86" s="26" t="str">
        <f>IF(B86=0,"   ",C86/B86*100)</f>
        <v>   </v>
      </c>
      <c r="E86" s="27">
        <f>C86-B86</f>
        <v>0</v>
      </c>
    </row>
    <row r="87" spans="1:5" ht="29.25" customHeight="1">
      <c r="A87" s="104" t="s">
        <v>186</v>
      </c>
      <c r="B87" s="25">
        <v>0</v>
      </c>
      <c r="C87" s="27">
        <v>0</v>
      </c>
      <c r="D87" s="26" t="str">
        <f>IF(B87=0,"   ",C87/B87*100)</f>
        <v>   </v>
      </c>
      <c r="E87" s="27">
        <f>C87-B87</f>
        <v>0</v>
      </c>
    </row>
    <row r="88" spans="1:5" ht="29.25" customHeight="1">
      <c r="A88" s="104" t="s">
        <v>189</v>
      </c>
      <c r="B88" s="25">
        <v>0</v>
      </c>
      <c r="C88" s="27">
        <v>0</v>
      </c>
      <c r="D88" s="26" t="str">
        <f>IF(B88=0,"   ",C88/B88*100)</f>
        <v>   </v>
      </c>
      <c r="E88" s="27">
        <f>C88-B88</f>
        <v>0</v>
      </c>
    </row>
    <row r="89" spans="1:5" ht="29.25" customHeight="1">
      <c r="A89" s="104" t="s">
        <v>190</v>
      </c>
      <c r="B89" s="25">
        <v>0</v>
      </c>
      <c r="C89" s="27">
        <v>0</v>
      </c>
      <c r="D89" s="26" t="str">
        <f>IF(B89=0,"   ",C89/B89*100)</f>
        <v>   </v>
      </c>
      <c r="E89" s="27">
        <f>C89-B89</f>
        <v>0</v>
      </c>
    </row>
    <row r="90" spans="1:5" ht="28.5" customHeight="1" thickBot="1">
      <c r="A90" s="104" t="s">
        <v>290</v>
      </c>
      <c r="B90" s="25">
        <v>0</v>
      </c>
      <c r="C90" s="27">
        <v>0</v>
      </c>
      <c r="D90" s="26" t="str">
        <f t="shared" si="0"/>
        <v>   </v>
      </c>
      <c r="E90" s="27">
        <f t="shared" si="1"/>
        <v>0</v>
      </c>
    </row>
    <row r="91" spans="1:5" ht="18.75" customHeight="1" thickBot="1">
      <c r="A91" s="132" t="s">
        <v>17</v>
      </c>
      <c r="B91" s="189">
        <v>0</v>
      </c>
      <c r="C91" s="189">
        <v>0</v>
      </c>
      <c r="D91" s="144" t="str">
        <f t="shared" si="0"/>
        <v>   </v>
      </c>
      <c r="E91" s="145">
        <f t="shared" si="1"/>
        <v>0</v>
      </c>
    </row>
    <row r="92" spans="1:5" ht="19.5" customHeight="1" thickBot="1">
      <c r="A92" s="128" t="s">
        <v>41</v>
      </c>
      <c r="B92" s="182">
        <f>B93</f>
        <v>539400</v>
      </c>
      <c r="C92" s="182">
        <f>C93</f>
        <v>0</v>
      </c>
      <c r="D92" s="130">
        <f t="shared" si="0"/>
        <v>0</v>
      </c>
      <c r="E92" s="131">
        <f t="shared" si="1"/>
        <v>-539400</v>
      </c>
    </row>
    <row r="93" spans="1:5" ht="12.75">
      <c r="A93" s="116" t="s">
        <v>42</v>
      </c>
      <c r="B93" s="117">
        <f>SUM(B94:B96)</f>
        <v>539400</v>
      </c>
      <c r="C93" s="117">
        <f>SUM(C94:C96)</f>
        <v>0</v>
      </c>
      <c r="D93" s="118">
        <f t="shared" si="0"/>
        <v>0</v>
      </c>
      <c r="E93" s="119">
        <f t="shared" si="1"/>
        <v>-539400</v>
      </c>
    </row>
    <row r="94" spans="1:5" ht="12.75">
      <c r="A94" s="167" t="s">
        <v>143</v>
      </c>
      <c r="B94" s="117">
        <v>239400</v>
      </c>
      <c r="C94" s="125">
        <v>0</v>
      </c>
      <c r="D94" s="118">
        <f t="shared" si="0"/>
        <v>0</v>
      </c>
      <c r="E94" s="119">
        <f t="shared" si="1"/>
        <v>-239400</v>
      </c>
    </row>
    <row r="95" spans="1:5" ht="12.75">
      <c r="A95" s="16" t="s">
        <v>222</v>
      </c>
      <c r="B95" s="117">
        <v>0</v>
      </c>
      <c r="C95" s="125">
        <v>0</v>
      </c>
      <c r="D95" s="118" t="str">
        <f t="shared" si="0"/>
        <v>   </v>
      </c>
      <c r="E95" s="119">
        <f t="shared" si="1"/>
        <v>0</v>
      </c>
    </row>
    <row r="96" spans="1:5" ht="12.75">
      <c r="A96" s="116" t="s">
        <v>202</v>
      </c>
      <c r="B96" s="117">
        <v>300000</v>
      </c>
      <c r="C96" s="125">
        <v>0</v>
      </c>
      <c r="D96" s="118">
        <f t="shared" si="0"/>
        <v>0</v>
      </c>
      <c r="E96" s="119">
        <f t="shared" si="1"/>
        <v>-300000</v>
      </c>
    </row>
    <row r="97" spans="1:5" ht="18.75" customHeight="1">
      <c r="A97" s="16" t="s">
        <v>124</v>
      </c>
      <c r="B97" s="25">
        <f>SUM(B98,)</f>
        <v>5000</v>
      </c>
      <c r="C97" s="25">
        <f>SUM(C98,)</f>
        <v>0</v>
      </c>
      <c r="D97" s="26">
        <f t="shared" si="0"/>
        <v>0</v>
      </c>
      <c r="E97" s="42">
        <f t="shared" si="1"/>
        <v>-5000</v>
      </c>
    </row>
    <row r="98" spans="1:5" ht="14.25" customHeight="1">
      <c r="A98" s="104" t="s">
        <v>43</v>
      </c>
      <c r="B98" s="113">
        <v>5000</v>
      </c>
      <c r="C98" s="115">
        <v>0</v>
      </c>
      <c r="D98" s="111">
        <f t="shared" si="0"/>
        <v>0</v>
      </c>
      <c r="E98" s="112">
        <f t="shared" si="1"/>
        <v>-5000</v>
      </c>
    </row>
    <row r="99" spans="1:5" ht="22.5" customHeight="1">
      <c r="A99" s="171" t="s">
        <v>15</v>
      </c>
      <c r="B99" s="149">
        <f>SUM(B50,B58,B60,B62,B78,B91,B92,B97,)</f>
        <v>3371000</v>
      </c>
      <c r="C99" s="149">
        <f>SUM(C50,C58,C60,C62,C78,C91,C92,C97,)</f>
        <v>29489.39</v>
      </c>
      <c r="D99" s="140">
        <f>IF(B99=0,"   ",C99/B99*100)</f>
        <v>0.8747964995550281</v>
      </c>
      <c r="E99" s="141">
        <f t="shared" si="1"/>
        <v>-3341510.61</v>
      </c>
    </row>
    <row r="100" spans="1:5" ht="42.75" customHeight="1">
      <c r="A100" s="80" t="s">
        <v>309</v>
      </c>
      <c r="B100" s="80"/>
      <c r="C100" s="337"/>
      <c r="D100" s="337"/>
      <c r="E100" s="337"/>
    </row>
    <row r="101" spans="1:5" ht="18" customHeight="1">
      <c r="A101" s="80" t="s">
        <v>154</v>
      </c>
      <c r="B101" s="80"/>
      <c r="C101" s="81" t="s">
        <v>310</v>
      </c>
      <c r="D101" s="82"/>
      <c r="E101" s="83"/>
    </row>
    <row r="102" spans="1:5" s="59" customFormat="1" ht="23.25" customHeight="1">
      <c r="A102" s="7"/>
      <c r="B102" s="7"/>
      <c r="C102" s="6"/>
      <c r="D102" s="7"/>
      <c r="E102" s="2"/>
    </row>
    <row r="103" spans="1:5" s="59" customFormat="1" ht="12" customHeight="1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  <row r="124" spans="1:5" ht="12.75">
      <c r="A124" s="4"/>
      <c r="B124" s="4"/>
      <c r="C124" s="4"/>
      <c r="D124" s="4"/>
      <c r="E124" s="4"/>
    </row>
    <row r="125" spans="1:5" ht="12.75">
      <c r="A125" s="4"/>
      <c r="B125" s="4"/>
      <c r="C125" s="4"/>
      <c r="D125" s="4"/>
      <c r="E125" s="4"/>
    </row>
    <row r="126" spans="1:5" ht="12.75">
      <c r="A126" s="4"/>
      <c r="B126" s="4"/>
      <c r="C126" s="4"/>
      <c r="D126" s="4"/>
      <c r="E126" s="4"/>
    </row>
    <row r="127" spans="1:5" ht="12.75">
      <c r="A127" s="4"/>
      <c r="B127" s="4"/>
      <c r="C127" s="4"/>
      <c r="D127" s="4"/>
      <c r="E127" s="4"/>
    </row>
    <row r="128" spans="1:5" ht="12.75">
      <c r="A128" s="4"/>
      <c r="B128" s="4"/>
      <c r="C128" s="4"/>
      <c r="D128" s="4"/>
      <c r="E128" s="4"/>
    </row>
    <row r="129" spans="1:5" ht="12.75">
      <c r="A129" s="4"/>
      <c r="B129" s="4"/>
      <c r="C129" s="4"/>
      <c r="D129" s="4"/>
      <c r="E129" s="4"/>
    </row>
    <row r="130" spans="1:5" ht="12.75">
      <c r="A130" s="4"/>
      <c r="B130" s="4"/>
      <c r="C130" s="4"/>
      <c r="D130" s="4"/>
      <c r="E130" s="4"/>
    </row>
  </sheetData>
  <sheetProtection/>
  <mergeCells count="2">
    <mergeCell ref="A1:E1"/>
    <mergeCell ref="C100:E10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35">
      <selection activeCell="B46" sqref="B46:C46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339" t="s">
        <v>322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317</v>
      </c>
      <c r="C4" s="32" t="s">
        <v>312</v>
      </c>
      <c r="D4" s="19" t="s">
        <v>318</v>
      </c>
      <c r="E4" s="36" t="s">
        <v>319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09">
        <f>SUM(B8)</f>
        <v>49900</v>
      </c>
      <c r="C7" s="210">
        <f>SUM(C8)</f>
        <v>879.51</v>
      </c>
      <c r="D7" s="26">
        <f aca="true" t="shared" si="0" ref="D7:D93">IF(B7=0,"   ",C7/B7*100)</f>
        <v>1.7625450901803608</v>
      </c>
      <c r="E7" s="42">
        <f aca="true" t="shared" si="1" ref="E7:E94">C7-B7</f>
        <v>-49020.49</v>
      </c>
    </row>
    <row r="8" spans="1:5" ht="12.75" customHeight="1">
      <c r="A8" s="16" t="s">
        <v>44</v>
      </c>
      <c r="B8" s="211">
        <v>49900</v>
      </c>
      <c r="C8" s="226">
        <v>879.51</v>
      </c>
      <c r="D8" s="26">
        <f t="shared" si="0"/>
        <v>1.7625450901803608</v>
      </c>
      <c r="E8" s="42">
        <f t="shared" si="1"/>
        <v>-49020.49</v>
      </c>
    </row>
    <row r="9" spans="1:5" ht="12.75" customHeight="1">
      <c r="A9" s="64" t="s">
        <v>137</v>
      </c>
      <c r="B9" s="209">
        <f>SUM(B10)</f>
        <v>741400</v>
      </c>
      <c r="C9" s="212">
        <f>SUM(C10)</f>
        <v>59503.55</v>
      </c>
      <c r="D9" s="26">
        <f t="shared" si="0"/>
        <v>8.025836255732399</v>
      </c>
      <c r="E9" s="42">
        <f t="shared" si="1"/>
        <v>-681896.45</v>
      </c>
    </row>
    <row r="10" spans="1:5" ht="12.75" customHeight="1">
      <c r="A10" s="41" t="s">
        <v>138</v>
      </c>
      <c r="B10" s="211">
        <v>741400</v>
      </c>
      <c r="C10" s="226">
        <v>59503.55</v>
      </c>
      <c r="D10" s="26">
        <f t="shared" si="0"/>
        <v>8.025836255732399</v>
      </c>
      <c r="E10" s="42">
        <f t="shared" si="1"/>
        <v>-681896.45</v>
      </c>
    </row>
    <row r="11" spans="1:5" ht="16.5" customHeight="1">
      <c r="A11" s="16" t="s">
        <v>7</v>
      </c>
      <c r="B11" s="211">
        <f>SUM(B12:B12)</f>
        <v>24700</v>
      </c>
      <c r="C11" s="213">
        <f>SUM(C12:C12)</f>
        <v>0</v>
      </c>
      <c r="D11" s="26">
        <f t="shared" si="0"/>
        <v>0</v>
      </c>
      <c r="E11" s="42">
        <f t="shared" si="1"/>
        <v>-24700</v>
      </c>
    </row>
    <row r="12" spans="1:5" ht="16.5" customHeight="1">
      <c r="A12" s="16" t="s">
        <v>26</v>
      </c>
      <c r="B12" s="211">
        <v>24700</v>
      </c>
      <c r="C12" s="226">
        <v>0</v>
      </c>
      <c r="D12" s="26">
        <f t="shared" si="0"/>
        <v>0</v>
      </c>
      <c r="E12" s="42">
        <f t="shared" si="1"/>
        <v>-24700</v>
      </c>
    </row>
    <row r="13" spans="1:5" ht="15.75" customHeight="1">
      <c r="A13" s="16" t="s">
        <v>9</v>
      </c>
      <c r="B13" s="211">
        <f>SUM(B14:B15)</f>
        <v>479000</v>
      </c>
      <c r="C13" s="213">
        <f>SUM(C14:C15)</f>
        <v>12576.2</v>
      </c>
      <c r="D13" s="26">
        <f t="shared" si="0"/>
        <v>2.6255114822546974</v>
      </c>
      <c r="E13" s="42">
        <f t="shared" si="1"/>
        <v>-466423.8</v>
      </c>
    </row>
    <row r="14" spans="1:5" ht="15.75" customHeight="1">
      <c r="A14" s="16" t="s">
        <v>27</v>
      </c>
      <c r="B14" s="211">
        <v>275000</v>
      </c>
      <c r="C14" s="226">
        <v>5945.33</v>
      </c>
      <c r="D14" s="26">
        <f t="shared" si="0"/>
        <v>2.1619381818181815</v>
      </c>
      <c r="E14" s="42">
        <f t="shared" si="1"/>
        <v>-269054.67</v>
      </c>
    </row>
    <row r="15" spans="1:5" ht="14.25" customHeight="1">
      <c r="A15" s="41" t="s">
        <v>160</v>
      </c>
      <c r="B15" s="197">
        <f>SUM(B16:B17)</f>
        <v>204000</v>
      </c>
      <c r="C15" s="213">
        <f>SUM(C16:C17)</f>
        <v>6630.87</v>
      </c>
      <c r="D15" s="26">
        <f t="shared" si="0"/>
        <v>3.250426470588235</v>
      </c>
      <c r="E15" s="42">
        <f t="shared" si="1"/>
        <v>-197369.13</v>
      </c>
    </row>
    <row r="16" spans="1:5" ht="14.25" customHeight="1">
      <c r="A16" s="41" t="s">
        <v>161</v>
      </c>
      <c r="B16" s="197">
        <v>63200</v>
      </c>
      <c r="C16" s="226">
        <v>4600</v>
      </c>
      <c r="D16" s="26">
        <f t="shared" si="0"/>
        <v>7.2784810126582276</v>
      </c>
      <c r="E16" s="42">
        <f t="shared" si="1"/>
        <v>-58600</v>
      </c>
    </row>
    <row r="17" spans="1:5" ht="14.25" customHeight="1">
      <c r="A17" s="41" t="s">
        <v>162</v>
      </c>
      <c r="B17" s="197">
        <v>140800</v>
      </c>
      <c r="C17" s="226">
        <v>2030.87</v>
      </c>
      <c r="D17" s="26">
        <f t="shared" si="0"/>
        <v>1.4423792613636364</v>
      </c>
      <c r="E17" s="42">
        <f t="shared" si="1"/>
        <v>-138769.13</v>
      </c>
    </row>
    <row r="18" spans="1:5" ht="14.25" customHeight="1">
      <c r="A18" s="41" t="s">
        <v>195</v>
      </c>
      <c r="B18" s="197">
        <v>0</v>
      </c>
      <c r="C18" s="226">
        <v>0</v>
      </c>
      <c r="D18" s="26" t="str">
        <f t="shared" si="0"/>
        <v>   </v>
      </c>
      <c r="E18" s="42">
        <f t="shared" si="1"/>
        <v>0</v>
      </c>
    </row>
    <row r="19" spans="1:5" ht="15" customHeight="1">
      <c r="A19" s="16" t="s">
        <v>88</v>
      </c>
      <c r="B19" s="211">
        <v>0</v>
      </c>
      <c r="C19" s="213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11">
        <f>SUM(B21:B22)</f>
        <v>240600</v>
      </c>
      <c r="C20" s="213">
        <f>SUM(C21:C22)</f>
        <v>8302.03</v>
      </c>
      <c r="D20" s="26">
        <f t="shared" si="0"/>
        <v>3.450552784704905</v>
      </c>
      <c r="E20" s="42">
        <f t="shared" si="1"/>
        <v>-232297.97</v>
      </c>
    </row>
    <row r="21" spans="1:5" ht="13.5" customHeight="1">
      <c r="A21" s="41" t="s">
        <v>152</v>
      </c>
      <c r="B21" s="211">
        <v>140600</v>
      </c>
      <c r="C21" s="226">
        <v>0</v>
      </c>
      <c r="D21" s="26">
        <f t="shared" si="0"/>
        <v>0</v>
      </c>
      <c r="E21" s="42">
        <f t="shared" si="1"/>
        <v>-140600</v>
      </c>
    </row>
    <row r="22" spans="1:5" ht="15.75" customHeight="1">
      <c r="A22" s="16" t="s">
        <v>30</v>
      </c>
      <c r="B22" s="211">
        <v>100000</v>
      </c>
      <c r="C22" s="226">
        <v>8302.03</v>
      </c>
      <c r="D22" s="26">
        <f t="shared" si="0"/>
        <v>8.30203</v>
      </c>
      <c r="E22" s="42">
        <f t="shared" si="1"/>
        <v>-91697.97</v>
      </c>
    </row>
    <row r="23" spans="1:5" ht="17.25" customHeight="1">
      <c r="A23" s="39" t="s">
        <v>91</v>
      </c>
      <c r="B23" s="211">
        <v>0</v>
      </c>
      <c r="C23" s="226">
        <v>0</v>
      </c>
      <c r="D23" s="26" t="str">
        <f t="shared" si="0"/>
        <v>   </v>
      </c>
      <c r="E23" s="42">
        <f t="shared" si="1"/>
        <v>0</v>
      </c>
    </row>
    <row r="24" spans="1:5" ht="18.75" customHeight="1">
      <c r="A24" s="16" t="s">
        <v>78</v>
      </c>
      <c r="B24" s="211">
        <f>SUM(B25)</f>
        <v>0</v>
      </c>
      <c r="C24" s="213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196</v>
      </c>
      <c r="B25" s="211">
        <v>0</v>
      </c>
      <c r="C25" s="228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11">
        <f>B27+B28</f>
        <v>0</v>
      </c>
      <c r="C26" s="213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11">
        <v>0</v>
      </c>
      <c r="C27" s="214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11">
        <v>0</v>
      </c>
      <c r="C28" s="214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11">
        <v>0</v>
      </c>
      <c r="C29" s="213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71" t="s">
        <v>10</v>
      </c>
      <c r="B30" s="206">
        <f>SUM(B7,B9,B11,B13,B20,B23,B24,B26,B29,B18)</f>
        <v>1535600</v>
      </c>
      <c r="C30" s="206">
        <f>SUM(C7,C9,C11,C13,C20,C23,C24,C26,C29,C18)</f>
        <v>81261.29000000001</v>
      </c>
      <c r="D30" s="140">
        <f t="shared" si="0"/>
        <v>5.29182664756447</v>
      </c>
      <c r="E30" s="141">
        <f t="shared" si="1"/>
        <v>-1454338.71</v>
      </c>
    </row>
    <row r="31" spans="1:5" ht="21" customHeight="1">
      <c r="A31" s="185" t="s">
        <v>140</v>
      </c>
      <c r="B31" s="216">
        <f>SUM(B32:B35,B38:B42,B45)</f>
        <v>3392700</v>
      </c>
      <c r="C31" s="216">
        <f>SUM(C32:C35,C38:C42,C45)</f>
        <v>186430</v>
      </c>
      <c r="D31" s="140">
        <f t="shared" si="0"/>
        <v>5.495033454181035</v>
      </c>
      <c r="E31" s="141">
        <f t="shared" si="1"/>
        <v>-3206270</v>
      </c>
    </row>
    <row r="32" spans="1:5" ht="18" customHeight="1">
      <c r="A32" s="17" t="s">
        <v>34</v>
      </c>
      <c r="B32" s="209">
        <v>2136800</v>
      </c>
      <c r="C32" s="229">
        <v>176430</v>
      </c>
      <c r="D32" s="26">
        <f t="shared" si="0"/>
        <v>8.2567390490453</v>
      </c>
      <c r="E32" s="42">
        <f t="shared" si="1"/>
        <v>-1960370</v>
      </c>
    </row>
    <row r="33" spans="1:5" ht="18" customHeight="1">
      <c r="A33" s="17" t="s">
        <v>226</v>
      </c>
      <c r="B33" s="209">
        <v>0</v>
      </c>
      <c r="C33" s="229">
        <v>0</v>
      </c>
      <c r="D33" s="135" t="str">
        <f>IF(B33=0,"   ",C33/B33*100)</f>
        <v>   </v>
      </c>
      <c r="E33" s="136">
        <f>C33-B33</f>
        <v>0</v>
      </c>
    </row>
    <row r="34" spans="1:5" ht="28.5" customHeight="1">
      <c r="A34" s="133" t="s">
        <v>51</v>
      </c>
      <c r="B34" s="134">
        <v>103400</v>
      </c>
      <c r="C34" s="231">
        <v>10000</v>
      </c>
      <c r="D34" s="135">
        <f t="shared" si="0"/>
        <v>9.671179883945841</v>
      </c>
      <c r="E34" s="136">
        <f t="shared" si="1"/>
        <v>-93400</v>
      </c>
    </row>
    <row r="35" spans="1:5" ht="30.75" customHeight="1">
      <c r="A35" s="108" t="s">
        <v>148</v>
      </c>
      <c r="B35" s="134">
        <f>SUM(B36:B37)</f>
        <v>100</v>
      </c>
      <c r="C35" s="134">
        <f>SUM(C36:C37)</f>
        <v>0</v>
      </c>
      <c r="D35" s="135">
        <f t="shared" si="0"/>
        <v>0</v>
      </c>
      <c r="E35" s="136">
        <f t="shared" si="1"/>
        <v>-100</v>
      </c>
    </row>
    <row r="36" spans="1:5" ht="16.5" customHeight="1">
      <c r="A36" s="108" t="s">
        <v>163</v>
      </c>
      <c r="B36" s="217">
        <v>100</v>
      </c>
      <c r="C36" s="223">
        <v>0</v>
      </c>
      <c r="D36" s="135">
        <f aca="true" t="shared" si="2" ref="D36:D41">IF(B36=0,"   ",C36/B36*100)</f>
        <v>0</v>
      </c>
      <c r="E36" s="136">
        <f aca="true" t="shared" si="3" ref="E36:E41">C36-B36</f>
        <v>-100</v>
      </c>
    </row>
    <row r="37" spans="1:5" ht="30.75" customHeight="1">
      <c r="A37" s="108" t="s">
        <v>164</v>
      </c>
      <c r="B37" s="134">
        <v>0</v>
      </c>
      <c r="C37" s="137">
        <v>0</v>
      </c>
      <c r="D37" s="135" t="str">
        <f t="shared" si="2"/>
        <v>   </v>
      </c>
      <c r="E37" s="136">
        <f t="shared" si="3"/>
        <v>0</v>
      </c>
    </row>
    <row r="38" spans="1:5" ht="25.5" customHeight="1">
      <c r="A38" s="16" t="s">
        <v>292</v>
      </c>
      <c r="B38" s="134">
        <v>0</v>
      </c>
      <c r="C38" s="134">
        <v>0</v>
      </c>
      <c r="D38" s="135" t="str">
        <f t="shared" si="2"/>
        <v>   </v>
      </c>
      <c r="E38" s="136">
        <f t="shared" si="3"/>
        <v>0</v>
      </c>
    </row>
    <row r="39" spans="1:5" ht="25.5" customHeight="1">
      <c r="A39" s="16" t="s">
        <v>286</v>
      </c>
      <c r="B39" s="134">
        <v>0</v>
      </c>
      <c r="C39" s="134">
        <v>0</v>
      </c>
      <c r="D39" s="135" t="str">
        <f t="shared" si="2"/>
        <v>   </v>
      </c>
      <c r="E39" s="136">
        <f t="shared" si="3"/>
        <v>0</v>
      </c>
    </row>
    <row r="40" spans="1:5" ht="51" customHeight="1">
      <c r="A40" s="16" t="s">
        <v>235</v>
      </c>
      <c r="B40" s="134">
        <v>704900</v>
      </c>
      <c r="C40" s="134">
        <v>0</v>
      </c>
      <c r="D40" s="135">
        <f t="shared" si="2"/>
        <v>0</v>
      </c>
      <c r="E40" s="136">
        <f t="shared" si="3"/>
        <v>-704900</v>
      </c>
    </row>
    <row r="41" spans="1:5" ht="22.5" customHeight="1">
      <c r="A41" s="16" t="s">
        <v>267</v>
      </c>
      <c r="B41" s="134">
        <v>0</v>
      </c>
      <c r="C41" s="134">
        <v>0</v>
      </c>
      <c r="D41" s="135" t="str">
        <f t="shared" si="2"/>
        <v>   </v>
      </c>
      <c r="E41" s="136">
        <f t="shared" si="3"/>
        <v>0</v>
      </c>
    </row>
    <row r="42" spans="1:5" ht="15" customHeight="1">
      <c r="A42" s="16" t="s">
        <v>81</v>
      </c>
      <c r="B42" s="211">
        <f>B44+B43</f>
        <v>447500</v>
      </c>
      <c r="C42" s="211">
        <f>C44+C43</f>
        <v>0</v>
      </c>
      <c r="D42" s="26">
        <f t="shared" si="0"/>
        <v>0</v>
      </c>
      <c r="E42" s="42">
        <f t="shared" si="1"/>
        <v>-447500</v>
      </c>
    </row>
    <row r="43" spans="1:5" ht="15" customHeight="1">
      <c r="A43" s="46" t="s">
        <v>187</v>
      </c>
      <c r="B43" s="211">
        <v>0</v>
      </c>
      <c r="C43" s="211">
        <v>0</v>
      </c>
      <c r="D43" s="26" t="str">
        <f t="shared" si="0"/>
        <v>   </v>
      </c>
      <c r="E43" s="42">
        <f t="shared" si="1"/>
        <v>0</v>
      </c>
    </row>
    <row r="44" spans="1:5" s="7" customFormat="1" ht="15" customHeight="1">
      <c r="A44" s="46" t="s">
        <v>109</v>
      </c>
      <c r="B44" s="219">
        <v>447500</v>
      </c>
      <c r="C44" s="219">
        <v>0</v>
      </c>
      <c r="D44" s="135">
        <f>IF(B44=0,"   ",C44/B44*100)</f>
        <v>0</v>
      </c>
      <c r="E44" s="136">
        <f>C44-B44</f>
        <v>-447500</v>
      </c>
    </row>
    <row r="45" spans="1:5" s="7" customFormat="1" ht="15" customHeight="1">
      <c r="A45" s="16" t="s">
        <v>197</v>
      </c>
      <c r="B45" s="219">
        <v>0</v>
      </c>
      <c r="C45" s="219">
        <v>0</v>
      </c>
      <c r="D45" s="47" t="str">
        <f t="shared" si="0"/>
        <v>   </v>
      </c>
      <c r="E45" s="40">
        <f t="shared" si="1"/>
        <v>0</v>
      </c>
    </row>
    <row r="46" spans="1:5" ht="27" customHeight="1">
      <c r="A46" s="171" t="s">
        <v>11</v>
      </c>
      <c r="B46" s="149">
        <f>SUM(B30:B31,)</f>
        <v>4928300</v>
      </c>
      <c r="C46" s="149">
        <f>SUM(C30:C31,)</f>
        <v>267691.29000000004</v>
      </c>
      <c r="D46" s="26">
        <f t="shared" si="0"/>
        <v>5.431716616277419</v>
      </c>
      <c r="E46" s="42">
        <f t="shared" si="1"/>
        <v>-4660608.71</v>
      </c>
    </row>
    <row r="47" spans="1:5" ht="12.75" customHeight="1">
      <c r="A47" s="22" t="s">
        <v>12</v>
      </c>
      <c r="B47" s="44"/>
      <c r="C47" s="45"/>
      <c r="D47" s="26" t="str">
        <f t="shared" si="0"/>
        <v>   </v>
      </c>
      <c r="E47" s="42">
        <f t="shared" si="1"/>
        <v>0</v>
      </c>
    </row>
    <row r="48" spans="1:5" ht="21" customHeight="1">
      <c r="A48" s="16" t="s">
        <v>35</v>
      </c>
      <c r="B48" s="25">
        <f>SUM(B49,B52,B53)</f>
        <v>1522400</v>
      </c>
      <c r="C48" s="25">
        <f>SUM(C49,C52,C53)</f>
        <v>18500</v>
      </c>
      <c r="D48" s="26">
        <f t="shared" si="0"/>
        <v>1.2151865475564898</v>
      </c>
      <c r="E48" s="42">
        <f t="shared" si="1"/>
        <v>-1503900</v>
      </c>
    </row>
    <row r="49" spans="1:5" ht="15" customHeight="1">
      <c r="A49" s="16" t="s">
        <v>36</v>
      </c>
      <c r="B49" s="25">
        <v>1481900</v>
      </c>
      <c r="C49" s="25">
        <v>18500</v>
      </c>
      <c r="D49" s="26">
        <f t="shared" si="0"/>
        <v>1.2483973277549092</v>
      </c>
      <c r="E49" s="42">
        <f t="shared" si="1"/>
        <v>-1463400</v>
      </c>
    </row>
    <row r="50" spans="1:5" ht="15" customHeight="1">
      <c r="A50" s="85" t="s">
        <v>121</v>
      </c>
      <c r="B50" s="25">
        <v>991705</v>
      </c>
      <c r="C50" s="28">
        <v>18500</v>
      </c>
      <c r="D50" s="26">
        <f t="shared" si="0"/>
        <v>1.8654741077235668</v>
      </c>
      <c r="E50" s="42">
        <f t="shared" si="1"/>
        <v>-973205</v>
      </c>
    </row>
    <row r="51" spans="1:5" ht="15" customHeight="1">
      <c r="A51" s="85" t="s">
        <v>276</v>
      </c>
      <c r="B51" s="25">
        <v>100</v>
      </c>
      <c r="C51" s="28">
        <v>0</v>
      </c>
      <c r="D51" s="26">
        <f>IF(B51=0,"   ",C51/B51*100)</f>
        <v>0</v>
      </c>
      <c r="E51" s="42">
        <f>C51-B51</f>
        <v>-100</v>
      </c>
    </row>
    <row r="52" spans="1:5" ht="12.75" customHeight="1">
      <c r="A52" s="16" t="s">
        <v>95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 customHeight="1">
      <c r="A53" s="41" t="s">
        <v>52</v>
      </c>
      <c r="B53" s="27">
        <f>SUM(B55+B54)</f>
        <v>40000</v>
      </c>
      <c r="C53" s="27">
        <f>SUM(C55+C54)</f>
        <v>0</v>
      </c>
      <c r="D53" s="26">
        <f t="shared" si="0"/>
        <v>0</v>
      </c>
      <c r="E53" s="42">
        <f t="shared" si="1"/>
        <v>-40000</v>
      </c>
    </row>
    <row r="54" spans="1:5" ht="18.75" customHeight="1">
      <c r="A54" s="104" t="s">
        <v>233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23.25" customHeight="1">
      <c r="A55" s="104" t="s">
        <v>243</v>
      </c>
      <c r="B55" s="25">
        <v>40000</v>
      </c>
      <c r="C55" s="27">
        <v>0</v>
      </c>
      <c r="D55" s="26">
        <f t="shared" si="0"/>
        <v>0</v>
      </c>
      <c r="E55" s="42">
        <f t="shared" si="1"/>
        <v>-40000</v>
      </c>
    </row>
    <row r="56" spans="1:5" ht="21.75" customHeight="1">
      <c r="A56" s="16" t="s">
        <v>49</v>
      </c>
      <c r="B56" s="27">
        <f>SUM(B57)</f>
        <v>103400</v>
      </c>
      <c r="C56" s="27">
        <f>SUM(C57)</f>
        <v>2000</v>
      </c>
      <c r="D56" s="26">
        <f t="shared" si="0"/>
        <v>1.9342359767891684</v>
      </c>
      <c r="E56" s="42">
        <f t="shared" si="1"/>
        <v>-101400</v>
      </c>
    </row>
    <row r="57" spans="1:5" ht="13.5" customHeight="1">
      <c r="A57" s="39" t="s">
        <v>107</v>
      </c>
      <c r="B57" s="25">
        <v>103400</v>
      </c>
      <c r="C57" s="27">
        <v>2000</v>
      </c>
      <c r="D57" s="26">
        <f t="shared" si="0"/>
        <v>1.9342359767891684</v>
      </c>
      <c r="E57" s="42">
        <f t="shared" si="1"/>
        <v>-101400</v>
      </c>
    </row>
    <row r="58" spans="1:5" ht="16.5" customHeight="1">
      <c r="A58" s="16" t="s">
        <v>37</v>
      </c>
      <c r="B58" s="25">
        <f>SUM(B59)</f>
        <v>1000</v>
      </c>
      <c r="C58" s="27">
        <f>SUM(C59)</f>
        <v>0</v>
      </c>
      <c r="D58" s="26">
        <f t="shared" si="0"/>
        <v>0</v>
      </c>
      <c r="E58" s="42">
        <f t="shared" si="1"/>
        <v>-1000</v>
      </c>
    </row>
    <row r="59" spans="1:5" ht="15" customHeight="1">
      <c r="A59" s="75" t="s">
        <v>128</v>
      </c>
      <c r="B59" s="25">
        <v>1000</v>
      </c>
      <c r="C59" s="27">
        <v>0</v>
      </c>
      <c r="D59" s="26">
        <f t="shared" si="0"/>
        <v>0</v>
      </c>
      <c r="E59" s="42">
        <f t="shared" si="1"/>
        <v>-1000</v>
      </c>
    </row>
    <row r="60" spans="1:5" ht="18.75" customHeight="1">
      <c r="A60" s="16" t="s">
        <v>38</v>
      </c>
      <c r="B60" s="25">
        <f>SUM(B64,B61,B72)</f>
        <v>1953800</v>
      </c>
      <c r="C60" s="25">
        <f>SUM(C64,C61,C72)</f>
        <v>0</v>
      </c>
      <c r="D60" s="26">
        <f t="shared" si="0"/>
        <v>0</v>
      </c>
      <c r="E60" s="42">
        <f t="shared" si="1"/>
        <v>-1953800</v>
      </c>
    </row>
    <row r="61" spans="1:5" ht="18.75" customHeight="1">
      <c r="A61" s="75" t="s">
        <v>165</v>
      </c>
      <c r="B61" s="25">
        <f>SUM(B62+B63)</f>
        <v>0</v>
      </c>
      <c r="C61" s="25">
        <f>SUM(C62+C63)</f>
        <v>0</v>
      </c>
      <c r="D61" s="26" t="str">
        <f>IF(B61=0,"   ",C61/B61*100)</f>
        <v>   </v>
      </c>
      <c r="E61" s="42">
        <f>C61-B61</f>
        <v>0</v>
      </c>
    </row>
    <row r="62" spans="1:5" ht="15" customHeight="1">
      <c r="A62" s="75" t="s">
        <v>166</v>
      </c>
      <c r="B62" s="25">
        <v>0</v>
      </c>
      <c r="C62" s="25">
        <v>0</v>
      </c>
      <c r="D62" s="26" t="str">
        <f>IF(B62=0,"   ",C62/B62*100)</f>
        <v>   </v>
      </c>
      <c r="E62" s="42">
        <f>C62-B62</f>
        <v>0</v>
      </c>
    </row>
    <row r="63" spans="1:5" ht="15" customHeight="1">
      <c r="A63" s="75" t="s">
        <v>188</v>
      </c>
      <c r="B63" s="25">
        <v>0</v>
      </c>
      <c r="C63" s="25">
        <v>0</v>
      </c>
      <c r="D63" s="26" t="str">
        <f>IF(B63=0,"   ",C63/B63*100)</f>
        <v>   </v>
      </c>
      <c r="E63" s="42">
        <f>C63-B63</f>
        <v>0</v>
      </c>
    </row>
    <row r="64" spans="1:5" ht="13.5" customHeight="1">
      <c r="A64" s="16" t="s">
        <v>39</v>
      </c>
      <c r="B64" s="25">
        <f>SUM(B65:B71)</f>
        <v>1893800</v>
      </c>
      <c r="C64" s="25">
        <f>SUM(C65:C71)</f>
        <v>0</v>
      </c>
      <c r="D64" s="26">
        <f t="shared" si="0"/>
        <v>0</v>
      </c>
      <c r="E64" s="42">
        <f t="shared" si="1"/>
        <v>-1893800</v>
      </c>
    </row>
    <row r="65" spans="1:5" ht="17.25" customHeight="1">
      <c r="A65" s="75" t="s">
        <v>149</v>
      </c>
      <c r="B65" s="25">
        <v>0</v>
      </c>
      <c r="C65" s="25">
        <v>0</v>
      </c>
      <c r="D65" s="26" t="str">
        <f t="shared" si="0"/>
        <v>   </v>
      </c>
      <c r="E65" s="42">
        <f t="shared" si="1"/>
        <v>0</v>
      </c>
    </row>
    <row r="66" spans="1:5" ht="24" customHeight="1">
      <c r="A66" s="71" t="s">
        <v>246</v>
      </c>
      <c r="B66" s="25">
        <v>550000</v>
      </c>
      <c r="C66" s="25">
        <v>0</v>
      </c>
      <c r="D66" s="26">
        <f t="shared" si="0"/>
        <v>0</v>
      </c>
      <c r="E66" s="42">
        <f t="shared" si="1"/>
        <v>-550000</v>
      </c>
    </row>
    <row r="67" spans="1:5" ht="24" customHeight="1">
      <c r="A67" s="71" t="s">
        <v>247</v>
      </c>
      <c r="B67" s="25">
        <v>63200</v>
      </c>
      <c r="C67" s="25">
        <v>0</v>
      </c>
      <c r="D67" s="26">
        <f t="shared" si="0"/>
        <v>0</v>
      </c>
      <c r="E67" s="42">
        <f t="shared" si="1"/>
        <v>-63200</v>
      </c>
    </row>
    <row r="68" spans="1:5" ht="24" customHeight="1">
      <c r="A68" s="71" t="s">
        <v>248</v>
      </c>
      <c r="B68" s="25">
        <v>704900</v>
      </c>
      <c r="C68" s="25">
        <v>0</v>
      </c>
      <c r="D68" s="26">
        <f t="shared" si="0"/>
        <v>0</v>
      </c>
      <c r="E68" s="42">
        <f t="shared" si="1"/>
        <v>-704900</v>
      </c>
    </row>
    <row r="69" spans="1:5" ht="24" customHeight="1">
      <c r="A69" s="71" t="s">
        <v>249</v>
      </c>
      <c r="B69" s="25">
        <v>78400</v>
      </c>
      <c r="C69" s="25">
        <v>0</v>
      </c>
      <c r="D69" s="26">
        <f t="shared" si="0"/>
        <v>0</v>
      </c>
      <c r="E69" s="42">
        <f t="shared" si="1"/>
        <v>-78400</v>
      </c>
    </row>
    <row r="70" spans="1:5" ht="24" customHeight="1">
      <c r="A70" s="71" t="s">
        <v>250</v>
      </c>
      <c r="B70" s="25">
        <v>447500</v>
      </c>
      <c r="C70" s="25">
        <v>0</v>
      </c>
      <c r="D70" s="26">
        <f t="shared" si="0"/>
        <v>0</v>
      </c>
      <c r="E70" s="42">
        <f t="shared" si="1"/>
        <v>-447500</v>
      </c>
    </row>
    <row r="71" spans="1:5" ht="26.25" customHeight="1">
      <c r="A71" s="71" t="s">
        <v>251</v>
      </c>
      <c r="B71" s="25">
        <v>49800</v>
      </c>
      <c r="C71" s="25">
        <v>0</v>
      </c>
      <c r="D71" s="26">
        <f t="shared" si="0"/>
        <v>0</v>
      </c>
      <c r="E71" s="42">
        <f t="shared" si="1"/>
        <v>-49800</v>
      </c>
    </row>
    <row r="72" spans="1:5" ht="26.25" customHeight="1">
      <c r="A72" s="95" t="s">
        <v>176</v>
      </c>
      <c r="B72" s="25">
        <f>B73</f>
        <v>60000</v>
      </c>
      <c r="C72" s="25">
        <f>C73</f>
        <v>0</v>
      </c>
      <c r="D72" s="26">
        <f>IF(B72=0,"   ",C72/B72*100)</f>
        <v>0</v>
      </c>
      <c r="E72" s="42">
        <f>C72-B72</f>
        <v>-60000</v>
      </c>
    </row>
    <row r="73" spans="1:5" ht="26.25" customHeight="1">
      <c r="A73" s="104" t="s">
        <v>155</v>
      </c>
      <c r="B73" s="25">
        <v>60000</v>
      </c>
      <c r="C73" s="25">
        <v>0</v>
      </c>
      <c r="D73" s="26">
        <f>IF(B73=0,"   ",C73/B73*100)</f>
        <v>0</v>
      </c>
      <c r="E73" s="42">
        <f>C73-B73</f>
        <v>-60000</v>
      </c>
    </row>
    <row r="74" spans="1:5" ht="20.25" customHeight="1">
      <c r="A74" s="16" t="s">
        <v>13</v>
      </c>
      <c r="B74" s="25">
        <f>B76+B75</f>
        <v>563500</v>
      </c>
      <c r="C74" s="25">
        <f>C76+C75</f>
        <v>12037.59</v>
      </c>
      <c r="D74" s="26">
        <f t="shared" si="0"/>
        <v>2.136218278615794</v>
      </c>
      <c r="E74" s="42">
        <f t="shared" si="1"/>
        <v>-551462.41</v>
      </c>
    </row>
    <row r="75" spans="1:5" ht="20.25" customHeight="1">
      <c r="A75" s="41" t="s">
        <v>150</v>
      </c>
      <c r="B75" s="25">
        <v>0</v>
      </c>
      <c r="C75" s="25">
        <v>0</v>
      </c>
      <c r="D75" s="26" t="str">
        <f t="shared" si="0"/>
        <v>   </v>
      </c>
      <c r="E75" s="42">
        <f t="shared" si="1"/>
        <v>0</v>
      </c>
    </row>
    <row r="76" spans="1:5" ht="12.75" customHeight="1">
      <c r="A76" s="16" t="s">
        <v>99</v>
      </c>
      <c r="B76" s="25">
        <f>B77+B78+B83+B79</f>
        <v>563500</v>
      </c>
      <c r="C76" s="25">
        <f>C77+C78+C83+C79</f>
        <v>12037.59</v>
      </c>
      <c r="D76" s="26">
        <f t="shared" si="0"/>
        <v>2.136218278615794</v>
      </c>
      <c r="E76" s="42">
        <f t="shared" si="1"/>
        <v>-551462.41</v>
      </c>
    </row>
    <row r="77" spans="1:5" ht="12.75" customHeight="1">
      <c r="A77" s="16" t="s">
        <v>100</v>
      </c>
      <c r="B77" s="25">
        <v>210000</v>
      </c>
      <c r="C77" s="25">
        <v>12037.59</v>
      </c>
      <c r="D77" s="26">
        <f t="shared" si="0"/>
        <v>5.732185714285714</v>
      </c>
      <c r="E77" s="42">
        <f t="shared" si="1"/>
        <v>-197962.41</v>
      </c>
    </row>
    <row r="78" spans="1:5" ht="12.75" customHeight="1">
      <c r="A78" s="16" t="s">
        <v>61</v>
      </c>
      <c r="B78" s="25">
        <v>353500</v>
      </c>
      <c r="C78" s="27">
        <v>0</v>
      </c>
      <c r="D78" s="26">
        <v>0</v>
      </c>
      <c r="E78" s="42">
        <f t="shared" si="1"/>
        <v>-353500</v>
      </c>
    </row>
    <row r="79" spans="1:5" ht="12.75" customHeight="1">
      <c r="A79" s="104" t="s">
        <v>206</v>
      </c>
      <c r="B79" s="25">
        <f>SUM(B80:B82)</f>
        <v>0</v>
      </c>
      <c r="C79" s="25">
        <f>SUM(C80:C82)</f>
        <v>0</v>
      </c>
      <c r="D79" s="26">
        <v>0</v>
      </c>
      <c r="E79" s="42">
        <f>C79-B79</f>
        <v>0</v>
      </c>
    </row>
    <row r="80" spans="1:5" ht="29.25" customHeight="1">
      <c r="A80" s="104" t="s">
        <v>207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25.5" customHeight="1">
      <c r="A81" s="104" t="s">
        <v>208</v>
      </c>
      <c r="B81" s="25">
        <v>0</v>
      </c>
      <c r="C81" s="27">
        <v>0</v>
      </c>
      <c r="D81" s="26" t="str">
        <f t="shared" si="0"/>
        <v>   </v>
      </c>
      <c r="E81" s="27">
        <f t="shared" si="1"/>
        <v>0</v>
      </c>
    </row>
    <row r="82" spans="1:5" ht="23.25" customHeight="1">
      <c r="A82" s="104" t="s">
        <v>209</v>
      </c>
      <c r="B82" s="25">
        <v>0</v>
      </c>
      <c r="C82" s="27">
        <v>0</v>
      </c>
      <c r="D82" s="26" t="str">
        <f t="shared" si="0"/>
        <v>   </v>
      </c>
      <c r="E82" s="27">
        <f t="shared" si="1"/>
        <v>0</v>
      </c>
    </row>
    <row r="83" spans="1:5" ht="19.5" customHeight="1">
      <c r="A83" s="104" t="s">
        <v>290</v>
      </c>
      <c r="B83" s="121">
        <v>0</v>
      </c>
      <c r="C83" s="122">
        <v>0</v>
      </c>
      <c r="D83" s="26" t="str">
        <f t="shared" si="0"/>
        <v>   </v>
      </c>
      <c r="E83" s="124">
        <f t="shared" si="1"/>
        <v>0</v>
      </c>
    </row>
    <row r="84" spans="1:5" ht="20.25" customHeight="1">
      <c r="A84" s="35" t="s">
        <v>17</v>
      </c>
      <c r="B84" s="31">
        <v>8000</v>
      </c>
      <c r="C84" s="31">
        <v>0</v>
      </c>
      <c r="D84" s="26">
        <f t="shared" si="0"/>
        <v>0</v>
      </c>
      <c r="E84" s="42">
        <f t="shared" si="1"/>
        <v>-8000</v>
      </c>
    </row>
    <row r="85" spans="1:5" ht="18" customHeight="1">
      <c r="A85" s="16" t="s">
        <v>41</v>
      </c>
      <c r="B85" s="24">
        <f>B86</f>
        <v>764200</v>
      </c>
      <c r="C85" s="24">
        <f>C86</f>
        <v>0</v>
      </c>
      <c r="D85" s="26">
        <f t="shared" si="0"/>
        <v>0</v>
      </c>
      <c r="E85" s="42">
        <f t="shared" si="1"/>
        <v>-764200</v>
      </c>
    </row>
    <row r="86" spans="1:5" ht="12.75" customHeight="1">
      <c r="A86" s="16" t="s">
        <v>42</v>
      </c>
      <c r="B86" s="25">
        <v>764200</v>
      </c>
      <c r="C86" s="27">
        <v>0</v>
      </c>
      <c r="D86" s="26">
        <f t="shared" si="0"/>
        <v>0</v>
      </c>
      <c r="E86" s="42">
        <f t="shared" si="1"/>
        <v>-764200</v>
      </c>
    </row>
    <row r="87" spans="1:5" ht="16.5" customHeight="1">
      <c r="A87" s="16" t="s">
        <v>124</v>
      </c>
      <c r="B87" s="25">
        <f>SUM(B88:B89)</f>
        <v>12000</v>
      </c>
      <c r="C87" s="25">
        <f>SUM(C88:C89)</f>
        <v>0</v>
      </c>
      <c r="D87" s="26">
        <f t="shared" si="0"/>
        <v>0</v>
      </c>
      <c r="E87" s="42">
        <f t="shared" si="1"/>
        <v>-12000</v>
      </c>
    </row>
    <row r="88" spans="1:5" ht="16.5" customHeight="1">
      <c r="A88" s="16" t="s">
        <v>43</v>
      </c>
      <c r="B88" s="25">
        <v>12000</v>
      </c>
      <c r="C88" s="25">
        <v>0</v>
      </c>
      <c r="D88" s="26">
        <f>IF(B88=0,"   ",C88/B88*100)</f>
        <v>0</v>
      </c>
      <c r="E88" s="42">
        <f>C88-B88</f>
        <v>-12000</v>
      </c>
    </row>
    <row r="89" spans="1:5" ht="18.75" customHeight="1">
      <c r="A89" s="266" t="s">
        <v>262</v>
      </c>
      <c r="B89" s="25">
        <f>SUM(B90:B93)</f>
        <v>0</v>
      </c>
      <c r="C89" s="25">
        <f>SUM(C90:C93)</f>
        <v>0</v>
      </c>
      <c r="D89" s="26" t="str">
        <f>IF(B89=0,"   ",C89/B89*100)</f>
        <v>   </v>
      </c>
      <c r="E89" s="42"/>
    </row>
    <row r="90" spans="1:5" ht="16.5" customHeight="1">
      <c r="A90" s="266" t="s">
        <v>263</v>
      </c>
      <c r="B90" s="25">
        <v>0</v>
      </c>
      <c r="C90" s="25">
        <v>0</v>
      </c>
      <c r="D90" s="26" t="str">
        <f>IF(B90=0,"   ",C90/B90*100)</f>
        <v>   </v>
      </c>
      <c r="E90" s="42">
        <f>C90-B90</f>
        <v>0</v>
      </c>
    </row>
    <row r="91" spans="1:5" ht="18" customHeight="1">
      <c r="A91" s="266" t="s">
        <v>264</v>
      </c>
      <c r="B91" s="25">
        <v>0</v>
      </c>
      <c r="C91" s="25">
        <v>0</v>
      </c>
      <c r="D91" s="26" t="str">
        <f>IF(B91=0,"   ",C91/B91*100)</f>
        <v>   </v>
      </c>
      <c r="E91" s="42">
        <f>C91-B91</f>
        <v>0</v>
      </c>
    </row>
    <row r="92" spans="1:5" ht="15.75" customHeight="1">
      <c r="A92" s="266" t="s">
        <v>265</v>
      </c>
      <c r="B92" s="25">
        <v>0</v>
      </c>
      <c r="C92" s="25">
        <v>0</v>
      </c>
      <c r="D92" s="26" t="str">
        <f>IF(B92=0,"   ",C92/B92*100)</f>
        <v>   </v>
      </c>
      <c r="E92" s="42">
        <f>C92-B92</f>
        <v>0</v>
      </c>
    </row>
    <row r="93" spans="1:5" ht="12.75" customHeight="1">
      <c r="A93" s="266" t="s">
        <v>266</v>
      </c>
      <c r="B93" s="25">
        <v>0</v>
      </c>
      <c r="C93" s="28">
        <v>0</v>
      </c>
      <c r="D93" s="26" t="str">
        <f t="shared" si="0"/>
        <v>   </v>
      </c>
      <c r="E93" s="42">
        <f t="shared" si="1"/>
        <v>0</v>
      </c>
    </row>
    <row r="94" spans="1:5" ht="22.5" customHeight="1">
      <c r="A94" s="171" t="s">
        <v>15</v>
      </c>
      <c r="B94" s="149">
        <f>SUM(B48,B56,B58,B60,B74,B84,B85,B87,)</f>
        <v>4928300</v>
      </c>
      <c r="C94" s="149">
        <f>SUM(C48,C56,C58,C60,C74,C84,C85,C87,)</f>
        <v>32537.59</v>
      </c>
      <c r="D94" s="140">
        <f>IF(B94=0,"   ",C94/B94*100)</f>
        <v>0.6602193454132256</v>
      </c>
      <c r="E94" s="141">
        <f t="shared" si="1"/>
        <v>-4895762.41</v>
      </c>
    </row>
    <row r="95" spans="1:5" s="59" customFormat="1" ht="30" customHeight="1">
      <c r="A95" s="80" t="s">
        <v>309</v>
      </c>
      <c r="B95" s="80"/>
      <c r="C95" s="337"/>
      <c r="D95" s="337"/>
      <c r="E95" s="337"/>
    </row>
    <row r="96" spans="1:5" s="59" customFormat="1" ht="18" customHeight="1">
      <c r="A96" s="80" t="s">
        <v>154</v>
      </c>
      <c r="B96" s="80"/>
      <c r="C96" s="81" t="s">
        <v>310</v>
      </c>
      <c r="D96" s="82"/>
      <c r="E96" s="83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</sheetData>
  <sheetProtection/>
  <mergeCells count="2">
    <mergeCell ref="A1:E1"/>
    <mergeCell ref="C95:E95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25">
      <selection activeCell="C46" sqref="C46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339" t="s">
        <v>323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317</v>
      </c>
      <c r="C4" s="32" t="s">
        <v>312</v>
      </c>
      <c r="D4" s="19" t="s">
        <v>320</v>
      </c>
      <c r="E4" s="36" t="s">
        <v>319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0" t="s">
        <v>45</v>
      </c>
      <c r="B7" s="148">
        <f>SUM(B8)</f>
        <v>73200</v>
      </c>
      <c r="C7" s="148">
        <f>SUM(C8)</f>
        <v>1380.54</v>
      </c>
      <c r="D7" s="138">
        <f aca="true" t="shared" si="0" ref="D7:D99">IF(B7=0,"   ",C7/B7*100)</f>
        <v>1.885983606557377</v>
      </c>
      <c r="E7" s="139">
        <f aca="true" t="shared" si="1" ref="E7:E100">C7-B7</f>
        <v>-71819.46</v>
      </c>
    </row>
    <row r="8" spans="1:5" ht="12" customHeight="1">
      <c r="A8" s="85" t="s">
        <v>44</v>
      </c>
      <c r="B8" s="84">
        <v>73200</v>
      </c>
      <c r="C8" s="230">
        <v>1380.54</v>
      </c>
      <c r="D8" s="138">
        <f t="shared" si="0"/>
        <v>1.885983606557377</v>
      </c>
      <c r="E8" s="139">
        <f t="shared" si="1"/>
        <v>-71819.46</v>
      </c>
    </row>
    <row r="9" spans="1:5" ht="16.5" customHeight="1">
      <c r="A9" s="150" t="s">
        <v>137</v>
      </c>
      <c r="B9" s="193">
        <f>SUM(B10)</f>
        <v>1103100</v>
      </c>
      <c r="C9" s="193">
        <f>SUM(C10)</f>
        <v>88524.59</v>
      </c>
      <c r="D9" s="138">
        <f t="shared" si="0"/>
        <v>8.025073882694226</v>
      </c>
      <c r="E9" s="139">
        <f t="shared" si="1"/>
        <v>-1014575.41</v>
      </c>
    </row>
    <row r="10" spans="1:5" ht="15" customHeight="1">
      <c r="A10" s="85" t="s">
        <v>138</v>
      </c>
      <c r="B10" s="194">
        <v>1103100</v>
      </c>
      <c r="C10" s="230">
        <v>88524.59</v>
      </c>
      <c r="D10" s="138">
        <f t="shared" si="0"/>
        <v>8.025073882694226</v>
      </c>
      <c r="E10" s="139">
        <f t="shared" si="1"/>
        <v>-1014575.41</v>
      </c>
    </row>
    <row r="11" spans="1:5" ht="12.75">
      <c r="A11" s="85" t="s">
        <v>7</v>
      </c>
      <c r="B11" s="194">
        <f>SUM(B12:B12)</f>
        <v>47400</v>
      </c>
      <c r="C11" s="194">
        <f>SUM(C12:C12)</f>
        <v>1807.2</v>
      </c>
      <c r="D11" s="138">
        <f t="shared" si="0"/>
        <v>3.8126582278481016</v>
      </c>
      <c r="E11" s="139">
        <f t="shared" si="1"/>
        <v>-45592.8</v>
      </c>
    </row>
    <row r="12" spans="1:5" ht="16.5" customHeight="1">
      <c r="A12" s="85" t="s">
        <v>26</v>
      </c>
      <c r="B12" s="194">
        <v>47400</v>
      </c>
      <c r="C12" s="230">
        <v>1807.2</v>
      </c>
      <c r="D12" s="138">
        <f t="shared" si="0"/>
        <v>3.8126582278481016</v>
      </c>
      <c r="E12" s="139">
        <f t="shared" si="1"/>
        <v>-45592.8</v>
      </c>
    </row>
    <row r="13" spans="1:5" ht="16.5" customHeight="1">
      <c r="A13" s="85" t="s">
        <v>9</v>
      </c>
      <c r="B13" s="194">
        <f>SUM(B14:B15)</f>
        <v>419000</v>
      </c>
      <c r="C13" s="194">
        <f>SUM(C14:C15)</f>
        <v>13897.96</v>
      </c>
      <c r="D13" s="138">
        <f t="shared" si="0"/>
        <v>3.3169355608591884</v>
      </c>
      <c r="E13" s="139">
        <f t="shared" si="1"/>
        <v>-405102.04</v>
      </c>
    </row>
    <row r="14" spans="1:5" ht="15" customHeight="1">
      <c r="A14" s="85" t="s">
        <v>27</v>
      </c>
      <c r="B14" s="194">
        <v>231000</v>
      </c>
      <c r="C14" s="230">
        <v>3302.54</v>
      </c>
      <c r="D14" s="138">
        <f t="shared" si="0"/>
        <v>1.4296709956709956</v>
      </c>
      <c r="E14" s="139">
        <f t="shared" si="1"/>
        <v>-227697.46</v>
      </c>
    </row>
    <row r="15" spans="1:5" ht="15.75" customHeight="1">
      <c r="A15" s="41" t="s">
        <v>160</v>
      </c>
      <c r="B15" s="194">
        <f>SUM(B16:B17)</f>
        <v>188000</v>
      </c>
      <c r="C15" s="194">
        <f>SUM(C16:C17)</f>
        <v>10595.42</v>
      </c>
      <c r="D15" s="138">
        <f t="shared" si="0"/>
        <v>5.63586170212766</v>
      </c>
      <c r="E15" s="139">
        <f t="shared" si="1"/>
        <v>-177404.58</v>
      </c>
    </row>
    <row r="16" spans="1:5" ht="14.25" customHeight="1">
      <c r="A16" s="41" t="s">
        <v>161</v>
      </c>
      <c r="B16" s="194">
        <v>20100</v>
      </c>
      <c r="C16" s="230">
        <v>7708</v>
      </c>
      <c r="D16" s="138">
        <f t="shared" si="0"/>
        <v>38.34825870646766</v>
      </c>
      <c r="E16" s="139">
        <f t="shared" si="1"/>
        <v>-12392</v>
      </c>
    </row>
    <row r="17" spans="1:5" ht="12.75" customHeight="1">
      <c r="A17" s="41" t="s">
        <v>162</v>
      </c>
      <c r="B17" s="194">
        <v>167900</v>
      </c>
      <c r="C17" s="230">
        <v>2887.42</v>
      </c>
      <c r="D17" s="138">
        <f t="shared" si="0"/>
        <v>1.7197260273972603</v>
      </c>
      <c r="E17" s="139">
        <f t="shared" si="1"/>
        <v>-165012.58</v>
      </c>
    </row>
    <row r="18" spans="1:5" ht="12.75" customHeight="1">
      <c r="A18" s="41" t="s">
        <v>195</v>
      </c>
      <c r="B18" s="194">
        <v>0</v>
      </c>
      <c r="C18" s="230">
        <v>0</v>
      </c>
      <c r="D18" s="138" t="str">
        <f t="shared" si="0"/>
        <v>   </v>
      </c>
      <c r="E18" s="139">
        <f t="shared" si="1"/>
        <v>0</v>
      </c>
    </row>
    <row r="19" spans="1:5" ht="13.5" customHeight="1">
      <c r="A19" s="85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4.75" customHeight="1">
      <c r="A20" s="85" t="s">
        <v>28</v>
      </c>
      <c r="B20" s="194">
        <f>B21+B22</f>
        <v>39600</v>
      </c>
      <c r="C20" s="194">
        <f>SUM(C21:C22)</f>
        <v>3.28</v>
      </c>
      <c r="D20" s="138">
        <f t="shared" si="0"/>
        <v>0.008282828282828282</v>
      </c>
      <c r="E20" s="139">
        <f t="shared" si="1"/>
        <v>-39596.72</v>
      </c>
    </row>
    <row r="21" spans="1:5" ht="14.25" customHeight="1">
      <c r="A21" s="41" t="s">
        <v>152</v>
      </c>
      <c r="B21" s="194">
        <v>39600</v>
      </c>
      <c r="C21" s="194">
        <v>3.28</v>
      </c>
      <c r="D21" s="138">
        <f t="shared" si="0"/>
        <v>0.008282828282828282</v>
      </c>
      <c r="E21" s="139">
        <f t="shared" si="1"/>
        <v>-39596.72</v>
      </c>
    </row>
    <row r="22" spans="1:5" ht="12" customHeight="1">
      <c r="A22" s="85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2.75" customHeight="1">
      <c r="A23" s="85" t="s">
        <v>83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3.5" customHeight="1">
      <c r="A24" s="85" t="s">
        <v>78</v>
      </c>
      <c r="B24" s="194">
        <f>SUM(B25:B25)</f>
        <v>0</v>
      </c>
      <c r="C24" s="194">
        <f>SUM(C25:C25)</f>
        <v>0</v>
      </c>
      <c r="D24" s="138" t="str">
        <f t="shared" si="0"/>
        <v>   </v>
      </c>
      <c r="E24" s="139">
        <f t="shared" si="1"/>
        <v>0</v>
      </c>
    </row>
    <row r="25" spans="1:5" ht="13.5" customHeight="1">
      <c r="A25" s="85" t="s">
        <v>125</v>
      </c>
      <c r="B25" s="194">
        <v>0</v>
      </c>
      <c r="C25" s="194"/>
      <c r="D25" s="138" t="str">
        <f t="shared" si="0"/>
        <v>   </v>
      </c>
      <c r="E25" s="139"/>
    </row>
    <row r="26" spans="1:5" ht="12.75">
      <c r="A26" s="85" t="s">
        <v>32</v>
      </c>
      <c r="B26" s="194">
        <f>B27</f>
        <v>0</v>
      </c>
      <c r="C26" s="194">
        <f>C27</f>
        <v>-3.28</v>
      </c>
      <c r="D26" s="138" t="str">
        <f t="shared" si="0"/>
        <v>   </v>
      </c>
      <c r="E26" s="139">
        <f t="shared" si="1"/>
        <v>-3.28</v>
      </c>
    </row>
    <row r="27" spans="1:5" ht="12.75">
      <c r="A27" s="16" t="s">
        <v>46</v>
      </c>
      <c r="B27" s="194">
        <v>0</v>
      </c>
      <c r="C27" s="194">
        <v>-3.28</v>
      </c>
      <c r="D27" s="138" t="str">
        <f t="shared" si="0"/>
        <v>   </v>
      </c>
      <c r="E27" s="139">
        <f t="shared" si="1"/>
        <v>-3.28</v>
      </c>
    </row>
    <row r="28" spans="1:5" ht="12.75">
      <c r="A28" s="85" t="s">
        <v>31</v>
      </c>
      <c r="B28" s="194">
        <v>0</v>
      </c>
      <c r="C28" s="194">
        <v>0</v>
      </c>
      <c r="D28" s="138" t="str">
        <f t="shared" si="0"/>
        <v>   </v>
      </c>
      <c r="E28" s="139">
        <f t="shared" si="1"/>
        <v>0</v>
      </c>
    </row>
    <row r="29" spans="1:5" ht="18" customHeight="1">
      <c r="A29" s="156" t="s">
        <v>10</v>
      </c>
      <c r="B29" s="173">
        <f>B7+B9+B11+B13+B19+B20+B24+B26+B28+B18</f>
        <v>1682300</v>
      </c>
      <c r="C29" s="173">
        <f>C7+C9+C11+C13+C19+C20+C24+C26+C28+C18</f>
        <v>105610.28999999998</v>
      </c>
      <c r="D29" s="140">
        <f t="shared" si="0"/>
        <v>6.27773227129525</v>
      </c>
      <c r="E29" s="141">
        <f t="shared" si="1"/>
        <v>-1576689.71</v>
      </c>
    </row>
    <row r="30" spans="1:5" ht="18" customHeight="1">
      <c r="A30" s="157" t="s">
        <v>140</v>
      </c>
      <c r="B30" s="184">
        <f>SUM(B31:B34,B37,B38,B43,B44,B45)</f>
        <v>6197800</v>
      </c>
      <c r="C30" s="184">
        <f>SUM(C31:C34,C37,C38,C43,C44,C45)</f>
        <v>369910</v>
      </c>
      <c r="D30" s="140">
        <f t="shared" si="0"/>
        <v>5.968408144825584</v>
      </c>
      <c r="E30" s="141">
        <f t="shared" si="1"/>
        <v>-5827890</v>
      </c>
    </row>
    <row r="31" spans="1:5" ht="16.5" customHeight="1">
      <c r="A31" s="158" t="s">
        <v>34</v>
      </c>
      <c r="B31" s="159">
        <v>4359000</v>
      </c>
      <c r="C31" s="230">
        <v>359910</v>
      </c>
      <c r="D31" s="153">
        <f t="shared" si="0"/>
        <v>8.256710254645562</v>
      </c>
      <c r="E31" s="154">
        <f t="shared" si="1"/>
        <v>-3999090</v>
      </c>
    </row>
    <row r="32" spans="1:5" ht="16.5" customHeight="1">
      <c r="A32" s="17" t="s">
        <v>226</v>
      </c>
      <c r="B32" s="159">
        <v>0</v>
      </c>
      <c r="C32" s="230">
        <v>0</v>
      </c>
      <c r="D32" s="153" t="str">
        <f>IF(B32=0,"   ",C32/B32*100)</f>
        <v>   </v>
      </c>
      <c r="E32" s="154">
        <f>C32-B32</f>
        <v>0</v>
      </c>
    </row>
    <row r="33" spans="1:5" ht="27" customHeight="1">
      <c r="A33" s="155" t="s">
        <v>51</v>
      </c>
      <c r="B33" s="194">
        <v>103400</v>
      </c>
      <c r="C33" s="230">
        <v>10000</v>
      </c>
      <c r="D33" s="153">
        <f t="shared" si="0"/>
        <v>9.671179883945841</v>
      </c>
      <c r="E33" s="154">
        <f t="shared" si="1"/>
        <v>-93400</v>
      </c>
    </row>
    <row r="34" spans="1:5" ht="27" customHeight="1">
      <c r="A34" s="155" t="s">
        <v>148</v>
      </c>
      <c r="B34" s="194">
        <f>SUM(B35:B36)</f>
        <v>100</v>
      </c>
      <c r="C34" s="194">
        <f>SUM(C35:C36)</f>
        <v>0</v>
      </c>
      <c r="D34" s="153">
        <f t="shared" si="0"/>
        <v>0</v>
      </c>
      <c r="E34" s="154">
        <f t="shared" si="1"/>
        <v>-100</v>
      </c>
    </row>
    <row r="35" spans="1:5" ht="17.25" customHeight="1">
      <c r="A35" s="108" t="s">
        <v>163</v>
      </c>
      <c r="B35" s="194">
        <v>100</v>
      </c>
      <c r="C35" s="194">
        <v>0</v>
      </c>
      <c r="D35" s="153">
        <f t="shared" si="0"/>
        <v>0</v>
      </c>
      <c r="E35" s="154">
        <f t="shared" si="1"/>
        <v>-100</v>
      </c>
    </row>
    <row r="36" spans="1:5" ht="27" customHeight="1">
      <c r="A36" s="108" t="s">
        <v>164</v>
      </c>
      <c r="B36" s="194">
        <v>0</v>
      </c>
      <c r="C36" s="194">
        <v>0</v>
      </c>
      <c r="D36" s="153" t="str">
        <f>IF(B36=0,"   ",C36/B36*100)</f>
        <v>   </v>
      </c>
      <c r="E36" s="154">
        <f>C36-B36</f>
        <v>0</v>
      </c>
    </row>
    <row r="37" spans="1:5" ht="54.75" customHeight="1">
      <c r="A37" s="16" t="s">
        <v>235</v>
      </c>
      <c r="B37" s="194">
        <v>978300</v>
      </c>
      <c r="C37" s="194">
        <v>0</v>
      </c>
      <c r="D37" s="153">
        <f>IF(B37=0,"   ",C37/B37*100)</f>
        <v>0</v>
      </c>
      <c r="E37" s="154">
        <f>C37-B37</f>
        <v>-978300</v>
      </c>
    </row>
    <row r="38" spans="1:5" ht="17.25" customHeight="1">
      <c r="A38" s="155" t="s">
        <v>55</v>
      </c>
      <c r="B38" s="194">
        <f>B39+B42+B41+B40</f>
        <v>757000</v>
      </c>
      <c r="C38" s="194">
        <f>C39+C42+C41+C40</f>
        <v>0</v>
      </c>
      <c r="D38" s="153">
        <f t="shared" si="0"/>
        <v>0</v>
      </c>
      <c r="E38" s="154">
        <f t="shared" si="1"/>
        <v>-757000</v>
      </c>
    </row>
    <row r="39" spans="1:5" s="7" customFormat="1" ht="14.25" customHeight="1">
      <c r="A39" s="46" t="s">
        <v>109</v>
      </c>
      <c r="B39" s="194">
        <v>664700</v>
      </c>
      <c r="C39" s="194">
        <v>0</v>
      </c>
      <c r="D39" s="47">
        <f t="shared" si="0"/>
        <v>0</v>
      </c>
      <c r="E39" s="174">
        <f t="shared" si="1"/>
        <v>-664700</v>
      </c>
    </row>
    <row r="40" spans="1:5" s="7" customFormat="1" ht="14.25" customHeight="1">
      <c r="A40" s="46" t="s">
        <v>333</v>
      </c>
      <c r="B40" s="194">
        <v>92300</v>
      </c>
      <c r="C40" s="194">
        <v>0</v>
      </c>
      <c r="D40" s="47">
        <f t="shared" si="0"/>
        <v>0</v>
      </c>
      <c r="E40" s="174">
        <f t="shared" si="1"/>
        <v>-92300</v>
      </c>
    </row>
    <row r="41" spans="1:5" s="7" customFormat="1" ht="14.25" customHeight="1">
      <c r="A41" s="46" t="s">
        <v>284</v>
      </c>
      <c r="B41" s="194">
        <v>0</v>
      </c>
      <c r="C41" s="194">
        <v>0</v>
      </c>
      <c r="D41" s="47" t="str">
        <f t="shared" si="0"/>
        <v>   </v>
      </c>
      <c r="E41" s="174">
        <f t="shared" si="1"/>
        <v>0</v>
      </c>
    </row>
    <row r="42" spans="1:5" s="7" customFormat="1" ht="14.25" customHeight="1">
      <c r="A42" s="46" t="s">
        <v>187</v>
      </c>
      <c r="B42" s="194">
        <v>0</v>
      </c>
      <c r="C42" s="194">
        <v>0</v>
      </c>
      <c r="D42" s="47" t="str">
        <f t="shared" si="0"/>
        <v>   </v>
      </c>
      <c r="E42" s="174">
        <f t="shared" si="1"/>
        <v>0</v>
      </c>
    </row>
    <row r="43" spans="1:5" ht="39" customHeight="1">
      <c r="A43" s="155" t="s">
        <v>103</v>
      </c>
      <c r="B43" s="194">
        <v>0</v>
      </c>
      <c r="C43" s="230">
        <v>0</v>
      </c>
      <c r="D43" s="153" t="str">
        <f t="shared" si="0"/>
        <v>   </v>
      </c>
      <c r="E43" s="154">
        <f t="shared" si="1"/>
        <v>0</v>
      </c>
    </row>
    <row r="44" spans="1:5" ht="29.25" customHeight="1">
      <c r="A44" s="16" t="s">
        <v>300</v>
      </c>
      <c r="B44" s="194">
        <v>0</v>
      </c>
      <c r="C44" s="230">
        <v>0</v>
      </c>
      <c r="D44" s="153" t="str">
        <f t="shared" si="0"/>
        <v>   </v>
      </c>
      <c r="E44" s="154">
        <f t="shared" si="1"/>
        <v>0</v>
      </c>
    </row>
    <row r="45" spans="1:5" ht="15.75" customHeight="1">
      <c r="A45" s="16" t="s">
        <v>197</v>
      </c>
      <c r="B45" s="194">
        <v>0</v>
      </c>
      <c r="C45" s="194">
        <v>0</v>
      </c>
      <c r="D45" s="153" t="str">
        <f t="shared" si="0"/>
        <v>   </v>
      </c>
      <c r="E45" s="154">
        <f t="shared" si="1"/>
        <v>0</v>
      </c>
    </row>
    <row r="46" spans="1:5" ht="27" customHeight="1">
      <c r="A46" s="156" t="s">
        <v>11</v>
      </c>
      <c r="B46" s="149">
        <f>SUM(B29,B30,)</f>
        <v>7880100</v>
      </c>
      <c r="C46" s="149">
        <f>SUM(C29,C30,)</f>
        <v>475520.29</v>
      </c>
      <c r="D46" s="140">
        <f t="shared" si="0"/>
        <v>6.034444867450921</v>
      </c>
      <c r="E46" s="141">
        <f t="shared" si="1"/>
        <v>-7404579.71</v>
      </c>
    </row>
    <row r="47" spans="1:5" ht="20.25" customHeight="1">
      <c r="A47" s="30"/>
      <c r="B47" s="159"/>
      <c r="C47" s="151"/>
      <c r="D47" s="153" t="str">
        <f t="shared" si="0"/>
        <v>   </v>
      </c>
      <c r="E47" s="154">
        <f t="shared" si="1"/>
        <v>0</v>
      </c>
    </row>
    <row r="48" spans="1:5" ht="12.75">
      <c r="A48" s="160" t="s">
        <v>12</v>
      </c>
      <c r="B48" s="149"/>
      <c r="C48" s="161"/>
      <c r="D48" s="153" t="str">
        <f t="shared" si="0"/>
        <v>   </v>
      </c>
      <c r="E48" s="154">
        <f t="shared" si="1"/>
        <v>0</v>
      </c>
    </row>
    <row r="49" spans="1:5" ht="19.5" customHeight="1">
      <c r="A49" s="155" t="s">
        <v>35</v>
      </c>
      <c r="B49" s="151">
        <f>SUM(B50,B53,B54)</f>
        <v>1514000</v>
      </c>
      <c r="C49" s="151">
        <f>SUM(C50,C53,C54)</f>
        <v>26000</v>
      </c>
      <c r="D49" s="153">
        <f t="shared" si="0"/>
        <v>1.7173051519154559</v>
      </c>
      <c r="E49" s="154">
        <f t="shared" si="1"/>
        <v>-1488000</v>
      </c>
    </row>
    <row r="50" spans="1:5" ht="13.5" customHeight="1">
      <c r="A50" s="155" t="s">
        <v>36</v>
      </c>
      <c r="B50" s="151">
        <v>1353500</v>
      </c>
      <c r="C50" s="151">
        <v>26000</v>
      </c>
      <c r="D50" s="153">
        <f t="shared" si="0"/>
        <v>1.9209456963428149</v>
      </c>
      <c r="E50" s="154">
        <f t="shared" si="1"/>
        <v>-1327500</v>
      </c>
    </row>
    <row r="51" spans="1:5" ht="12.75">
      <c r="A51" s="155" t="s">
        <v>121</v>
      </c>
      <c r="B51" s="151">
        <v>889017</v>
      </c>
      <c r="C51" s="161">
        <v>18500</v>
      </c>
      <c r="D51" s="153">
        <f t="shared" si="0"/>
        <v>2.0809500830692778</v>
      </c>
      <c r="E51" s="154">
        <f t="shared" si="1"/>
        <v>-870517</v>
      </c>
    </row>
    <row r="52" spans="1:5" ht="12.75">
      <c r="A52" s="85" t="s">
        <v>276</v>
      </c>
      <c r="B52" s="151">
        <v>100</v>
      </c>
      <c r="C52" s="161">
        <v>0</v>
      </c>
      <c r="D52" s="153">
        <f>IF(B52=0,"   ",C52/B52*100)</f>
        <v>0</v>
      </c>
      <c r="E52" s="154">
        <f>C52-B52</f>
        <v>-100</v>
      </c>
    </row>
    <row r="53" spans="1:5" ht="12.75">
      <c r="A53" s="155" t="s">
        <v>95</v>
      </c>
      <c r="B53" s="151">
        <v>500</v>
      </c>
      <c r="C53" s="152">
        <v>0</v>
      </c>
      <c r="D53" s="153">
        <f t="shared" si="0"/>
        <v>0</v>
      </c>
      <c r="E53" s="154">
        <f t="shared" si="1"/>
        <v>-500</v>
      </c>
    </row>
    <row r="54" spans="1:5" ht="12.75">
      <c r="A54" s="41" t="s">
        <v>52</v>
      </c>
      <c r="B54" s="152">
        <f>SUM(B55+B56)</f>
        <v>160000</v>
      </c>
      <c r="C54" s="152">
        <f>SUM(C55+C56)</f>
        <v>0</v>
      </c>
      <c r="D54" s="153">
        <f>IF(B54=0,"   ",C54/B54*100)</f>
        <v>0</v>
      </c>
      <c r="E54" s="154">
        <f>C54-B54</f>
        <v>-160000</v>
      </c>
    </row>
    <row r="55" spans="1:5" ht="26.25">
      <c r="A55" s="104" t="s">
        <v>243</v>
      </c>
      <c r="B55" s="151">
        <v>10000</v>
      </c>
      <c r="C55" s="152">
        <v>0</v>
      </c>
      <c r="D55" s="153">
        <f>IF(B55=0,"   ",C55/B55*100)</f>
        <v>0</v>
      </c>
      <c r="E55" s="154">
        <f>C55-B55</f>
        <v>-10000</v>
      </c>
    </row>
    <row r="56" spans="1:5" ht="12.75">
      <c r="A56" s="104" t="s">
        <v>253</v>
      </c>
      <c r="B56" s="151">
        <v>150000</v>
      </c>
      <c r="C56" s="152">
        <v>0</v>
      </c>
      <c r="D56" s="153">
        <f>IF(B56=0,"   ",C56/B56*100)</f>
        <v>0</v>
      </c>
      <c r="E56" s="154">
        <f>C56-B56</f>
        <v>-150000</v>
      </c>
    </row>
    <row r="57" spans="1:5" ht="18.75" customHeight="1">
      <c r="A57" s="155" t="s">
        <v>49</v>
      </c>
      <c r="B57" s="152">
        <f>SUM(B58)</f>
        <v>103400</v>
      </c>
      <c r="C57" s="152">
        <f>SUM(C58)</f>
        <v>2000</v>
      </c>
      <c r="D57" s="153">
        <f t="shared" si="0"/>
        <v>1.9342359767891684</v>
      </c>
      <c r="E57" s="154">
        <f t="shared" si="1"/>
        <v>-101400</v>
      </c>
    </row>
    <row r="58" spans="1:5" ht="13.5" customHeight="1">
      <c r="A58" s="46" t="s">
        <v>107</v>
      </c>
      <c r="B58" s="151">
        <v>103400</v>
      </c>
      <c r="C58" s="152">
        <v>2000</v>
      </c>
      <c r="D58" s="153">
        <f t="shared" si="0"/>
        <v>1.9342359767891684</v>
      </c>
      <c r="E58" s="154">
        <f t="shared" si="1"/>
        <v>-101400</v>
      </c>
    </row>
    <row r="59" spans="1:5" ht="17.25" customHeight="1">
      <c r="A59" s="155" t="s">
        <v>37</v>
      </c>
      <c r="B59" s="151">
        <f>SUM(B60)</f>
        <v>1000</v>
      </c>
      <c r="C59" s="151">
        <f>SUM(C60)</f>
        <v>0</v>
      </c>
      <c r="D59" s="153">
        <f t="shared" si="0"/>
        <v>0</v>
      </c>
      <c r="E59" s="154">
        <f t="shared" si="1"/>
        <v>-1000</v>
      </c>
    </row>
    <row r="60" spans="1:5" ht="15" customHeight="1">
      <c r="A60" s="75" t="s">
        <v>128</v>
      </c>
      <c r="B60" s="151">
        <v>1000</v>
      </c>
      <c r="C60" s="152">
        <v>0</v>
      </c>
      <c r="D60" s="153">
        <f t="shared" si="0"/>
        <v>0</v>
      </c>
      <c r="E60" s="154">
        <f t="shared" si="1"/>
        <v>-1000</v>
      </c>
    </row>
    <row r="61" spans="1:5" ht="15.75" customHeight="1">
      <c r="A61" s="155" t="s">
        <v>38</v>
      </c>
      <c r="B61" s="151">
        <f>B67+B62+B75</f>
        <v>2924300</v>
      </c>
      <c r="C61" s="151">
        <f>C67+C62+C75</f>
        <v>0</v>
      </c>
      <c r="D61" s="153">
        <f t="shared" si="0"/>
        <v>0</v>
      </c>
      <c r="E61" s="154">
        <f t="shared" si="1"/>
        <v>-2924300</v>
      </c>
    </row>
    <row r="62" spans="1:5" ht="15.75" customHeight="1">
      <c r="A62" s="75" t="s">
        <v>165</v>
      </c>
      <c r="B62" s="25">
        <f>SUM(B63:B66)</f>
        <v>98200</v>
      </c>
      <c r="C62" s="25">
        <f>SUM(C63:C66)</f>
        <v>0</v>
      </c>
      <c r="D62" s="153">
        <f>IF(B62=0,"   ",C62/B62*100)</f>
        <v>0</v>
      </c>
      <c r="E62" s="154">
        <f>C62-B62</f>
        <v>-98200</v>
      </c>
    </row>
    <row r="63" spans="1:5" ht="15.75" customHeight="1">
      <c r="A63" s="75" t="s">
        <v>166</v>
      </c>
      <c r="B63" s="25">
        <v>0</v>
      </c>
      <c r="C63" s="151">
        <v>0</v>
      </c>
      <c r="D63" s="153" t="str">
        <f>IF(B63=0,"   ",C63/B63*100)</f>
        <v>   </v>
      </c>
      <c r="E63" s="154">
        <f>C63-B63</f>
        <v>0</v>
      </c>
    </row>
    <row r="64" spans="1:5" ht="15.75" customHeight="1">
      <c r="A64" s="75" t="s">
        <v>188</v>
      </c>
      <c r="B64" s="25">
        <v>0</v>
      </c>
      <c r="C64" s="151">
        <v>0</v>
      </c>
      <c r="D64" s="153" t="str">
        <f>IF(B64=0,"   ",C64/B64*100)</f>
        <v>   </v>
      </c>
      <c r="E64" s="154">
        <f>C64-B64</f>
        <v>0</v>
      </c>
    </row>
    <row r="65" spans="1:5" ht="15.75" customHeight="1">
      <c r="A65" s="75" t="s">
        <v>334</v>
      </c>
      <c r="B65" s="25">
        <v>92300</v>
      </c>
      <c r="C65" s="151">
        <v>0</v>
      </c>
      <c r="D65" s="153">
        <f>IF(B65=0,"   ",C65/B65*100)</f>
        <v>0</v>
      </c>
      <c r="E65" s="154">
        <f>C65-B65</f>
        <v>-92300</v>
      </c>
    </row>
    <row r="66" spans="1:5" ht="15.75" customHeight="1">
      <c r="A66" s="75" t="s">
        <v>335</v>
      </c>
      <c r="B66" s="25">
        <v>5900</v>
      </c>
      <c r="C66" s="151">
        <v>0</v>
      </c>
      <c r="D66" s="153">
        <f>IF(B66=0,"   ",C66/B66*100)</f>
        <v>0</v>
      </c>
      <c r="E66" s="154">
        <f>C66-B66</f>
        <v>-5900</v>
      </c>
    </row>
    <row r="67" spans="1:5" ht="12.75">
      <c r="A67" s="162" t="s">
        <v>131</v>
      </c>
      <c r="B67" s="151">
        <f>SUM(B68:B74)</f>
        <v>2746100</v>
      </c>
      <c r="C67" s="151">
        <f>SUM(C68:C74)</f>
        <v>0</v>
      </c>
      <c r="D67" s="153">
        <f t="shared" si="0"/>
        <v>0</v>
      </c>
      <c r="E67" s="154">
        <f t="shared" si="1"/>
        <v>-2746100</v>
      </c>
    </row>
    <row r="68" spans="1:5" ht="21.75" customHeight="1">
      <c r="A68" s="75" t="s">
        <v>149</v>
      </c>
      <c r="B68" s="151">
        <v>100000</v>
      </c>
      <c r="C68" s="151">
        <v>0</v>
      </c>
      <c r="D68" s="153">
        <f t="shared" si="0"/>
        <v>0</v>
      </c>
      <c r="E68" s="154">
        <f t="shared" si="1"/>
        <v>-100000</v>
      </c>
    </row>
    <row r="69" spans="1:5" ht="30.75" customHeight="1">
      <c r="A69" s="71" t="s">
        <v>246</v>
      </c>
      <c r="B69" s="151">
        <v>439100</v>
      </c>
      <c r="C69" s="151">
        <v>0</v>
      </c>
      <c r="D69" s="153">
        <f t="shared" si="0"/>
        <v>0</v>
      </c>
      <c r="E69" s="154">
        <f t="shared" si="1"/>
        <v>-439100</v>
      </c>
    </row>
    <row r="70" spans="1:5" ht="30" customHeight="1">
      <c r="A70" s="71" t="s">
        <v>247</v>
      </c>
      <c r="B70" s="151">
        <v>381400</v>
      </c>
      <c r="C70" s="151">
        <v>0</v>
      </c>
      <c r="D70" s="153">
        <f t="shared" si="0"/>
        <v>0</v>
      </c>
      <c r="E70" s="154">
        <f t="shared" si="1"/>
        <v>-381400</v>
      </c>
    </row>
    <row r="71" spans="1:5" ht="26.25" customHeight="1">
      <c r="A71" s="71" t="s">
        <v>248</v>
      </c>
      <c r="B71" s="151">
        <v>978300</v>
      </c>
      <c r="C71" s="151">
        <v>0</v>
      </c>
      <c r="D71" s="153">
        <f t="shared" si="0"/>
        <v>0</v>
      </c>
      <c r="E71" s="154">
        <f t="shared" si="1"/>
        <v>-978300</v>
      </c>
    </row>
    <row r="72" spans="1:5" ht="27" customHeight="1">
      <c r="A72" s="71" t="s">
        <v>249</v>
      </c>
      <c r="B72" s="151">
        <v>108700</v>
      </c>
      <c r="C72" s="151">
        <v>0</v>
      </c>
      <c r="D72" s="153">
        <f t="shared" si="0"/>
        <v>0</v>
      </c>
      <c r="E72" s="154">
        <f t="shared" si="1"/>
        <v>-108700</v>
      </c>
    </row>
    <row r="73" spans="1:5" ht="24" customHeight="1">
      <c r="A73" s="71" t="s">
        <v>250</v>
      </c>
      <c r="B73" s="151">
        <v>664700</v>
      </c>
      <c r="C73" s="151">
        <v>0</v>
      </c>
      <c r="D73" s="153">
        <f>IF(B73=0,"   ",C73/B73*100)</f>
        <v>0</v>
      </c>
      <c r="E73" s="154">
        <f>C73-B73</f>
        <v>-664700</v>
      </c>
    </row>
    <row r="74" spans="1:5" ht="31.5" customHeight="1">
      <c r="A74" s="71" t="s">
        <v>251</v>
      </c>
      <c r="B74" s="151">
        <v>73900</v>
      </c>
      <c r="C74" s="151">
        <v>0</v>
      </c>
      <c r="D74" s="153">
        <f t="shared" si="0"/>
        <v>0</v>
      </c>
      <c r="E74" s="154">
        <f t="shared" si="1"/>
        <v>-73900</v>
      </c>
    </row>
    <row r="75" spans="1:5" ht="23.25" customHeight="1">
      <c r="A75" s="95" t="s">
        <v>176</v>
      </c>
      <c r="B75" s="151">
        <f>SUM(B77+B76)</f>
        <v>80000</v>
      </c>
      <c r="C75" s="151">
        <f>SUM(C77+C76)</f>
        <v>0</v>
      </c>
      <c r="D75" s="153">
        <f>IF(B75=0,"   ",C75/B75*100)</f>
        <v>0</v>
      </c>
      <c r="E75" s="154">
        <f>C75-B75</f>
        <v>-80000</v>
      </c>
    </row>
    <row r="76" spans="1:5" ht="23.25" customHeight="1">
      <c r="A76" s="104" t="s">
        <v>155</v>
      </c>
      <c r="B76" s="151">
        <v>30000</v>
      </c>
      <c r="C76" s="151">
        <v>0</v>
      </c>
      <c r="D76" s="153">
        <f>IF(B76=0,"   ",C76/B76*100)</f>
        <v>0</v>
      </c>
      <c r="E76" s="154">
        <f>C76-B76</f>
        <v>-30000</v>
      </c>
    </row>
    <row r="77" spans="1:5" ht="23.25" customHeight="1">
      <c r="A77" s="75" t="s">
        <v>177</v>
      </c>
      <c r="B77" s="151">
        <v>50000</v>
      </c>
      <c r="C77" s="151">
        <v>0</v>
      </c>
      <c r="D77" s="153">
        <f>IF(B77=0,"   ",C77/B77*100)</f>
        <v>0</v>
      </c>
      <c r="E77" s="154">
        <f>C77-B77</f>
        <v>-50000</v>
      </c>
    </row>
    <row r="78" spans="1:5" ht="17.25" customHeight="1">
      <c r="A78" s="155" t="s">
        <v>13</v>
      </c>
      <c r="B78" s="151">
        <f>SUM(B86,B79)</f>
        <v>793400</v>
      </c>
      <c r="C78" s="151">
        <f>C79+C86</f>
        <v>20393.07</v>
      </c>
      <c r="D78" s="153">
        <f t="shared" si="0"/>
        <v>2.570339047138896</v>
      </c>
      <c r="E78" s="154">
        <f t="shared" si="1"/>
        <v>-773006.93</v>
      </c>
    </row>
    <row r="79" spans="1:5" ht="15.75" customHeight="1">
      <c r="A79" s="155" t="s">
        <v>90</v>
      </c>
      <c r="B79" s="151">
        <f>SUM(B80+B81)</f>
        <v>0</v>
      </c>
      <c r="C79" s="151">
        <f>SUM(C80+C81)</f>
        <v>0</v>
      </c>
      <c r="D79" s="153" t="str">
        <f t="shared" si="0"/>
        <v>   </v>
      </c>
      <c r="E79" s="154">
        <f t="shared" si="1"/>
        <v>0</v>
      </c>
    </row>
    <row r="80" spans="1:5" ht="15.75" customHeight="1">
      <c r="A80" s="16" t="s">
        <v>289</v>
      </c>
      <c r="B80" s="151">
        <v>0</v>
      </c>
      <c r="C80" s="151">
        <v>0</v>
      </c>
      <c r="D80" s="153" t="str">
        <f>IF(B80=0,"   ",C80/B80*100)</f>
        <v>   </v>
      </c>
      <c r="E80" s="154">
        <f>C80-B80</f>
        <v>0</v>
      </c>
    </row>
    <row r="81" spans="1:5" ht="15.75" customHeight="1">
      <c r="A81" s="16" t="s">
        <v>298</v>
      </c>
      <c r="B81" s="151">
        <v>0</v>
      </c>
      <c r="C81" s="151">
        <v>0</v>
      </c>
      <c r="D81" s="153" t="str">
        <f>IF(B81=0,"   ",C81/B81*100)</f>
        <v>   </v>
      </c>
      <c r="E81" s="154">
        <f>C81-B81</f>
        <v>0</v>
      </c>
    </row>
    <row r="82" spans="1:5" ht="15.75" customHeight="1">
      <c r="A82" s="104" t="s">
        <v>204</v>
      </c>
      <c r="B82" s="151">
        <f>B84+B83+B85</f>
        <v>0</v>
      </c>
      <c r="C82" s="151">
        <f>C84+C83+C85</f>
        <v>0</v>
      </c>
      <c r="D82" s="153" t="str">
        <f>IF(B82=0,"   ",C82/B82*100)</f>
        <v>   </v>
      </c>
      <c r="E82" s="154">
        <f>C82-B82</f>
        <v>0</v>
      </c>
    </row>
    <row r="83" spans="1:5" ht="27.75" customHeight="1">
      <c r="A83" s="104" t="s">
        <v>186</v>
      </c>
      <c r="B83" s="151">
        <v>0</v>
      </c>
      <c r="C83" s="151">
        <v>0</v>
      </c>
      <c r="D83" s="153" t="str">
        <f t="shared" si="0"/>
        <v>   </v>
      </c>
      <c r="E83" s="154">
        <f t="shared" si="1"/>
        <v>0</v>
      </c>
    </row>
    <row r="84" spans="1:5" ht="27.75" customHeight="1">
      <c r="A84" s="104" t="s">
        <v>198</v>
      </c>
      <c r="B84" s="151">
        <v>0</v>
      </c>
      <c r="C84" s="151">
        <v>0</v>
      </c>
      <c r="D84" s="153" t="str">
        <f t="shared" si="0"/>
        <v>   </v>
      </c>
      <c r="E84" s="154">
        <f t="shared" si="1"/>
        <v>0</v>
      </c>
    </row>
    <row r="85" spans="1:5" ht="27.75" customHeight="1">
      <c r="A85" s="104" t="s">
        <v>210</v>
      </c>
      <c r="B85" s="151">
        <v>0</v>
      </c>
      <c r="C85" s="151">
        <v>0</v>
      </c>
      <c r="D85" s="153" t="str">
        <f t="shared" si="0"/>
        <v>   </v>
      </c>
      <c r="E85" s="154">
        <f t="shared" si="1"/>
        <v>0</v>
      </c>
    </row>
    <row r="86" spans="1:5" ht="12.75">
      <c r="A86" s="155" t="s">
        <v>58</v>
      </c>
      <c r="B86" s="151">
        <f>B87+B88+B89+B90+B94</f>
        <v>793400</v>
      </c>
      <c r="C86" s="151">
        <f>C87+C88+C89+C90+C94</f>
        <v>20393.07</v>
      </c>
      <c r="D86" s="153">
        <f t="shared" si="0"/>
        <v>2.570339047138896</v>
      </c>
      <c r="E86" s="154">
        <f t="shared" si="1"/>
        <v>-773006.93</v>
      </c>
    </row>
    <row r="87" spans="1:5" ht="12.75">
      <c r="A87" s="155" t="s">
        <v>56</v>
      </c>
      <c r="B87" s="151">
        <v>382800</v>
      </c>
      <c r="C87" s="151">
        <v>20393.07</v>
      </c>
      <c r="D87" s="153">
        <f t="shared" si="0"/>
        <v>5.327343260188087</v>
      </c>
      <c r="E87" s="154">
        <f t="shared" si="1"/>
        <v>-362406.93</v>
      </c>
    </row>
    <row r="88" spans="1:5" ht="12.75">
      <c r="A88" s="155" t="s">
        <v>59</v>
      </c>
      <c r="B88" s="151">
        <v>410600</v>
      </c>
      <c r="C88" s="152">
        <v>0</v>
      </c>
      <c r="D88" s="153">
        <f t="shared" si="0"/>
        <v>0</v>
      </c>
      <c r="E88" s="154">
        <f t="shared" si="1"/>
        <v>-410600</v>
      </c>
    </row>
    <row r="89" spans="1:5" ht="26.25">
      <c r="A89" s="104" t="s">
        <v>167</v>
      </c>
      <c r="B89" s="151">
        <v>0</v>
      </c>
      <c r="C89" s="152">
        <v>0</v>
      </c>
      <c r="D89" s="153" t="str">
        <f>IF(B89=0,"   ",C89/B89*100)</f>
        <v>   </v>
      </c>
      <c r="E89" s="154">
        <f>C89-B89</f>
        <v>0</v>
      </c>
    </row>
    <row r="90" spans="1:5" ht="12.75">
      <c r="A90" s="104" t="s">
        <v>204</v>
      </c>
      <c r="B90" s="151">
        <f>B92+B91+B93</f>
        <v>0</v>
      </c>
      <c r="C90" s="151">
        <f>C92+C91+C93</f>
        <v>0</v>
      </c>
      <c r="D90" s="153" t="str">
        <f>IF(B90=0,"   ",C90/B90*100)</f>
        <v>   </v>
      </c>
      <c r="E90" s="154">
        <f>C90-B90</f>
        <v>0</v>
      </c>
    </row>
    <row r="91" spans="1:5" ht="26.25">
      <c r="A91" s="104" t="s">
        <v>186</v>
      </c>
      <c r="B91" s="151">
        <v>0</v>
      </c>
      <c r="C91" s="152">
        <v>0</v>
      </c>
      <c r="D91" s="153" t="str">
        <f>IF(B91=0,"   ",C91/B91*100)</f>
        <v>   </v>
      </c>
      <c r="E91" s="154">
        <f>C91-B91</f>
        <v>0</v>
      </c>
    </row>
    <row r="92" spans="1:5" ht="26.25">
      <c r="A92" s="104" t="s">
        <v>198</v>
      </c>
      <c r="B92" s="151">
        <v>0</v>
      </c>
      <c r="C92" s="152">
        <v>0</v>
      </c>
      <c r="D92" s="153" t="str">
        <f>IF(B92=0,"   ",C92/B92*100)</f>
        <v>   </v>
      </c>
      <c r="E92" s="154">
        <f>C92-B92</f>
        <v>0</v>
      </c>
    </row>
    <row r="93" spans="1:5" ht="26.25">
      <c r="A93" s="104" t="s">
        <v>210</v>
      </c>
      <c r="B93" s="151">
        <v>0</v>
      </c>
      <c r="C93" s="152">
        <v>0</v>
      </c>
      <c r="D93" s="153" t="str">
        <f>IF(B93=0,"   ",C93/B93*100)</f>
        <v>   </v>
      </c>
      <c r="E93" s="154">
        <f>C93-B93</f>
        <v>0</v>
      </c>
    </row>
    <row r="94" spans="1:5" ht="21.75" customHeight="1">
      <c r="A94" s="104" t="s">
        <v>290</v>
      </c>
      <c r="B94" s="151">
        <v>0</v>
      </c>
      <c r="C94" s="152">
        <v>0</v>
      </c>
      <c r="D94" s="153" t="str">
        <f t="shared" si="0"/>
        <v>   </v>
      </c>
      <c r="E94" s="154">
        <f t="shared" si="1"/>
        <v>0</v>
      </c>
    </row>
    <row r="95" spans="1:5" ht="12.75" customHeight="1">
      <c r="A95" s="163" t="s">
        <v>17</v>
      </c>
      <c r="B95" s="164">
        <v>0</v>
      </c>
      <c r="C95" s="164">
        <v>0</v>
      </c>
      <c r="D95" s="165" t="str">
        <f t="shared" si="0"/>
        <v>   </v>
      </c>
      <c r="E95" s="166">
        <f t="shared" si="1"/>
        <v>0</v>
      </c>
    </row>
    <row r="96" spans="1:5" ht="19.5" customHeight="1">
      <c r="A96" s="167" t="s">
        <v>41</v>
      </c>
      <c r="B96" s="168">
        <f>B97</f>
        <v>2524000</v>
      </c>
      <c r="C96" s="168">
        <f>C97</f>
        <v>18400</v>
      </c>
      <c r="D96" s="165">
        <f t="shared" si="0"/>
        <v>0.7290015847860539</v>
      </c>
      <c r="E96" s="166">
        <f t="shared" si="1"/>
        <v>-2505600</v>
      </c>
    </row>
    <row r="97" spans="1:5" ht="15" customHeight="1">
      <c r="A97" s="167" t="s">
        <v>42</v>
      </c>
      <c r="B97" s="164">
        <v>2524000</v>
      </c>
      <c r="C97" s="169">
        <v>18400</v>
      </c>
      <c r="D97" s="165">
        <f t="shared" si="0"/>
        <v>0.7290015847860539</v>
      </c>
      <c r="E97" s="166">
        <f t="shared" si="1"/>
        <v>-2505600</v>
      </c>
    </row>
    <row r="98" spans="1:5" ht="14.25" customHeight="1">
      <c r="A98" s="167" t="s">
        <v>124</v>
      </c>
      <c r="B98" s="164">
        <f>SUM(B99,)</f>
        <v>20000</v>
      </c>
      <c r="C98" s="164">
        <f>SUM(C99,)</f>
        <v>0</v>
      </c>
      <c r="D98" s="165">
        <f t="shared" si="0"/>
        <v>0</v>
      </c>
      <c r="E98" s="166">
        <f t="shared" si="1"/>
        <v>-20000</v>
      </c>
    </row>
    <row r="99" spans="1:5" ht="12.75">
      <c r="A99" s="167" t="s">
        <v>43</v>
      </c>
      <c r="B99" s="164">
        <v>20000</v>
      </c>
      <c r="C99" s="170">
        <v>0</v>
      </c>
      <c r="D99" s="165">
        <f t="shared" si="0"/>
        <v>0</v>
      </c>
      <c r="E99" s="166">
        <f t="shared" si="1"/>
        <v>-20000</v>
      </c>
    </row>
    <row r="100" spans="1:5" ht="27.75" customHeight="1">
      <c r="A100" s="156" t="s">
        <v>15</v>
      </c>
      <c r="B100" s="149">
        <f>SUM(B49,B57,B59,B61,B78,B95,B96,B98,)</f>
        <v>7880100</v>
      </c>
      <c r="C100" s="149">
        <f>SUM(C49,C57,C59,C61,C78,C95,C96,C98,)</f>
        <v>66793.07</v>
      </c>
      <c r="D100" s="140">
        <f>IF(B100=0,"   ",C100/B100*100)</f>
        <v>0.8476170353168108</v>
      </c>
      <c r="E100" s="141">
        <f t="shared" si="1"/>
        <v>-7813306.93</v>
      </c>
    </row>
    <row r="101" spans="1:5" s="59" customFormat="1" ht="31.5" customHeight="1">
      <c r="A101" s="80" t="s">
        <v>309</v>
      </c>
      <c r="B101" s="80"/>
      <c r="C101" s="337"/>
      <c r="D101" s="337"/>
      <c r="E101" s="337"/>
    </row>
    <row r="102" spans="1:5" s="59" customFormat="1" ht="12" customHeight="1">
      <c r="A102" s="80" t="s">
        <v>154</v>
      </c>
      <c r="B102" s="80"/>
      <c r="C102" s="81" t="s">
        <v>310</v>
      </c>
      <c r="D102" s="82"/>
      <c r="E102" s="83"/>
    </row>
    <row r="103" spans="1:5" ht="12.75">
      <c r="A103" s="175"/>
      <c r="B103" s="175"/>
      <c r="C103" s="176"/>
      <c r="D103" s="175"/>
      <c r="E103" s="177"/>
    </row>
    <row r="104" spans="1:5" ht="12.75">
      <c r="A104" s="175"/>
      <c r="B104" s="175"/>
      <c r="C104" s="176"/>
      <c r="D104" s="175"/>
      <c r="E104" s="177"/>
    </row>
    <row r="105" spans="1:5" ht="12.75">
      <c r="A105" s="178"/>
      <c r="B105" s="178"/>
      <c r="C105" s="178"/>
      <c r="D105" s="178"/>
      <c r="E105" s="178"/>
    </row>
    <row r="106" spans="1:5" ht="12.75">
      <c r="A106" s="178"/>
      <c r="B106" s="178"/>
      <c r="C106" s="178"/>
      <c r="D106" s="178"/>
      <c r="E106" s="178"/>
    </row>
    <row r="107" spans="1:5" ht="12.75">
      <c r="A107" s="178"/>
      <c r="B107" s="178"/>
      <c r="C107" s="178"/>
      <c r="D107" s="178"/>
      <c r="E107" s="178"/>
    </row>
    <row r="108" spans="1:5" ht="12.75">
      <c r="A108" s="178"/>
      <c r="B108" s="178"/>
      <c r="C108" s="178"/>
      <c r="D108" s="178"/>
      <c r="E108" s="178"/>
    </row>
    <row r="109" spans="1:5" ht="12.75">
      <c r="A109" s="178"/>
      <c r="B109" s="178"/>
      <c r="C109" s="178"/>
      <c r="D109" s="178"/>
      <c r="E109" s="178"/>
    </row>
    <row r="110" spans="1:5" ht="12.75">
      <c r="A110" s="178"/>
      <c r="B110" s="178"/>
      <c r="C110" s="178"/>
      <c r="D110" s="178"/>
      <c r="E110" s="178"/>
    </row>
  </sheetData>
  <sheetProtection/>
  <mergeCells count="2">
    <mergeCell ref="A1:E1"/>
    <mergeCell ref="C101:E101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28">
      <selection activeCell="C48" sqref="C48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339" t="s">
        <v>324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317</v>
      </c>
      <c r="C4" s="32" t="s">
        <v>312</v>
      </c>
      <c r="D4" s="19" t="s">
        <v>318</v>
      </c>
      <c r="E4" s="36" t="s">
        <v>319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48">
        <f>SUM(B8)</f>
        <v>56400</v>
      </c>
      <c r="C7" s="148">
        <f>C8</f>
        <v>15879.01</v>
      </c>
      <c r="D7" s="138">
        <f aca="true" t="shared" si="0" ref="D7:D105">IF(B7=0,"   ",C7/B7*100)</f>
        <v>28.15427304964539</v>
      </c>
      <c r="E7" s="139">
        <f aca="true" t="shared" si="1" ref="E7:E106">C7-B7</f>
        <v>-40520.99</v>
      </c>
    </row>
    <row r="8" spans="1:5" ht="12.75">
      <c r="A8" s="16" t="s">
        <v>44</v>
      </c>
      <c r="B8" s="84">
        <v>56400</v>
      </c>
      <c r="C8" s="230">
        <v>15879.01</v>
      </c>
      <c r="D8" s="138">
        <f t="shared" si="0"/>
        <v>28.15427304964539</v>
      </c>
      <c r="E8" s="139">
        <f t="shared" si="1"/>
        <v>-40520.99</v>
      </c>
    </row>
    <row r="9" spans="1:5" ht="12.75">
      <c r="A9" s="64" t="s">
        <v>137</v>
      </c>
      <c r="B9" s="193">
        <f>SUM(B10)</f>
        <v>509900</v>
      </c>
      <c r="C9" s="193">
        <f>SUM(C10)</f>
        <v>40921.75</v>
      </c>
      <c r="D9" s="138">
        <f t="shared" si="0"/>
        <v>8.025446165914884</v>
      </c>
      <c r="E9" s="139">
        <f t="shared" si="1"/>
        <v>-468978.25</v>
      </c>
    </row>
    <row r="10" spans="1:5" ht="12.75">
      <c r="A10" s="41" t="s">
        <v>138</v>
      </c>
      <c r="B10" s="194">
        <v>509900</v>
      </c>
      <c r="C10" s="230">
        <v>40921.75</v>
      </c>
      <c r="D10" s="138">
        <f t="shared" si="0"/>
        <v>8.025446165914884</v>
      </c>
      <c r="E10" s="139">
        <f t="shared" si="1"/>
        <v>-468978.25</v>
      </c>
    </row>
    <row r="11" spans="1:5" ht="13.5" customHeight="1">
      <c r="A11" s="16" t="s">
        <v>7</v>
      </c>
      <c r="B11" s="194">
        <f>SUM(B12:B12)</f>
        <v>85800</v>
      </c>
      <c r="C11" s="194">
        <f>SUM(C12:C12)</f>
        <v>0</v>
      </c>
      <c r="D11" s="138">
        <f t="shared" si="0"/>
        <v>0</v>
      </c>
      <c r="E11" s="139">
        <f t="shared" si="1"/>
        <v>-85800</v>
      </c>
    </row>
    <row r="12" spans="1:5" ht="13.5" customHeight="1">
      <c r="A12" s="16" t="s">
        <v>26</v>
      </c>
      <c r="B12" s="194">
        <v>85800</v>
      </c>
      <c r="C12" s="230">
        <v>0</v>
      </c>
      <c r="D12" s="138">
        <f t="shared" si="0"/>
        <v>0</v>
      </c>
      <c r="E12" s="139">
        <f t="shared" si="1"/>
        <v>-85800</v>
      </c>
    </row>
    <row r="13" spans="1:5" ht="12.75">
      <c r="A13" s="16" t="s">
        <v>9</v>
      </c>
      <c r="B13" s="194">
        <f>SUM(B14:B15)</f>
        <v>381000</v>
      </c>
      <c r="C13" s="194">
        <f>SUM(C14:C15)</f>
        <v>3528.84</v>
      </c>
      <c r="D13" s="138">
        <f t="shared" si="0"/>
        <v>0.9262047244094488</v>
      </c>
      <c r="E13" s="139">
        <f t="shared" si="1"/>
        <v>-377471.16</v>
      </c>
    </row>
    <row r="14" spans="1:5" ht="19.5" customHeight="1">
      <c r="A14" s="16" t="s">
        <v>27</v>
      </c>
      <c r="B14" s="194">
        <v>122000</v>
      </c>
      <c r="C14" s="230">
        <v>691.67</v>
      </c>
      <c r="D14" s="138">
        <f t="shared" si="0"/>
        <v>0.5669426229508197</v>
      </c>
      <c r="E14" s="139">
        <f t="shared" si="1"/>
        <v>-121308.33</v>
      </c>
    </row>
    <row r="15" spans="1:5" ht="18.75" customHeight="1">
      <c r="A15" s="41" t="s">
        <v>160</v>
      </c>
      <c r="B15" s="194">
        <f>SUM(B16:B17)</f>
        <v>259000</v>
      </c>
      <c r="C15" s="194">
        <f>SUM(C16:C17)</f>
        <v>2837.17</v>
      </c>
      <c r="D15" s="138">
        <f t="shared" si="0"/>
        <v>1.0954324324324325</v>
      </c>
      <c r="E15" s="139">
        <f t="shared" si="1"/>
        <v>-256162.83</v>
      </c>
    </row>
    <row r="16" spans="1:5" ht="18.75" customHeight="1">
      <c r="A16" s="41" t="s">
        <v>161</v>
      </c>
      <c r="B16" s="194">
        <v>27000</v>
      </c>
      <c r="C16" s="230">
        <v>500</v>
      </c>
      <c r="D16" s="138">
        <f t="shared" si="0"/>
        <v>1.8518518518518516</v>
      </c>
      <c r="E16" s="139">
        <f t="shared" si="1"/>
        <v>-26500</v>
      </c>
    </row>
    <row r="17" spans="1:5" ht="18" customHeight="1">
      <c r="A17" s="41" t="s">
        <v>162</v>
      </c>
      <c r="B17" s="194">
        <v>232000</v>
      </c>
      <c r="C17" s="230">
        <v>2337.17</v>
      </c>
      <c r="D17" s="138">
        <f t="shared" si="0"/>
        <v>1.0074008620689654</v>
      </c>
      <c r="E17" s="139">
        <f t="shared" si="1"/>
        <v>-229662.83</v>
      </c>
    </row>
    <row r="18" spans="1:5" ht="18" customHeight="1">
      <c r="A18" s="41" t="s">
        <v>195</v>
      </c>
      <c r="B18" s="194">
        <v>0</v>
      </c>
      <c r="C18" s="230">
        <v>0</v>
      </c>
      <c r="D18" s="138" t="str">
        <f t="shared" si="0"/>
        <v>   </v>
      </c>
      <c r="E18" s="139">
        <f t="shared" si="1"/>
        <v>0</v>
      </c>
    </row>
    <row r="19" spans="1:5" ht="15" customHeight="1">
      <c r="A19" s="16" t="s">
        <v>88</v>
      </c>
      <c r="B19" s="194">
        <v>0</v>
      </c>
      <c r="C19" s="195">
        <v>0</v>
      </c>
      <c r="D19" s="138" t="str">
        <f t="shared" si="0"/>
        <v>   </v>
      </c>
      <c r="E19" s="139">
        <f t="shared" si="1"/>
        <v>0</v>
      </c>
    </row>
    <row r="20" spans="1:5" ht="26.25" customHeight="1">
      <c r="A20" s="16" t="s">
        <v>28</v>
      </c>
      <c r="B20" s="194">
        <f>B22+B21</f>
        <v>88800</v>
      </c>
      <c r="C20" s="193">
        <f>SUM(C21:C22)</f>
        <v>0.74</v>
      </c>
      <c r="D20" s="138">
        <f t="shared" si="0"/>
        <v>0.0008333333333333334</v>
      </c>
      <c r="E20" s="139">
        <f t="shared" si="1"/>
        <v>-88799.26</v>
      </c>
    </row>
    <row r="21" spans="1:5" ht="15.75" customHeight="1">
      <c r="A21" s="41" t="s">
        <v>152</v>
      </c>
      <c r="B21" s="194">
        <v>88800</v>
      </c>
      <c r="C21" s="195">
        <v>0.74</v>
      </c>
      <c r="D21" s="138">
        <f t="shared" si="0"/>
        <v>0.0008333333333333334</v>
      </c>
      <c r="E21" s="139">
        <f t="shared" si="1"/>
        <v>-88799.26</v>
      </c>
    </row>
    <row r="22" spans="1:5" ht="15" customHeight="1">
      <c r="A22" s="16" t="s">
        <v>30</v>
      </c>
      <c r="B22" s="194">
        <v>0</v>
      </c>
      <c r="C22" s="195">
        <v>0</v>
      </c>
      <c r="D22" s="138" t="str">
        <f t="shared" si="0"/>
        <v>   </v>
      </c>
      <c r="E22" s="139">
        <f t="shared" si="1"/>
        <v>0</v>
      </c>
    </row>
    <row r="23" spans="1:5" ht="18.75" customHeight="1">
      <c r="A23" s="39" t="s">
        <v>91</v>
      </c>
      <c r="B23" s="194">
        <v>0</v>
      </c>
      <c r="C23" s="195">
        <v>0</v>
      </c>
      <c r="D23" s="138" t="str">
        <f t="shared" si="0"/>
        <v>   </v>
      </c>
      <c r="E23" s="139">
        <f t="shared" si="1"/>
        <v>0</v>
      </c>
    </row>
    <row r="24" spans="1:5" ht="18.75" customHeight="1">
      <c r="A24" s="16" t="s">
        <v>76</v>
      </c>
      <c r="B24" s="194">
        <f>SUM(B25)</f>
        <v>0</v>
      </c>
      <c r="C24" s="194">
        <f>SUM(C25)</f>
        <v>0</v>
      </c>
      <c r="D24" s="138" t="str">
        <f t="shared" si="0"/>
        <v>   </v>
      </c>
      <c r="E24" s="139">
        <f t="shared" si="1"/>
        <v>0</v>
      </c>
    </row>
    <row r="25" spans="1:5" ht="24.75" customHeight="1">
      <c r="A25" s="16" t="s">
        <v>77</v>
      </c>
      <c r="B25" s="194">
        <v>0</v>
      </c>
      <c r="C25" s="195">
        <v>0</v>
      </c>
      <c r="D25" s="138" t="str">
        <f t="shared" si="0"/>
        <v>   </v>
      </c>
      <c r="E25" s="139">
        <f t="shared" si="1"/>
        <v>0</v>
      </c>
    </row>
    <row r="26" spans="1:5" ht="24.75" customHeight="1">
      <c r="A26" s="16" t="s">
        <v>31</v>
      </c>
      <c r="B26" s="194">
        <v>0</v>
      </c>
      <c r="C26" s="195">
        <v>0</v>
      </c>
      <c r="D26" s="138" t="str">
        <f t="shared" si="0"/>
        <v>   </v>
      </c>
      <c r="E26" s="139">
        <f t="shared" si="1"/>
        <v>0</v>
      </c>
    </row>
    <row r="27" spans="1:5" ht="17.25" customHeight="1">
      <c r="A27" s="16" t="s">
        <v>32</v>
      </c>
      <c r="B27" s="193">
        <f>B28+B29</f>
        <v>0</v>
      </c>
      <c r="C27" s="193">
        <f>C28+C29</f>
        <v>-0.74</v>
      </c>
      <c r="D27" s="138" t="str">
        <f t="shared" si="0"/>
        <v>   </v>
      </c>
      <c r="E27" s="139">
        <f t="shared" si="1"/>
        <v>-0.74</v>
      </c>
    </row>
    <row r="28" spans="1:5" ht="14.25" customHeight="1">
      <c r="A28" s="16" t="s">
        <v>136</v>
      </c>
      <c r="B28" s="194">
        <v>0</v>
      </c>
      <c r="C28" s="195">
        <v>-0.74</v>
      </c>
      <c r="D28" s="138" t="str">
        <f t="shared" si="0"/>
        <v>   </v>
      </c>
      <c r="E28" s="139">
        <f t="shared" si="1"/>
        <v>-0.74</v>
      </c>
    </row>
    <row r="29" spans="1:5" ht="14.25" customHeight="1">
      <c r="A29" s="16" t="s">
        <v>110</v>
      </c>
      <c r="B29" s="194">
        <v>0</v>
      </c>
      <c r="C29" s="194">
        <v>0</v>
      </c>
      <c r="D29" s="138" t="str">
        <f t="shared" si="0"/>
        <v>   </v>
      </c>
      <c r="E29" s="139">
        <f t="shared" si="1"/>
        <v>0</v>
      </c>
    </row>
    <row r="30" spans="1:5" ht="18" customHeight="1">
      <c r="A30" s="171" t="s">
        <v>10</v>
      </c>
      <c r="B30" s="149">
        <f>SUM(B7,B9,B11,B13,B19,B20,B23,B24,B26,B28,B29,B18)</f>
        <v>1121900</v>
      </c>
      <c r="C30" s="149">
        <f>SUM(C7,C9,C11,C13,C19,C20,C23,C24,C26,C28,C29,C18)</f>
        <v>60329.600000000006</v>
      </c>
      <c r="D30" s="140">
        <f t="shared" si="0"/>
        <v>5.37744897049648</v>
      </c>
      <c r="E30" s="141">
        <f t="shared" si="1"/>
        <v>-1061570.4</v>
      </c>
    </row>
    <row r="31" spans="1:5" ht="18" customHeight="1">
      <c r="A31" s="147" t="s">
        <v>140</v>
      </c>
      <c r="B31" s="184">
        <f>SUM(B32:B35,B38,B39,B40,B45+B47)</f>
        <v>2452700</v>
      </c>
      <c r="C31" s="184">
        <f>SUM(C32:C35,C38,C39,C40,C45+C47)</f>
        <v>139650</v>
      </c>
      <c r="D31" s="140">
        <f t="shared" si="0"/>
        <v>5.693725282341909</v>
      </c>
      <c r="E31" s="141">
        <f t="shared" si="1"/>
        <v>-2313050</v>
      </c>
    </row>
    <row r="32" spans="1:5" ht="16.5" customHeight="1">
      <c r="A32" s="64" t="s">
        <v>34</v>
      </c>
      <c r="B32" s="159">
        <v>1570200</v>
      </c>
      <c r="C32" s="230">
        <v>129650</v>
      </c>
      <c r="D32" s="153">
        <f t="shared" si="0"/>
        <v>8.256909947777354</v>
      </c>
      <c r="E32" s="154">
        <f t="shared" si="1"/>
        <v>-1440550</v>
      </c>
    </row>
    <row r="33" spans="1:5" ht="16.5" customHeight="1">
      <c r="A33" s="17" t="s">
        <v>226</v>
      </c>
      <c r="B33" s="159">
        <v>0</v>
      </c>
      <c r="C33" s="230">
        <v>0</v>
      </c>
      <c r="D33" s="153" t="str">
        <f>IF(B33=0,"   ",C33/B33*100)</f>
        <v>   </v>
      </c>
      <c r="E33" s="154">
        <f>C33-B33</f>
        <v>0</v>
      </c>
    </row>
    <row r="34" spans="1:5" ht="24.75" customHeight="1">
      <c r="A34" s="41" t="s">
        <v>51</v>
      </c>
      <c r="B34" s="194">
        <v>103400</v>
      </c>
      <c r="C34" s="230">
        <v>10000</v>
      </c>
      <c r="D34" s="153">
        <f t="shared" si="0"/>
        <v>9.671179883945841</v>
      </c>
      <c r="E34" s="154">
        <f t="shared" si="1"/>
        <v>-93400</v>
      </c>
    </row>
    <row r="35" spans="1:5" ht="24.75" customHeight="1">
      <c r="A35" s="41" t="s">
        <v>148</v>
      </c>
      <c r="B35" s="194">
        <f>SUM(B36:B37)</f>
        <v>100</v>
      </c>
      <c r="C35" s="194">
        <f>SUM(C36:C37)</f>
        <v>0</v>
      </c>
      <c r="D35" s="153">
        <f t="shared" si="0"/>
        <v>0</v>
      </c>
      <c r="E35" s="154">
        <f t="shared" si="1"/>
        <v>-100</v>
      </c>
    </row>
    <row r="36" spans="1:5" ht="16.5" customHeight="1">
      <c r="A36" s="108" t="s">
        <v>163</v>
      </c>
      <c r="B36" s="194">
        <v>100</v>
      </c>
      <c r="C36" s="195">
        <v>0</v>
      </c>
      <c r="D36" s="153">
        <f>IF(B36=0,"   ",C36/B36*100)</f>
        <v>0</v>
      </c>
      <c r="E36" s="154">
        <f>C36-B36</f>
        <v>-100</v>
      </c>
    </row>
    <row r="37" spans="1:5" ht="26.25" customHeight="1">
      <c r="A37" s="108" t="s">
        <v>164</v>
      </c>
      <c r="B37" s="194">
        <v>0</v>
      </c>
      <c r="C37" s="195">
        <v>0</v>
      </c>
      <c r="D37" s="153" t="str">
        <f>IF(B37=0,"   ",C37/B37*100)</f>
        <v>   </v>
      </c>
      <c r="E37" s="154">
        <f>C37-B37</f>
        <v>0</v>
      </c>
    </row>
    <row r="38" spans="1:5" ht="56.25" customHeight="1">
      <c r="A38" s="16" t="s">
        <v>235</v>
      </c>
      <c r="B38" s="194">
        <v>434000</v>
      </c>
      <c r="C38" s="195">
        <v>0</v>
      </c>
      <c r="D38" s="153">
        <f>IF(B38=0,"   ",C38/B38*100)</f>
        <v>0</v>
      </c>
      <c r="E38" s="154">
        <f>C38-B38</f>
        <v>-434000</v>
      </c>
    </row>
    <row r="39" spans="1:5" ht="26.25" customHeight="1">
      <c r="A39" s="16" t="s">
        <v>301</v>
      </c>
      <c r="B39" s="194">
        <v>0</v>
      </c>
      <c r="C39" s="195">
        <v>0</v>
      </c>
      <c r="D39" s="153" t="str">
        <f>IF(B39=0,"   ",C39/B39*100)</f>
        <v>   </v>
      </c>
      <c r="E39" s="154">
        <f>C39-B39</f>
        <v>0</v>
      </c>
    </row>
    <row r="40" spans="1:5" ht="14.25" customHeight="1">
      <c r="A40" s="41" t="s">
        <v>80</v>
      </c>
      <c r="B40" s="194">
        <f>B41+B44+B43+B42</f>
        <v>345000</v>
      </c>
      <c r="C40" s="194">
        <f>C41+C44+C43+C42</f>
        <v>0</v>
      </c>
      <c r="D40" s="153">
        <f t="shared" si="0"/>
        <v>0</v>
      </c>
      <c r="E40" s="154">
        <f t="shared" si="1"/>
        <v>-345000</v>
      </c>
    </row>
    <row r="41" spans="1:5" ht="16.5" customHeight="1">
      <c r="A41" s="41" t="s">
        <v>109</v>
      </c>
      <c r="B41" s="194">
        <v>308100</v>
      </c>
      <c r="C41" s="195">
        <v>0</v>
      </c>
      <c r="D41" s="153">
        <f t="shared" si="0"/>
        <v>0</v>
      </c>
      <c r="E41" s="154">
        <f t="shared" si="1"/>
        <v>-308100</v>
      </c>
    </row>
    <row r="42" spans="1:5" ht="16.5" customHeight="1">
      <c r="A42" s="46" t="s">
        <v>333</v>
      </c>
      <c r="B42" s="194">
        <v>36900</v>
      </c>
      <c r="C42" s="195">
        <v>0</v>
      </c>
      <c r="D42" s="153">
        <f t="shared" si="0"/>
        <v>0</v>
      </c>
      <c r="E42" s="154">
        <f t="shared" si="1"/>
        <v>-36900</v>
      </c>
    </row>
    <row r="43" spans="1:5" ht="16.5" customHeight="1">
      <c r="A43" s="46" t="s">
        <v>284</v>
      </c>
      <c r="B43" s="194">
        <v>0</v>
      </c>
      <c r="C43" s="195">
        <v>0</v>
      </c>
      <c r="D43" s="153" t="str">
        <f t="shared" si="0"/>
        <v>   </v>
      </c>
      <c r="E43" s="154">
        <f t="shared" si="1"/>
        <v>0</v>
      </c>
    </row>
    <row r="44" spans="1:5" ht="16.5" customHeight="1">
      <c r="A44" s="46" t="s">
        <v>187</v>
      </c>
      <c r="B44" s="194">
        <v>0</v>
      </c>
      <c r="C44" s="195">
        <v>0</v>
      </c>
      <c r="D44" s="153" t="str">
        <f t="shared" si="0"/>
        <v>   </v>
      </c>
      <c r="E44" s="154">
        <f t="shared" si="1"/>
        <v>0</v>
      </c>
    </row>
    <row r="45" spans="1:5" ht="27" customHeight="1">
      <c r="A45" s="41" t="s">
        <v>286</v>
      </c>
      <c r="B45" s="194">
        <v>0</v>
      </c>
      <c r="C45" s="195">
        <v>0</v>
      </c>
      <c r="D45" s="153" t="str">
        <f t="shared" si="0"/>
        <v>   </v>
      </c>
      <c r="E45" s="154">
        <f t="shared" si="1"/>
        <v>0</v>
      </c>
    </row>
    <row r="46" spans="1:5" ht="37.5" customHeight="1">
      <c r="A46" s="41" t="s">
        <v>103</v>
      </c>
      <c r="B46" s="194">
        <v>0</v>
      </c>
      <c r="C46" s="194">
        <v>0</v>
      </c>
      <c r="D46" s="153" t="str">
        <f t="shared" si="0"/>
        <v>   </v>
      </c>
      <c r="E46" s="154">
        <f t="shared" si="1"/>
        <v>0</v>
      </c>
    </row>
    <row r="47" spans="1:5" ht="15" customHeight="1">
      <c r="A47" s="16" t="s">
        <v>197</v>
      </c>
      <c r="B47" s="194">
        <v>0</v>
      </c>
      <c r="C47" s="230">
        <v>0</v>
      </c>
      <c r="D47" s="153" t="str">
        <f t="shared" si="0"/>
        <v>   </v>
      </c>
      <c r="E47" s="154">
        <f t="shared" si="1"/>
        <v>0</v>
      </c>
    </row>
    <row r="48" spans="1:5" ht="27" customHeight="1">
      <c r="A48" s="171" t="s">
        <v>11</v>
      </c>
      <c r="B48" s="149">
        <f>SUM(B30,B31,)</f>
        <v>3574600</v>
      </c>
      <c r="C48" s="149">
        <f>SUM(C30,C31,)</f>
        <v>199979.6</v>
      </c>
      <c r="D48" s="140">
        <f t="shared" si="0"/>
        <v>5.594460918704191</v>
      </c>
      <c r="E48" s="141">
        <f t="shared" si="1"/>
        <v>-3374620.4</v>
      </c>
    </row>
    <row r="49" spans="1:5" ht="21.75" customHeight="1">
      <c r="A49" s="172" t="s">
        <v>12</v>
      </c>
      <c r="B49" s="149"/>
      <c r="C49" s="161"/>
      <c r="D49" s="153" t="str">
        <f t="shared" si="0"/>
        <v>   </v>
      </c>
      <c r="E49" s="154">
        <f t="shared" si="1"/>
        <v>0</v>
      </c>
    </row>
    <row r="50" spans="1:5" ht="16.5" customHeight="1">
      <c r="A50" s="41" t="s">
        <v>35</v>
      </c>
      <c r="B50" s="151">
        <f>SUM(B51,B54:B55)</f>
        <v>1162600</v>
      </c>
      <c r="C50" s="151">
        <f>SUM(C51,C54:C55)</f>
        <v>11000</v>
      </c>
      <c r="D50" s="153">
        <f t="shared" si="0"/>
        <v>0.9461551694477894</v>
      </c>
      <c r="E50" s="154">
        <f t="shared" si="1"/>
        <v>-1151600</v>
      </c>
    </row>
    <row r="51" spans="1:5" ht="13.5" customHeight="1">
      <c r="A51" s="41" t="s">
        <v>36</v>
      </c>
      <c r="B51" s="151">
        <v>1162100</v>
      </c>
      <c r="C51" s="151">
        <v>11000</v>
      </c>
      <c r="D51" s="153">
        <f t="shared" si="0"/>
        <v>0.9465622579812408</v>
      </c>
      <c r="E51" s="154">
        <f t="shared" si="1"/>
        <v>-1151100</v>
      </c>
    </row>
    <row r="52" spans="1:5" ht="12.75">
      <c r="A52" s="41" t="s">
        <v>122</v>
      </c>
      <c r="B52" s="151">
        <v>778418</v>
      </c>
      <c r="C52" s="161">
        <v>10500</v>
      </c>
      <c r="D52" s="153">
        <f t="shared" si="0"/>
        <v>1.3488896711021585</v>
      </c>
      <c r="E52" s="154">
        <f t="shared" si="1"/>
        <v>-767918</v>
      </c>
    </row>
    <row r="53" spans="1:5" ht="12.75">
      <c r="A53" s="85" t="s">
        <v>276</v>
      </c>
      <c r="B53" s="151">
        <v>100</v>
      </c>
      <c r="C53" s="161">
        <v>0</v>
      </c>
      <c r="D53" s="153">
        <f>IF(B53=0,"   ",C53/B53*100)</f>
        <v>0</v>
      </c>
      <c r="E53" s="154">
        <f>C53-B53</f>
        <v>-100</v>
      </c>
    </row>
    <row r="54" spans="1:5" ht="12.75">
      <c r="A54" s="41" t="s">
        <v>95</v>
      </c>
      <c r="B54" s="151">
        <v>500</v>
      </c>
      <c r="C54" s="152">
        <v>0</v>
      </c>
      <c r="D54" s="153">
        <f t="shared" si="0"/>
        <v>0</v>
      </c>
      <c r="E54" s="154">
        <f t="shared" si="1"/>
        <v>-500</v>
      </c>
    </row>
    <row r="55" spans="1:5" ht="12.75">
      <c r="A55" s="41" t="s">
        <v>52</v>
      </c>
      <c r="B55" s="152">
        <f>SUM(B56)</f>
        <v>0</v>
      </c>
      <c r="C55" s="152">
        <f>SUM(C56)</f>
        <v>0</v>
      </c>
      <c r="D55" s="153" t="str">
        <f t="shared" si="0"/>
        <v>   </v>
      </c>
      <c r="E55" s="154">
        <f t="shared" si="1"/>
        <v>0</v>
      </c>
    </row>
    <row r="56" spans="1:5" ht="26.25">
      <c r="A56" s="104" t="s">
        <v>243</v>
      </c>
      <c r="B56" s="151">
        <v>0</v>
      </c>
      <c r="C56" s="152">
        <v>0</v>
      </c>
      <c r="D56" s="153" t="str">
        <f t="shared" si="0"/>
        <v>   </v>
      </c>
      <c r="E56" s="154">
        <f t="shared" si="1"/>
        <v>0</v>
      </c>
    </row>
    <row r="57" spans="1:5" ht="16.5" customHeight="1">
      <c r="A57" s="41" t="s">
        <v>49</v>
      </c>
      <c r="B57" s="152">
        <f>SUM(B58)</f>
        <v>103400</v>
      </c>
      <c r="C57" s="152">
        <f>SUM(C58)</f>
        <v>2000</v>
      </c>
      <c r="D57" s="153">
        <f t="shared" si="0"/>
        <v>1.9342359767891684</v>
      </c>
      <c r="E57" s="154">
        <f t="shared" si="1"/>
        <v>-101400</v>
      </c>
    </row>
    <row r="58" spans="1:5" ht="17.25" customHeight="1">
      <c r="A58" s="39" t="s">
        <v>107</v>
      </c>
      <c r="B58" s="151">
        <v>103400</v>
      </c>
      <c r="C58" s="152">
        <v>2000</v>
      </c>
      <c r="D58" s="153">
        <f t="shared" si="0"/>
        <v>1.9342359767891684</v>
      </c>
      <c r="E58" s="154">
        <f t="shared" si="1"/>
        <v>-101400</v>
      </c>
    </row>
    <row r="59" spans="1:5" ht="22.5" customHeight="1">
      <c r="A59" s="41" t="s">
        <v>37</v>
      </c>
      <c r="B59" s="151">
        <f>SUM(B60)</f>
        <v>2000</v>
      </c>
      <c r="C59" s="152">
        <f>SUM(C60)</f>
        <v>0</v>
      </c>
      <c r="D59" s="153">
        <f t="shared" si="0"/>
        <v>0</v>
      </c>
      <c r="E59" s="154">
        <f t="shared" si="1"/>
        <v>-2000</v>
      </c>
    </row>
    <row r="60" spans="1:5" ht="17.25" customHeight="1">
      <c r="A60" s="75" t="s">
        <v>128</v>
      </c>
      <c r="B60" s="151">
        <v>2000</v>
      </c>
      <c r="C60" s="152">
        <v>0</v>
      </c>
      <c r="D60" s="153">
        <f t="shared" si="0"/>
        <v>0</v>
      </c>
      <c r="E60" s="154">
        <f t="shared" si="1"/>
        <v>-2000</v>
      </c>
    </row>
    <row r="61" spans="1:5" ht="18.75" customHeight="1">
      <c r="A61" s="41" t="s">
        <v>38</v>
      </c>
      <c r="B61" s="151">
        <f>B69+B62+B77+B67</f>
        <v>1331200</v>
      </c>
      <c r="C61" s="151">
        <f>C69+C62+C77+C67</f>
        <v>8560</v>
      </c>
      <c r="D61" s="153">
        <f t="shared" si="0"/>
        <v>0.6430288461538461</v>
      </c>
      <c r="E61" s="154">
        <f t="shared" si="1"/>
        <v>-1322640</v>
      </c>
    </row>
    <row r="62" spans="1:5" ht="18.75" customHeight="1">
      <c r="A62" s="75" t="s">
        <v>165</v>
      </c>
      <c r="B62" s="25">
        <f>SUM(B65,B66)</f>
        <v>39200</v>
      </c>
      <c r="C62" s="25">
        <f>SUM(C65,C66)</f>
        <v>0</v>
      </c>
      <c r="D62" s="153">
        <f aca="true" t="shared" si="2" ref="D62:D68">IF(B62=0,"   ",C62/B62*100)</f>
        <v>0</v>
      </c>
      <c r="E62" s="154">
        <f aca="true" t="shared" si="3" ref="E62:E68">C62-B62</f>
        <v>-39200</v>
      </c>
    </row>
    <row r="63" spans="1:5" ht="18.75" customHeight="1">
      <c r="A63" s="75" t="s">
        <v>166</v>
      </c>
      <c r="B63" s="25">
        <v>0</v>
      </c>
      <c r="C63" s="151">
        <v>0</v>
      </c>
      <c r="D63" s="153" t="str">
        <f t="shared" si="2"/>
        <v>   </v>
      </c>
      <c r="E63" s="154">
        <f t="shared" si="3"/>
        <v>0</v>
      </c>
    </row>
    <row r="64" spans="1:5" ht="18.75" customHeight="1">
      <c r="A64" s="75" t="s">
        <v>188</v>
      </c>
      <c r="B64" s="25">
        <v>0</v>
      </c>
      <c r="C64" s="151">
        <v>0</v>
      </c>
      <c r="D64" s="153" t="str">
        <f t="shared" si="2"/>
        <v>   </v>
      </c>
      <c r="E64" s="154">
        <f t="shared" si="3"/>
        <v>0</v>
      </c>
    </row>
    <row r="65" spans="1:5" ht="18.75" customHeight="1">
      <c r="A65" s="75" t="s">
        <v>334</v>
      </c>
      <c r="B65" s="25">
        <v>36900</v>
      </c>
      <c r="C65" s="151">
        <v>0</v>
      </c>
      <c r="D65" s="153">
        <f t="shared" si="2"/>
        <v>0</v>
      </c>
      <c r="E65" s="154">
        <f t="shared" si="3"/>
        <v>-36900</v>
      </c>
    </row>
    <row r="66" spans="1:5" ht="18.75" customHeight="1">
      <c r="A66" s="75" t="s">
        <v>335</v>
      </c>
      <c r="B66" s="25">
        <v>2300</v>
      </c>
      <c r="C66" s="151">
        <v>0</v>
      </c>
      <c r="D66" s="153">
        <f t="shared" si="2"/>
        <v>0</v>
      </c>
      <c r="E66" s="154">
        <f t="shared" si="3"/>
        <v>-2300</v>
      </c>
    </row>
    <row r="67" spans="1:5" ht="18.75" customHeight="1">
      <c r="A67" s="147" t="s">
        <v>228</v>
      </c>
      <c r="B67" s="25">
        <f>SUM(B68)</f>
        <v>0</v>
      </c>
      <c r="C67" s="25">
        <f>SUM(C68)</f>
        <v>0</v>
      </c>
      <c r="D67" s="153" t="str">
        <f t="shared" si="2"/>
        <v>   </v>
      </c>
      <c r="E67" s="154">
        <f t="shared" si="3"/>
        <v>0</v>
      </c>
    </row>
    <row r="68" spans="1:5" ht="18.75" customHeight="1">
      <c r="A68" s="75" t="s">
        <v>229</v>
      </c>
      <c r="B68" s="25">
        <v>0</v>
      </c>
      <c r="C68" s="151">
        <v>0</v>
      </c>
      <c r="D68" s="153" t="str">
        <f t="shared" si="2"/>
        <v>   </v>
      </c>
      <c r="E68" s="154">
        <f t="shared" si="3"/>
        <v>0</v>
      </c>
    </row>
    <row r="69" spans="1:5" ht="12.75">
      <c r="A69" s="95" t="s">
        <v>131</v>
      </c>
      <c r="B69" s="151">
        <f>SUM(B70:B76)</f>
        <v>1252000</v>
      </c>
      <c r="C69" s="151">
        <f>SUM(C70:C76)</f>
        <v>8560</v>
      </c>
      <c r="D69" s="153">
        <f t="shared" si="0"/>
        <v>0.6837060702875399</v>
      </c>
      <c r="E69" s="154">
        <f t="shared" si="1"/>
        <v>-1243440</v>
      </c>
    </row>
    <row r="70" spans="1:5" ht="16.5" customHeight="1">
      <c r="A70" s="75" t="s">
        <v>149</v>
      </c>
      <c r="B70" s="151">
        <v>40000</v>
      </c>
      <c r="C70" s="151">
        <v>0</v>
      </c>
      <c r="D70" s="153">
        <f t="shared" si="0"/>
        <v>0</v>
      </c>
      <c r="E70" s="154">
        <f t="shared" si="1"/>
        <v>-40000</v>
      </c>
    </row>
    <row r="71" spans="1:5" ht="27" customHeight="1">
      <c r="A71" s="71" t="s">
        <v>246</v>
      </c>
      <c r="B71" s="151">
        <v>370000</v>
      </c>
      <c r="C71" s="151">
        <v>0</v>
      </c>
      <c r="D71" s="153">
        <f>IF(B71=0,"   ",C71/B71*100)</f>
        <v>0</v>
      </c>
      <c r="E71" s="154">
        <f>C71-B71</f>
        <v>-370000</v>
      </c>
    </row>
    <row r="72" spans="1:5" ht="26.25">
      <c r="A72" s="71" t="s">
        <v>247</v>
      </c>
      <c r="B72" s="151">
        <v>17300</v>
      </c>
      <c r="C72" s="151">
        <v>0</v>
      </c>
      <c r="D72" s="153">
        <f t="shared" si="0"/>
        <v>0</v>
      </c>
      <c r="E72" s="154">
        <f t="shared" si="1"/>
        <v>-17300</v>
      </c>
    </row>
    <row r="73" spans="1:5" ht="26.25">
      <c r="A73" s="71" t="s">
        <v>248</v>
      </c>
      <c r="B73" s="151">
        <v>434000</v>
      </c>
      <c r="C73" s="151">
        <v>0</v>
      </c>
      <c r="D73" s="153">
        <f t="shared" si="0"/>
        <v>0</v>
      </c>
      <c r="E73" s="154">
        <f t="shared" si="1"/>
        <v>-434000</v>
      </c>
    </row>
    <row r="74" spans="1:5" ht="26.25">
      <c r="A74" s="71" t="s">
        <v>249</v>
      </c>
      <c r="B74" s="151">
        <v>48300</v>
      </c>
      <c r="C74" s="151">
        <v>0</v>
      </c>
      <c r="D74" s="153">
        <f t="shared" si="0"/>
        <v>0</v>
      </c>
      <c r="E74" s="154">
        <f t="shared" si="1"/>
        <v>-48300</v>
      </c>
    </row>
    <row r="75" spans="1:5" ht="26.25">
      <c r="A75" s="71" t="s">
        <v>250</v>
      </c>
      <c r="B75" s="151">
        <v>308100</v>
      </c>
      <c r="C75" s="151">
        <v>0</v>
      </c>
      <c r="D75" s="153">
        <f t="shared" si="0"/>
        <v>0</v>
      </c>
      <c r="E75" s="154">
        <f t="shared" si="1"/>
        <v>-308100</v>
      </c>
    </row>
    <row r="76" spans="1:5" ht="27" thickBot="1">
      <c r="A76" s="71" t="s">
        <v>251</v>
      </c>
      <c r="B76" s="151">
        <v>34300</v>
      </c>
      <c r="C76" s="151">
        <v>8560</v>
      </c>
      <c r="D76" s="153">
        <f t="shared" si="0"/>
        <v>24.956268221574344</v>
      </c>
      <c r="E76" s="154">
        <f t="shared" si="1"/>
        <v>-25740</v>
      </c>
    </row>
    <row r="77" spans="1:5" ht="13.5" thickBot="1">
      <c r="A77" s="95" t="s">
        <v>176</v>
      </c>
      <c r="B77" s="98">
        <f>SUM(B78)</f>
        <v>40000</v>
      </c>
      <c r="C77" s="98">
        <f>SUM(C78)</f>
        <v>0</v>
      </c>
      <c r="D77" s="153">
        <f>IF(B77=0,"   ",C77/B77*100)</f>
        <v>0</v>
      </c>
      <c r="E77" s="154">
        <f>C77-B77</f>
        <v>-40000</v>
      </c>
    </row>
    <row r="78" spans="1:5" ht="26.25">
      <c r="A78" s="104" t="s">
        <v>155</v>
      </c>
      <c r="B78" s="151">
        <v>40000</v>
      </c>
      <c r="C78" s="151">
        <v>0</v>
      </c>
      <c r="D78" s="153">
        <f>IF(B78=0,"   ",C78/B78*100)</f>
        <v>0</v>
      </c>
      <c r="E78" s="154">
        <f>C78-B78</f>
        <v>-40000</v>
      </c>
    </row>
    <row r="79" spans="1:5" ht="21.75" customHeight="1">
      <c r="A79" s="41" t="s">
        <v>13</v>
      </c>
      <c r="B79" s="151">
        <f>B89+B80</f>
        <v>457600</v>
      </c>
      <c r="C79" s="151">
        <f>C89+C80</f>
        <v>7871.32</v>
      </c>
      <c r="D79" s="153">
        <f t="shared" si="0"/>
        <v>1.720131118881119</v>
      </c>
      <c r="E79" s="154">
        <f t="shared" si="1"/>
        <v>-449728.68</v>
      </c>
    </row>
    <row r="80" spans="1:5" ht="17.25" customHeight="1">
      <c r="A80" s="41" t="s">
        <v>150</v>
      </c>
      <c r="B80" s="151">
        <f>B84+B81+B82+B83</f>
        <v>8000</v>
      </c>
      <c r="C80" s="151">
        <f>C84+C81+C82+C83</f>
        <v>0</v>
      </c>
      <c r="D80" s="153">
        <f aca="true" t="shared" si="4" ref="D80:D88">IF(B80=0,"   ",C80/B80*100)</f>
        <v>0</v>
      </c>
      <c r="E80" s="154">
        <f aca="true" t="shared" si="5" ref="E80:E88">C80-B80</f>
        <v>-8000</v>
      </c>
    </row>
    <row r="81" spans="1:5" ht="28.5" customHeight="1">
      <c r="A81" s="16" t="s">
        <v>194</v>
      </c>
      <c r="B81" s="151">
        <v>8000</v>
      </c>
      <c r="C81" s="151">
        <v>0</v>
      </c>
      <c r="D81" s="153">
        <f t="shared" si="4"/>
        <v>0</v>
      </c>
      <c r="E81" s="154">
        <f t="shared" si="5"/>
        <v>-8000</v>
      </c>
    </row>
    <row r="82" spans="1:5" ht="17.25" customHeight="1">
      <c r="A82" s="104" t="s">
        <v>280</v>
      </c>
      <c r="B82" s="151">
        <v>0</v>
      </c>
      <c r="C82" s="151">
        <v>0</v>
      </c>
      <c r="D82" s="153" t="str">
        <f t="shared" si="4"/>
        <v>   </v>
      </c>
      <c r="E82" s="154">
        <f t="shared" si="5"/>
        <v>0</v>
      </c>
    </row>
    <row r="83" spans="1:5" ht="17.25" customHeight="1">
      <c r="A83" s="16" t="s">
        <v>289</v>
      </c>
      <c r="B83" s="151">
        <v>0</v>
      </c>
      <c r="C83" s="151">
        <v>0</v>
      </c>
      <c r="D83" s="153" t="str">
        <f t="shared" si="4"/>
        <v>   </v>
      </c>
      <c r="E83" s="154">
        <f t="shared" si="5"/>
        <v>0</v>
      </c>
    </row>
    <row r="84" spans="1:5" ht="17.25" customHeight="1">
      <c r="A84" s="16" t="s">
        <v>293</v>
      </c>
      <c r="B84" s="151">
        <v>0</v>
      </c>
      <c r="C84" s="151">
        <v>0</v>
      </c>
      <c r="D84" s="153" t="str">
        <f t="shared" si="4"/>
        <v>   </v>
      </c>
      <c r="E84" s="154">
        <f t="shared" si="5"/>
        <v>0</v>
      </c>
    </row>
    <row r="85" spans="1:5" ht="28.5" customHeight="1">
      <c r="A85" s="104" t="s">
        <v>281</v>
      </c>
      <c r="B85" s="151">
        <f>SUM(B86:B88)</f>
        <v>0</v>
      </c>
      <c r="C85" s="151">
        <f>SUM(C86:C88)</f>
        <v>0</v>
      </c>
      <c r="D85" s="153" t="str">
        <f t="shared" si="4"/>
        <v>   </v>
      </c>
      <c r="E85" s="154">
        <f t="shared" si="5"/>
        <v>0</v>
      </c>
    </row>
    <row r="86" spans="1:5" ht="28.5" customHeight="1">
      <c r="A86" s="104" t="s">
        <v>186</v>
      </c>
      <c r="B86" s="152">
        <v>0</v>
      </c>
      <c r="C86" s="152">
        <v>0</v>
      </c>
      <c r="D86" s="153" t="str">
        <f t="shared" si="4"/>
        <v>   </v>
      </c>
      <c r="E86" s="154">
        <f t="shared" si="5"/>
        <v>0</v>
      </c>
    </row>
    <row r="87" spans="1:5" ht="27.75" customHeight="1">
      <c r="A87" s="104" t="s">
        <v>198</v>
      </c>
      <c r="B87" s="152">
        <v>0</v>
      </c>
      <c r="C87" s="152">
        <v>0</v>
      </c>
      <c r="D87" s="153" t="str">
        <f t="shared" si="4"/>
        <v>   </v>
      </c>
      <c r="E87" s="154">
        <f t="shared" si="5"/>
        <v>0</v>
      </c>
    </row>
    <row r="88" spans="1:5" ht="22.5" customHeight="1">
      <c r="A88" s="104" t="s">
        <v>210</v>
      </c>
      <c r="B88" s="152">
        <v>0</v>
      </c>
      <c r="C88" s="152">
        <v>0</v>
      </c>
      <c r="D88" s="153" t="str">
        <f t="shared" si="4"/>
        <v>   </v>
      </c>
      <c r="E88" s="154">
        <f t="shared" si="5"/>
        <v>0</v>
      </c>
    </row>
    <row r="89" spans="1:5" ht="12.75">
      <c r="A89" s="41" t="s">
        <v>63</v>
      </c>
      <c r="B89" s="151">
        <f>B90+B91+B92+B96</f>
        <v>449600</v>
      </c>
      <c r="C89" s="151">
        <f>C90+C91+C92+C96</f>
        <v>7871.32</v>
      </c>
      <c r="D89" s="153">
        <f t="shared" si="0"/>
        <v>1.7507384341637011</v>
      </c>
      <c r="E89" s="154">
        <f t="shared" si="1"/>
        <v>-441728.68</v>
      </c>
    </row>
    <row r="90" spans="1:5" ht="12.75">
      <c r="A90" s="41" t="s">
        <v>62</v>
      </c>
      <c r="B90" s="151">
        <v>130000</v>
      </c>
      <c r="C90" s="152">
        <v>7871.32</v>
      </c>
      <c r="D90" s="153">
        <f t="shared" si="0"/>
        <v>6.054861538461538</v>
      </c>
      <c r="E90" s="154">
        <f t="shared" si="1"/>
        <v>-122128.68</v>
      </c>
    </row>
    <row r="91" spans="1:5" ht="12.75">
      <c r="A91" s="41" t="s">
        <v>130</v>
      </c>
      <c r="B91" s="151">
        <v>319600</v>
      </c>
      <c r="C91" s="151">
        <v>0</v>
      </c>
      <c r="D91" s="153">
        <f t="shared" si="0"/>
        <v>0</v>
      </c>
      <c r="E91" s="154">
        <f t="shared" si="1"/>
        <v>-319600</v>
      </c>
    </row>
    <row r="92" spans="1:5" ht="12.75">
      <c r="A92" s="104" t="s">
        <v>204</v>
      </c>
      <c r="B92" s="151">
        <f>SUM(B93:B95)</f>
        <v>0</v>
      </c>
      <c r="C92" s="151">
        <f>SUM(C93:C95)</f>
        <v>0</v>
      </c>
      <c r="D92" s="153" t="str">
        <f t="shared" si="0"/>
        <v>   </v>
      </c>
      <c r="E92" s="154">
        <f t="shared" si="1"/>
        <v>0</v>
      </c>
    </row>
    <row r="93" spans="1:5" ht="26.25">
      <c r="A93" s="104" t="s">
        <v>186</v>
      </c>
      <c r="B93" s="151">
        <v>0</v>
      </c>
      <c r="C93" s="151">
        <v>0</v>
      </c>
      <c r="D93" s="153" t="str">
        <f t="shared" si="0"/>
        <v>   </v>
      </c>
      <c r="E93" s="154">
        <f t="shared" si="1"/>
        <v>0</v>
      </c>
    </row>
    <row r="94" spans="1:5" ht="26.25">
      <c r="A94" s="104" t="s">
        <v>198</v>
      </c>
      <c r="B94" s="151">
        <v>0</v>
      </c>
      <c r="C94" s="151">
        <v>0</v>
      </c>
      <c r="D94" s="153" t="str">
        <f>IF(B94=0,"   ",C94/B94*100)</f>
        <v>   </v>
      </c>
      <c r="E94" s="154">
        <f>C94-B94</f>
        <v>0</v>
      </c>
    </row>
    <row r="95" spans="1:5" ht="26.25">
      <c r="A95" s="104" t="s">
        <v>210</v>
      </c>
      <c r="B95" s="151">
        <v>0</v>
      </c>
      <c r="C95" s="151">
        <v>0</v>
      </c>
      <c r="D95" s="153" t="str">
        <f>IF(B95=0,"   ",C95/B95*100)</f>
        <v>   </v>
      </c>
      <c r="E95" s="154">
        <f>C95-B95</f>
        <v>0</v>
      </c>
    </row>
    <row r="96" spans="1:5" ht="26.25">
      <c r="A96" s="104" t="s">
        <v>290</v>
      </c>
      <c r="B96" s="151">
        <v>0</v>
      </c>
      <c r="C96" s="151">
        <v>0</v>
      </c>
      <c r="D96" s="153" t="str">
        <f>IF(B96=0,"   ",C96/B96*100)</f>
        <v>   </v>
      </c>
      <c r="E96" s="154">
        <f>C96-B96</f>
        <v>0</v>
      </c>
    </row>
    <row r="97" spans="1:5" ht="21.75" customHeight="1">
      <c r="A97" s="18" t="s">
        <v>17</v>
      </c>
      <c r="B97" s="151">
        <v>8000</v>
      </c>
      <c r="C97" s="151">
        <v>0</v>
      </c>
      <c r="D97" s="153">
        <f t="shared" si="0"/>
        <v>0</v>
      </c>
      <c r="E97" s="154">
        <f t="shared" si="1"/>
        <v>-8000</v>
      </c>
    </row>
    <row r="98" spans="1:5" ht="22.5" customHeight="1">
      <c r="A98" s="41" t="s">
        <v>41</v>
      </c>
      <c r="B98" s="159">
        <f>B99</f>
        <v>501800</v>
      </c>
      <c r="C98" s="159">
        <f>C99</f>
        <v>103900</v>
      </c>
      <c r="D98" s="153">
        <f t="shared" si="0"/>
        <v>20.70546034276604</v>
      </c>
      <c r="E98" s="154">
        <f t="shared" si="1"/>
        <v>-397900</v>
      </c>
    </row>
    <row r="99" spans="1:5" ht="12.75">
      <c r="A99" s="41" t="s">
        <v>42</v>
      </c>
      <c r="B99" s="151">
        <f>SUM(B100:B103)</f>
        <v>501800</v>
      </c>
      <c r="C99" s="151">
        <f>SUM(C100:C103)</f>
        <v>103900</v>
      </c>
      <c r="D99" s="153">
        <f t="shared" si="0"/>
        <v>20.70546034276604</v>
      </c>
      <c r="E99" s="154">
        <f t="shared" si="1"/>
        <v>-397900</v>
      </c>
    </row>
    <row r="100" spans="1:5" ht="12.75">
      <c r="A100" s="167" t="s">
        <v>143</v>
      </c>
      <c r="B100" s="151">
        <v>501800</v>
      </c>
      <c r="C100" s="152">
        <v>103900</v>
      </c>
      <c r="D100" s="153">
        <f t="shared" si="0"/>
        <v>20.70546034276604</v>
      </c>
      <c r="E100" s="154">
        <f t="shared" si="1"/>
        <v>-397900</v>
      </c>
    </row>
    <row r="101" spans="1:5" ht="12.75">
      <c r="A101" s="116" t="s">
        <v>304</v>
      </c>
      <c r="B101" s="151">
        <v>0</v>
      </c>
      <c r="C101" s="152">
        <v>0</v>
      </c>
      <c r="D101" s="153" t="str">
        <f t="shared" si="0"/>
        <v>   </v>
      </c>
      <c r="E101" s="154">
        <f t="shared" si="1"/>
        <v>0</v>
      </c>
    </row>
    <row r="102" spans="1:5" ht="12.75">
      <c r="A102" s="116" t="s">
        <v>305</v>
      </c>
      <c r="B102" s="151">
        <v>0</v>
      </c>
      <c r="C102" s="152">
        <v>0</v>
      </c>
      <c r="D102" s="153" t="str">
        <f t="shared" si="0"/>
        <v>   </v>
      </c>
      <c r="E102" s="154">
        <f t="shared" si="1"/>
        <v>0</v>
      </c>
    </row>
    <row r="103" spans="1:5" ht="12.75">
      <c r="A103" s="116" t="s">
        <v>306</v>
      </c>
      <c r="B103" s="151">
        <v>0</v>
      </c>
      <c r="C103" s="152">
        <v>0</v>
      </c>
      <c r="D103" s="153" t="str">
        <f t="shared" si="0"/>
        <v>   </v>
      </c>
      <c r="E103" s="154">
        <f t="shared" si="1"/>
        <v>0</v>
      </c>
    </row>
    <row r="104" spans="1:5" ht="16.5" customHeight="1">
      <c r="A104" s="41" t="s">
        <v>124</v>
      </c>
      <c r="B104" s="151">
        <f>SUM(B105,)</f>
        <v>8000</v>
      </c>
      <c r="C104" s="151">
        <f>SUM(C105,)</f>
        <v>0</v>
      </c>
      <c r="D104" s="153">
        <f t="shared" si="0"/>
        <v>0</v>
      </c>
      <c r="E104" s="154">
        <f t="shared" si="1"/>
        <v>-8000</v>
      </c>
    </row>
    <row r="105" spans="1:5" ht="12.75">
      <c r="A105" s="41" t="s">
        <v>43</v>
      </c>
      <c r="B105" s="151">
        <v>8000</v>
      </c>
      <c r="C105" s="161">
        <v>0</v>
      </c>
      <c r="D105" s="153">
        <f t="shared" si="0"/>
        <v>0</v>
      </c>
      <c r="E105" s="154">
        <f t="shared" si="1"/>
        <v>-8000</v>
      </c>
    </row>
    <row r="106" spans="1:5" ht="28.5" customHeight="1">
      <c r="A106" s="171" t="s">
        <v>15</v>
      </c>
      <c r="B106" s="149">
        <f>SUM(B50,B57,B59,B61,B79,B97,B98,B104,)</f>
        <v>3574600</v>
      </c>
      <c r="C106" s="149">
        <f>SUM(C50,C57,C59,C61,C79,C97,C98,C104,)</f>
        <v>133331.32</v>
      </c>
      <c r="D106" s="140">
        <f>IF(B106=0,"   ",C106/B106*100)</f>
        <v>3.7299647513008454</v>
      </c>
      <c r="E106" s="141">
        <f t="shared" si="1"/>
        <v>-3441268.68</v>
      </c>
    </row>
    <row r="107" spans="1:5" s="59" customFormat="1" ht="33" customHeight="1">
      <c r="A107" s="80" t="s">
        <v>309</v>
      </c>
      <c r="B107" s="80"/>
      <c r="C107" s="337"/>
      <c r="D107" s="337"/>
      <c r="E107" s="337"/>
    </row>
    <row r="108" spans="1:5" s="59" customFormat="1" ht="12" customHeight="1">
      <c r="A108" s="80" t="s">
        <v>154</v>
      </c>
      <c r="B108" s="80"/>
      <c r="C108" s="81" t="s">
        <v>310</v>
      </c>
      <c r="D108" s="82"/>
      <c r="E108" s="83"/>
    </row>
    <row r="109" spans="1:5" ht="12.75">
      <c r="A109" s="7"/>
      <c r="B109" s="7"/>
      <c r="C109" s="6"/>
      <c r="D109" s="7"/>
      <c r="E109" s="2"/>
    </row>
    <row r="110" spans="1:5" ht="12.75">
      <c r="A110" s="7"/>
      <c r="B110" s="7"/>
      <c r="C110" s="6"/>
      <c r="D110" s="7"/>
      <c r="E110" s="2"/>
    </row>
    <row r="111" spans="1:5" ht="12.75">
      <c r="A111" s="7"/>
      <c r="B111" s="7"/>
      <c r="C111" s="6"/>
      <c r="D111" s="7"/>
      <c r="E111" s="2"/>
    </row>
    <row r="112" spans="1:5" ht="12.75">
      <c r="A112" s="7"/>
      <c r="B112" s="7"/>
      <c r="C112" s="6"/>
      <c r="D112" s="7"/>
      <c r="E112" s="2"/>
    </row>
  </sheetData>
  <sheetProtection/>
  <mergeCells count="2">
    <mergeCell ref="A1:E1"/>
    <mergeCell ref="C107:E107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8"/>
  <sheetViews>
    <sheetView zoomScalePageLayoutView="0" workbookViewId="0" topLeftCell="A44">
      <selection activeCell="C57" sqref="C57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339" t="s">
        <v>325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239" t="s">
        <v>1</v>
      </c>
      <c r="B4" s="240" t="s">
        <v>317</v>
      </c>
      <c r="C4" s="241" t="s">
        <v>312</v>
      </c>
      <c r="D4" s="240" t="s">
        <v>320</v>
      </c>
      <c r="E4" s="242" t="s">
        <v>319</v>
      </c>
    </row>
    <row r="5" spans="1:5" ht="15">
      <c r="A5" s="243">
        <v>1</v>
      </c>
      <c r="B5" s="244">
        <v>2</v>
      </c>
      <c r="C5" s="245">
        <v>3</v>
      </c>
      <c r="D5" s="246">
        <v>4</v>
      </c>
      <c r="E5" s="247">
        <v>5</v>
      </c>
    </row>
    <row r="6" spans="1:5" ht="15.75">
      <c r="A6" s="248" t="s">
        <v>2</v>
      </c>
      <c r="B6" s="249"/>
      <c r="C6" s="250"/>
      <c r="D6" s="251"/>
      <c r="E6" s="252"/>
    </row>
    <row r="7" spans="1:5" ht="19.5" customHeight="1">
      <c r="A7" s="253" t="s">
        <v>45</v>
      </c>
      <c r="B7" s="272">
        <f>SUM(B8)</f>
        <v>10740600</v>
      </c>
      <c r="C7" s="272">
        <f>SUM(C8)</f>
        <v>378889.04</v>
      </c>
      <c r="D7" s="255">
        <f aca="true" t="shared" si="0" ref="D7:D118">IF(B7=0,"   ",C7/B7*100)</f>
        <v>3.527633837960635</v>
      </c>
      <c r="E7" s="256">
        <f aca="true" t="shared" si="1" ref="E7:E152">C7-B7</f>
        <v>-10361710.96</v>
      </c>
    </row>
    <row r="8" spans="1:5" ht="15">
      <c r="A8" s="257" t="s">
        <v>44</v>
      </c>
      <c r="B8" s="251">
        <v>10740600</v>
      </c>
      <c r="C8" s="273">
        <v>378889.04</v>
      </c>
      <c r="D8" s="255">
        <f t="shared" si="0"/>
        <v>3.527633837960635</v>
      </c>
      <c r="E8" s="256">
        <f t="shared" si="1"/>
        <v>-10361710.96</v>
      </c>
    </row>
    <row r="9" spans="1:5" ht="18.75" customHeight="1">
      <c r="A9" s="253" t="s">
        <v>137</v>
      </c>
      <c r="B9" s="272">
        <f>SUM(B10)</f>
        <v>1438700</v>
      </c>
      <c r="C9" s="272">
        <f>SUM(C10)</f>
        <v>115457.79</v>
      </c>
      <c r="D9" s="255">
        <f t="shared" si="0"/>
        <v>8.025147007715299</v>
      </c>
      <c r="E9" s="256">
        <f t="shared" si="1"/>
        <v>-1323242.21</v>
      </c>
    </row>
    <row r="10" spans="1:5" ht="15">
      <c r="A10" s="257" t="s">
        <v>138</v>
      </c>
      <c r="B10" s="251">
        <v>1438700</v>
      </c>
      <c r="C10" s="273">
        <v>115457.79</v>
      </c>
      <c r="D10" s="255">
        <f t="shared" si="0"/>
        <v>8.025147007715299</v>
      </c>
      <c r="E10" s="256">
        <f t="shared" si="1"/>
        <v>-1323242.21</v>
      </c>
    </row>
    <row r="11" spans="1:5" ht="17.25" customHeight="1">
      <c r="A11" s="257" t="s">
        <v>7</v>
      </c>
      <c r="B11" s="251">
        <f>SUM(B12:B12)</f>
        <v>0</v>
      </c>
      <c r="C11" s="272">
        <f>SUM(C12)</f>
        <v>0</v>
      </c>
      <c r="D11" s="255" t="str">
        <f t="shared" si="0"/>
        <v>   </v>
      </c>
      <c r="E11" s="256">
        <f t="shared" si="1"/>
        <v>0</v>
      </c>
    </row>
    <row r="12" spans="1:5" ht="15">
      <c r="A12" s="257" t="s">
        <v>26</v>
      </c>
      <c r="B12" s="251">
        <v>0</v>
      </c>
      <c r="C12" s="273">
        <v>0</v>
      </c>
      <c r="D12" s="255" t="str">
        <f t="shared" si="0"/>
        <v>   </v>
      </c>
      <c r="E12" s="256">
        <f t="shared" si="1"/>
        <v>0</v>
      </c>
    </row>
    <row r="13" spans="1:5" ht="16.5" customHeight="1">
      <c r="A13" s="257" t="s">
        <v>9</v>
      </c>
      <c r="B13" s="251">
        <f>SUM(B14:B15)</f>
        <v>6755000</v>
      </c>
      <c r="C13" s="251">
        <f>SUM(C14:C15)</f>
        <v>188217.64</v>
      </c>
      <c r="D13" s="255">
        <f t="shared" si="0"/>
        <v>2.7863455218356776</v>
      </c>
      <c r="E13" s="256">
        <f t="shared" si="1"/>
        <v>-6566782.36</v>
      </c>
    </row>
    <row r="14" spans="1:5" ht="15">
      <c r="A14" s="257" t="s">
        <v>27</v>
      </c>
      <c r="B14" s="251">
        <v>4165000</v>
      </c>
      <c r="C14" s="273">
        <v>69215.53</v>
      </c>
      <c r="D14" s="255">
        <f t="shared" si="0"/>
        <v>1.6618374549819928</v>
      </c>
      <c r="E14" s="256">
        <f t="shared" si="1"/>
        <v>-4095784.47</v>
      </c>
    </row>
    <row r="15" spans="1:5" ht="15">
      <c r="A15" s="257" t="s">
        <v>160</v>
      </c>
      <c r="B15" s="251">
        <f>SUM(B16:B17)</f>
        <v>2590000</v>
      </c>
      <c r="C15" s="251">
        <f>SUM(C16:C17)</f>
        <v>119002.11</v>
      </c>
      <c r="D15" s="255">
        <f t="shared" si="0"/>
        <v>4.594676061776061</v>
      </c>
      <c r="E15" s="256">
        <f t="shared" si="1"/>
        <v>-2470997.89</v>
      </c>
    </row>
    <row r="16" spans="1:5" ht="15">
      <c r="A16" s="257" t="s">
        <v>161</v>
      </c>
      <c r="B16" s="251">
        <v>1100000</v>
      </c>
      <c r="C16" s="273">
        <v>104925</v>
      </c>
      <c r="D16" s="255">
        <f t="shared" si="0"/>
        <v>9.538636363636362</v>
      </c>
      <c r="E16" s="256">
        <f t="shared" si="1"/>
        <v>-995075</v>
      </c>
    </row>
    <row r="17" spans="1:5" ht="15">
      <c r="A17" s="257" t="s">
        <v>162</v>
      </c>
      <c r="B17" s="251">
        <v>1490000</v>
      </c>
      <c r="C17" s="273">
        <v>14077.11</v>
      </c>
      <c r="D17" s="255">
        <f t="shared" si="0"/>
        <v>0.9447724832214766</v>
      </c>
      <c r="E17" s="256">
        <f t="shared" si="1"/>
        <v>-1475922.89</v>
      </c>
    </row>
    <row r="18" spans="1:5" ht="30.75">
      <c r="A18" s="257" t="s">
        <v>89</v>
      </c>
      <c r="B18" s="251">
        <v>0</v>
      </c>
      <c r="C18" s="274">
        <v>0</v>
      </c>
      <c r="D18" s="255" t="str">
        <f t="shared" si="0"/>
        <v>   </v>
      </c>
      <c r="E18" s="256">
        <f t="shared" si="1"/>
        <v>0</v>
      </c>
    </row>
    <row r="19" spans="1:5" ht="32.25" customHeight="1">
      <c r="A19" s="257" t="s">
        <v>28</v>
      </c>
      <c r="B19" s="251">
        <f>SUM(B20:B23)</f>
        <v>1135000</v>
      </c>
      <c r="C19" s="251">
        <f>SUM(C20:C23)</f>
        <v>28048.47</v>
      </c>
      <c r="D19" s="255">
        <f t="shared" si="0"/>
        <v>2.471230837004405</v>
      </c>
      <c r="E19" s="256">
        <f t="shared" si="1"/>
        <v>-1106951.53</v>
      </c>
    </row>
    <row r="20" spans="1:5" ht="15">
      <c r="A20" s="275" t="s">
        <v>153</v>
      </c>
      <c r="B20" s="251">
        <v>872000</v>
      </c>
      <c r="C20" s="273">
        <v>25755.52</v>
      </c>
      <c r="D20" s="255">
        <f t="shared" si="0"/>
        <v>2.9536146788990827</v>
      </c>
      <c r="E20" s="256">
        <f t="shared" si="1"/>
        <v>-846244.48</v>
      </c>
    </row>
    <row r="21" spans="1:5" ht="15">
      <c r="A21" s="257" t="s">
        <v>152</v>
      </c>
      <c r="B21" s="251">
        <v>0</v>
      </c>
      <c r="C21" s="274">
        <v>0</v>
      </c>
      <c r="D21" s="255" t="str">
        <f t="shared" si="0"/>
        <v>   </v>
      </c>
      <c r="E21" s="256">
        <f t="shared" si="1"/>
        <v>0</v>
      </c>
    </row>
    <row r="22" spans="1:5" ht="33" customHeight="1">
      <c r="A22" s="257" t="s">
        <v>30</v>
      </c>
      <c r="B22" s="251">
        <v>13000</v>
      </c>
      <c r="C22" s="273">
        <v>2292.95</v>
      </c>
      <c r="D22" s="255">
        <f t="shared" si="0"/>
        <v>17.638076923076923</v>
      </c>
      <c r="E22" s="256">
        <f t="shared" si="1"/>
        <v>-10707.05</v>
      </c>
    </row>
    <row r="23" spans="1:5" ht="42" customHeight="1">
      <c r="A23" s="257" t="s">
        <v>199</v>
      </c>
      <c r="B23" s="251">
        <v>250000</v>
      </c>
      <c r="C23" s="273">
        <v>0</v>
      </c>
      <c r="D23" s="255">
        <f t="shared" si="0"/>
        <v>0</v>
      </c>
      <c r="E23" s="256">
        <f t="shared" si="1"/>
        <v>-250000</v>
      </c>
    </row>
    <row r="24" spans="1:5" ht="19.5" customHeight="1">
      <c r="A24" s="257" t="s">
        <v>91</v>
      </c>
      <c r="B24" s="251">
        <v>0</v>
      </c>
      <c r="C24" s="273">
        <v>0</v>
      </c>
      <c r="D24" s="255" t="str">
        <f t="shared" si="0"/>
        <v>   </v>
      </c>
      <c r="E24" s="256">
        <f t="shared" si="1"/>
        <v>0</v>
      </c>
    </row>
    <row r="25" spans="1:5" ht="15.75" customHeight="1">
      <c r="A25" s="257" t="s">
        <v>76</v>
      </c>
      <c r="B25" s="251">
        <f>SUM(B26:B27)</f>
        <v>0</v>
      </c>
      <c r="C25" s="251">
        <f>SUM(C26:C27)</f>
        <v>14965.68</v>
      </c>
      <c r="D25" s="255" t="str">
        <f t="shared" si="0"/>
        <v>   </v>
      </c>
      <c r="E25" s="256">
        <f t="shared" si="1"/>
        <v>14965.68</v>
      </c>
    </row>
    <row r="26" spans="1:5" ht="15.75" customHeight="1">
      <c r="A26" s="257" t="s">
        <v>200</v>
      </c>
      <c r="B26" s="251">
        <v>0</v>
      </c>
      <c r="C26" s="251">
        <v>0</v>
      </c>
      <c r="D26" s="255" t="str">
        <f t="shared" si="0"/>
        <v>   </v>
      </c>
      <c r="E26" s="256">
        <f t="shared" si="1"/>
        <v>0</v>
      </c>
    </row>
    <row r="27" spans="1:5" ht="25.5" customHeight="1">
      <c r="A27" s="257" t="s">
        <v>227</v>
      </c>
      <c r="B27" s="251">
        <v>0</v>
      </c>
      <c r="C27" s="273">
        <v>14965.68</v>
      </c>
      <c r="D27" s="255" t="str">
        <f t="shared" si="0"/>
        <v>   </v>
      </c>
      <c r="E27" s="256">
        <f t="shared" si="1"/>
        <v>14965.68</v>
      </c>
    </row>
    <row r="28" spans="1:5" ht="15" customHeight="1">
      <c r="A28" s="257" t="s">
        <v>31</v>
      </c>
      <c r="B28" s="251">
        <v>0</v>
      </c>
      <c r="C28" s="251">
        <v>0</v>
      </c>
      <c r="D28" s="255" t="str">
        <f t="shared" si="0"/>
        <v>   </v>
      </c>
      <c r="E28" s="256">
        <f t="shared" si="1"/>
        <v>0</v>
      </c>
    </row>
    <row r="29" spans="1:5" ht="15">
      <c r="A29" s="257" t="s">
        <v>32</v>
      </c>
      <c r="B29" s="251">
        <f>B30+B31</f>
        <v>0</v>
      </c>
      <c r="C29" s="251">
        <f>C30+C31</f>
        <v>-1.2</v>
      </c>
      <c r="D29" s="255" t="str">
        <f t="shared" si="0"/>
        <v>   </v>
      </c>
      <c r="E29" s="256">
        <f t="shared" si="1"/>
        <v>-1.2</v>
      </c>
    </row>
    <row r="30" spans="1:5" ht="13.5" customHeight="1">
      <c r="A30" s="257" t="s">
        <v>46</v>
      </c>
      <c r="B30" s="251">
        <v>0</v>
      </c>
      <c r="C30" s="251">
        <v>-1.2</v>
      </c>
      <c r="D30" s="255" t="str">
        <f t="shared" si="0"/>
        <v>   </v>
      </c>
      <c r="E30" s="256">
        <f t="shared" si="1"/>
        <v>-1.2</v>
      </c>
    </row>
    <row r="31" spans="1:5" ht="15.75" customHeight="1">
      <c r="A31" s="257" t="s">
        <v>110</v>
      </c>
      <c r="B31" s="251">
        <v>0</v>
      </c>
      <c r="C31" s="274">
        <v>0</v>
      </c>
      <c r="D31" s="255" t="str">
        <f t="shared" si="0"/>
        <v>   </v>
      </c>
      <c r="E31" s="256">
        <f t="shared" si="1"/>
        <v>0</v>
      </c>
    </row>
    <row r="32" spans="1:5" ht="15" customHeight="1">
      <c r="A32" s="259" t="s">
        <v>10</v>
      </c>
      <c r="B32" s="276">
        <f>SUM(B7,B9,B11,B13,B18,B19,B24,B25,B28,B29,)</f>
        <v>20069300</v>
      </c>
      <c r="C32" s="276">
        <f>SUM(C7,C9,C11,C13,C18,C19,C24,C25,C28,C29,)</f>
        <v>725577.42</v>
      </c>
      <c r="D32" s="260">
        <f t="shared" si="0"/>
        <v>3.6153598780226517</v>
      </c>
      <c r="E32" s="261">
        <f t="shared" si="1"/>
        <v>-19343722.58</v>
      </c>
    </row>
    <row r="33" spans="1:5" ht="18" customHeight="1">
      <c r="A33" s="268" t="s">
        <v>140</v>
      </c>
      <c r="B33" s="277">
        <f>B34+B36+B37+B40+B43+B44+B45+B46+B47+B56+B41+B42</f>
        <v>30565567.65</v>
      </c>
      <c r="C33" s="277">
        <f>C34+C36+C37+C40+C43+C44+C45+C46+C47+C56+C41+C42</f>
        <v>715750</v>
      </c>
      <c r="D33" s="260">
        <f t="shared" si="0"/>
        <v>2.3416872482000186</v>
      </c>
      <c r="E33" s="261">
        <f t="shared" si="1"/>
        <v>-29849817.65</v>
      </c>
    </row>
    <row r="34" spans="1:5" ht="15" customHeight="1">
      <c r="A34" s="253" t="s">
        <v>34</v>
      </c>
      <c r="B34" s="272">
        <v>8298000</v>
      </c>
      <c r="C34" s="273">
        <v>685150</v>
      </c>
      <c r="D34" s="255">
        <f t="shared" si="0"/>
        <v>8.256808869607134</v>
      </c>
      <c r="E34" s="256">
        <f t="shared" si="1"/>
        <v>-7612850</v>
      </c>
    </row>
    <row r="35" spans="1:5" ht="15" customHeight="1">
      <c r="A35" s="253" t="s">
        <v>226</v>
      </c>
      <c r="B35" s="272">
        <v>0</v>
      </c>
      <c r="C35" s="273">
        <v>0</v>
      </c>
      <c r="D35" s="255" t="str">
        <f>IF(B35=0,"   ",C35/B35*100)</f>
        <v>   </v>
      </c>
      <c r="E35" s="256">
        <f>C35-B35</f>
        <v>0</v>
      </c>
    </row>
    <row r="36" spans="1:5" ht="33" customHeight="1">
      <c r="A36" s="257" t="s">
        <v>51</v>
      </c>
      <c r="B36" s="251">
        <v>413500</v>
      </c>
      <c r="C36" s="273">
        <v>30600</v>
      </c>
      <c r="D36" s="255">
        <f t="shared" si="0"/>
        <v>7.4002418379685615</v>
      </c>
      <c r="E36" s="256">
        <f t="shared" si="1"/>
        <v>-382900</v>
      </c>
    </row>
    <row r="37" spans="1:5" ht="33" customHeight="1">
      <c r="A37" s="257" t="s">
        <v>148</v>
      </c>
      <c r="B37" s="251">
        <f>SUM(B38:B39)</f>
        <v>22100</v>
      </c>
      <c r="C37" s="251">
        <f>SUM(C38:C39)</f>
        <v>0</v>
      </c>
      <c r="D37" s="255">
        <f t="shared" si="0"/>
        <v>0</v>
      </c>
      <c r="E37" s="256">
        <f t="shared" si="1"/>
        <v>-22100</v>
      </c>
    </row>
    <row r="38" spans="1:5" ht="13.5" customHeight="1">
      <c r="A38" s="264" t="s">
        <v>163</v>
      </c>
      <c r="B38" s="251">
        <v>800</v>
      </c>
      <c r="C38" s="274">
        <v>0</v>
      </c>
      <c r="D38" s="255">
        <f>IF(B38=0,"   ",C38/B38*100)</f>
        <v>0</v>
      </c>
      <c r="E38" s="256">
        <f>C38-B38</f>
        <v>-800</v>
      </c>
    </row>
    <row r="39" spans="1:5" ht="31.5" customHeight="1">
      <c r="A39" s="264" t="s">
        <v>164</v>
      </c>
      <c r="B39" s="251">
        <v>21300</v>
      </c>
      <c r="C39" s="274">
        <v>0</v>
      </c>
      <c r="D39" s="255">
        <f>IF(B39=0,"   ",C39/B39*100)</f>
        <v>0</v>
      </c>
      <c r="E39" s="256">
        <f>C39-B39</f>
        <v>-21300</v>
      </c>
    </row>
    <row r="40" spans="1:5" ht="47.25" customHeight="1">
      <c r="A40" s="257" t="s">
        <v>123</v>
      </c>
      <c r="B40" s="251">
        <v>0</v>
      </c>
      <c r="C40" s="274">
        <v>0</v>
      </c>
      <c r="D40" s="255" t="str">
        <f t="shared" si="0"/>
        <v>   </v>
      </c>
      <c r="E40" s="256">
        <f t="shared" si="1"/>
        <v>0</v>
      </c>
    </row>
    <row r="41" spans="1:5" ht="33" customHeight="1">
      <c r="A41" s="257" t="s">
        <v>286</v>
      </c>
      <c r="B41" s="251">
        <v>0</v>
      </c>
      <c r="C41" s="274">
        <v>0</v>
      </c>
      <c r="D41" s="255" t="str">
        <f t="shared" si="0"/>
        <v>   </v>
      </c>
      <c r="E41" s="256">
        <f t="shared" si="1"/>
        <v>0</v>
      </c>
    </row>
    <row r="42" spans="1:5" ht="33" customHeight="1">
      <c r="A42" s="257" t="s">
        <v>287</v>
      </c>
      <c r="B42" s="251">
        <v>0</v>
      </c>
      <c r="C42" s="274">
        <v>0</v>
      </c>
      <c r="D42" s="255" t="str">
        <f t="shared" si="0"/>
        <v>   </v>
      </c>
      <c r="E42" s="256">
        <f t="shared" si="1"/>
        <v>0</v>
      </c>
    </row>
    <row r="43" spans="1:5" ht="47.25" customHeight="1">
      <c r="A43" s="285" t="s">
        <v>217</v>
      </c>
      <c r="B43" s="278">
        <v>5563927.65</v>
      </c>
      <c r="C43" s="258">
        <v>0</v>
      </c>
      <c r="D43" s="262">
        <f>IF(B43=0,"   ",C43/B43)</f>
        <v>0</v>
      </c>
      <c r="E43" s="263">
        <f>C43-B43</f>
        <v>-5563927.65</v>
      </c>
    </row>
    <row r="44" spans="1:5" ht="57" customHeight="1">
      <c r="A44" s="285" t="s">
        <v>254</v>
      </c>
      <c r="B44" s="278">
        <v>1239600</v>
      </c>
      <c r="C44" s="258">
        <v>0</v>
      </c>
      <c r="D44" s="262">
        <f>IF(B44=0,"   ",C44/B44)</f>
        <v>0</v>
      </c>
      <c r="E44" s="263">
        <f>C44-B44</f>
        <v>-1239600</v>
      </c>
    </row>
    <row r="45" spans="1:5" ht="58.5" customHeight="1">
      <c r="A45" s="285" t="s">
        <v>237</v>
      </c>
      <c r="B45" s="251">
        <v>1567100</v>
      </c>
      <c r="C45" s="274">
        <v>0</v>
      </c>
      <c r="D45" s="255">
        <f t="shared" si="0"/>
        <v>0</v>
      </c>
      <c r="E45" s="256">
        <f t="shared" si="1"/>
        <v>-1567100</v>
      </c>
    </row>
    <row r="46" spans="1:5" ht="65.25" customHeight="1">
      <c r="A46" s="285" t="s">
        <v>259</v>
      </c>
      <c r="B46" s="251">
        <v>0</v>
      </c>
      <c r="C46" s="274">
        <v>0</v>
      </c>
      <c r="D46" s="255" t="str">
        <f t="shared" si="0"/>
        <v>   </v>
      </c>
      <c r="E46" s="256">
        <f t="shared" si="1"/>
        <v>0</v>
      </c>
    </row>
    <row r="47" spans="1:5" ht="15" customHeight="1">
      <c r="A47" s="257" t="s">
        <v>55</v>
      </c>
      <c r="B47" s="251">
        <f>SUM(B48:B55)</f>
        <v>13461340</v>
      </c>
      <c r="C47" s="251">
        <f>SUM(C48:C55)</f>
        <v>0</v>
      </c>
      <c r="D47" s="255">
        <f t="shared" si="0"/>
        <v>0</v>
      </c>
      <c r="E47" s="256">
        <f t="shared" si="1"/>
        <v>-13461340</v>
      </c>
    </row>
    <row r="48" spans="1:5" ht="30" customHeight="1">
      <c r="A48" s="257" t="s">
        <v>187</v>
      </c>
      <c r="B48" s="251">
        <v>0</v>
      </c>
      <c r="C48" s="251">
        <v>0</v>
      </c>
      <c r="D48" s="255" t="str">
        <f t="shared" si="0"/>
        <v>   </v>
      </c>
      <c r="E48" s="256">
        <f t="shared" si="1"/>
        <v>0</v>
      </c>
    </row>
    <row r="49" spans="1:5" ht="33.75" customHeight="1">
      <c r="A49" s="257" t="s">
        <v>268</v>
      </c>
      <c r="B49" s="251">
        <v>0</v>
      </c>
      <c r="C49" s="251">
        <v>0</v>
      </c>
      <c r="D49" s="255" t="str">
        <f>IF(B49=0,"   ",C49/B49*100)</f>
        <v>   </v>
      </c>
      <c r="E49" s="256">
        <f>C49-B49</f>
        <v>0</v>
      </c>
    </row>
    <row r="50" spans="1:5" ht="24" customHeight="1">
      <c r="A50" s="257" t="s">
        <v>302</v>
      </c>
      <c r="B50" s="251">
        <v>0</v>
      </c>
      <c r="C50" s="251">
        <v>0</v>
      </c>
      <c r="D50" s="255" t="str">
        <f>IF(B50=0,"   ",C50/B50*100)</f>
        <v>   </v>
      </c>
      <c r="E50" s="256">
        <f>C50-B50</f>
        <v>0</v>
      </c>
    </row>
    <row r="51" spans="1:5" ht="24" customHeight="1">
      <c r="A51" s="257" t="s">
        <v>336</v>
      </c>
      <c r="B51" s="251">
        <v>8969440</v>
      </c>
      <c r="C51" s="251">
        <v>0</v>
      </c>
      <c r="D51" s="255">
        <f>IF(B51=0,"   ",C51/B51*100)</f>
        <v>0</v>
      </c>
      <c r="E51" s="256">
        <f>C51-B51</f>
        <v>-8969440</v>
      </c>
    </row>
    <row r="52" spans="1:5" ht="24" customHeight="1">
      <c r="A52" s="257" t="s">
        <v>337</v>
      </c>
      <c r="B52" s="251">
        <v>3421600</v>
      </c>
      <c r="C52" s="251">
        <v>0</v>
      </c>
      <c r="D52" s="255"/>
      <c r="E52" s="256"/>
    </row>
    <row r="53" spans="1:5" ht="15" customHeight="1">
      <c r="A53" s="257" t="s">
        <v>284</v>
      </c>
      <c r="B53" s="251">
        <v>0</v>
      </c>
      <c r="C53" s="251">
        <v>0</v>
      </c>
      <c r="D53" s="255" t="str">
        <f>IF(B53=0,"   ",C53/B53*100)</f>
        <v>   </v>
      </c>
      <c r="E53" s="256">
        <f>C53-B53</f>
        <v>0</v>
      </c>
    </row>
    <row r="54" spans="1:5" ht="15" customHeight="1">
      <c r="A54" s="46" t="s">
        <v>333</v>
      </c>
      <c r="B54" s="251">
        <v>203100</v>
      </c>
      <c r="C54" s="251">
        <v>0</v>
      </c>
      <c r="D54" s="255"/>
      <c r="E54" s="256"/>
    </row>
    <row r="55" spans="1:5" ht="18" customHeight="1">
      <c r="A55" s="257" t="s">
        <v>109</v>
      </c>
      <c r="B55" s="251">
        <v>867200</v>
      </c>
      <c r="C55" s="274">
        <v>0</v>
      </c>
      <c r="D55" s="255">
        <f t="shared" si="0"/>
        <v>0</v>
      </c>
      <c r="E55" s="256">
        <f t="shared" si="1"/>
        <v>-867200</v>
      </c>
    </row>
    <row r="56" spans="1:5" ht="18" customHeight="1">
      <c r="A56" s="257" t="s">
        <v>184</v>
      </c>
      <c r="B56" s="251">
        <v>0</v>
      </c>
      <c r="C56" s="274">
        <v>0</v>
      </c>
      <c r="D56" s="255" t="str">
        <f t="shared" si="0"/>
        <v>   </v>
      </c>
      <c r="E56" s="256">
        <f t="shared" si="1"/>
        <v>0</v>
      </c>
    </row>
    <row r="57" spans="1:5" ht="29.25" customHeight="1">
      <c r="A57" s="259" t="s">
        <v>11</v>
      </c>
      <c r="B57" s="276">
        <f>SUM(B32,B33,)</f>
        <v>50634867.65</v>
      </c>
      <c r="C57" s="276">
        <f>SUM(C32,C33,)</f>
        <v>1441327.42</v>
      </c>
      <c r="D57" s="260">
        <f t="shared" si="0"/>
        <v>2.8465116764258</v>
      </c>
      <c r="E57" s="261">
        <f t="shared" si="1"/>
        <v>-49193540.23</v>
      </c>
    </row>
    <row r="58" spans="1:5" ht="16.5" customHeight="1">
      <c r="A58" s="259"/>
      <c r="B58" s="272"/>
      <c r="C58" s="251"/>
      <c r="D58" s="255" t="str">
        <f t="shared" si="0"/>
        <v>   </v>
      </c>
      <c r="E58" s="256"/>
    </row>
    <row r="59" spans="1:5" ht="15.75">
      <c r="A59" s="265" t="s">
        <v>12</v>
      </c>
      <c r="B59" s="276"/>
      <c r="C59" s="279"/>
      <c r="D59" s="255" t="str">
        <f t="shared" si="0"/>
        <v>   </v>
      </c>
      <c r="E59" s="256"/>
    </row>
    <row r="60" spans="1:5" ht="18" customHeight="1">
      <c r="A60" s="257" t="s">
        <v>35</v>
      </c>
      <c r="B60" s="251">
        <f>SUM(B61,B64,B65)</f>
        <v>3367100</v>
      </c>
      <c r="C60" s="251">
        <f>SUM(C61,C64,C65)</f>
        <v>108497.97</v>
      </c>
      <c r="D60" s="255">
        <f t="shared" si="0"/>
        <v>3.2222972290695253</v>
      </c>
      <c r="E60" s="256">
        <f t="shared" si="1"/>
        <v>-3258602.03</v>
      </c>
    </row>
    <row r="61" spans="1:5" ht="16.5" customHeight="1">
      <c r="A61" s="257" t="s">
        <v>36</v>
      </c>
      <c r="B61" s="251">
        <v>3295100</v>
      </c>
      <c r="C61" s="274">
        <v>108497.97</v>
      </c>
      <c r="D61" s="255">
        <f t="shared" si="0"/>
        <v>3.292706442900064</v>
      </c>
      <c r="E61" s="256">
        <f t="shared" si="1"/>
        <v>-3186602.03</v>
      </c>
    </row>
    <row r="62" spans="1:5" ht="15">
      <c r="A62" s="257" t="s">
        <v>121</v>
      </c>
      <c r="B62" s="251">
        <v>1613440</v>
      </c>
      <c r="C62" s="279">
        <v>41500</v>
      </c>
      <c r="D62" s="255">
        <f t="shared" si="0"/>
        <v>2.5721439904799683</v>
      </c>
      <c r="E62" s="256">
        <f t="shared" si="1"/>
        <v>-1571940</v>
      </c>
    </row>
    <row r="63" spans="1:5" ht="15">
      <c r="A63" s="257" t="s">
        <v>276</v>
      </c>
      <c r="B63" s="251">
        <v>800</v>
      </c>
      <c r="C63" s="279">
        <v>0</v>
      </c>
      <c r="D63" s="255">
        <f>IF(B63=0,"   ",C63/B63*100)</f>
        <v>0</v>
      </c>
      <c r="E63" s="256">
        <f>C63-B63</f>
        <v>-800</v>
      </c>
    </row>
    <row r="64" spans="1:5" ht="15">
      <c r="A64" s="257" t="s">
        <v>95</v>
      </c>
      <c r="B64" s="251">
        <v>10000</v>
      </c>
      <c r="C64" s="279">
        <v>0</v>
      </c>
      <c r="D64" s="255">
        <f t="shared" si="0"/>
        <v>0</v>
      </c>
      <c r="E64" s="256">
        <f t="shared" si="1"/>
        <v>-10000</v>
      </c>
    </row>
    <row r="65" spans="1:5" ht="15">
      <c r="A65" s="257" t="s">
        <v>52</v>
      </c>
      <c r="B65" s="274">
        <f>SUM(B66+B68+B69+B67)</f>
        <v>62000</v>
      </c>
      <c r="C65" s="274">
        <f>SUM(C66+C68+C69+C67)</f>
        <v>0</v>
      </c>
      <c r="D65" s="255">
        <f t="shared" si="0"/>
        <v>0</v>
      </c>
      <c r="E65" s="256">
        <f t="shared" si="1"/>
        <v>-62000</v>
      </c>
    </row>
    <row r="66" spans="1:5" ht="26.25" customHeight="1">
      <c r="A66" s="266" t="s">
        <v>241</v>
      </c>
      <c r="B66" s="251">
        <v>60000</v>
      </c>
      <c r="C66" s="251">
        <v>0</v>
      </c>
      <c r="D66" s="255">
        <f t="shared" si="0"/>
        <v>0</v>
      </c>
      <c r="E66" s="256">
        <f t="shared" si="1"/>
        <v>-60000</v>
      </c>
    </row>
    <row r="67" spans="1:5" ht="26.25" customHeight="1">
      <c r="A67" s="266" t="s">
        <v>240</v>
      </c>
      <c r="B67" s="251">
        <v>2000</v>
      </c>
      <c r="C67" s="251">
        <v>0</v>
      </c>
      <c r="D67" s="255">
        <f t="shared" si="0"/>
        <v>0</v>
      </c>
      <c r="E67" s="256">
        <f t="shared" si="1"/>
        <v>-2000</v>
      </c>
    </row>
    <row r="68" spans="1:5" ht="26.25" customHeight="1">
      <c r="A68" s="266" t="s">
        <v>244</v>
      </c>
      <c r="B68" s="251">
        <v>0</v>
      </c>
      <c r="C68" s="251">
        <v>0</v>
      </c>
      <c r="D68" s="255" t="str">
        <f t="shared" si="0"/>
        <v>   </v>
      </c>
      <c r="E68" s="256">
        <f t="shared" si="1"/>
        <v>0</v>
      </c>
    </row>
    <row r="69" spans="1:5" ht="15">
      <c r="A69" s="266" t="s">
        <v>220</v>
      </c>
      <c r="B69" s="251">
        <v>0</v>
      </c>
      <c r="C69" s="251">
        <v>0</v>
      </c>
      <c r="D69" s="255" t="str">
        <f t="shared" si="0"/>
        <v>   </v>
      </c>
      <c r="E69" s="256">
        <f t="shared" si="1"/>
        <v>0</v>
      </c>
    </row>
    <row r="70" spans="1:5" ht="21" customHeight="1">
      <c r="A70" s="257" t="s">
        <v>49</v>
      </c>
      <c r="B70" s="274">
        <f>SUM(B71)</f>
        <v>413500</v>
      </c>
      <c r="C70" s="274">
        <f>SUM(C71)</f>
        <v>10000</v>
      </c>
      <c r="D70" s="255">
        <f t="shared" si="0"/>
        <v>2.418379685610641</v>
      </c>
      <c r="E70" s="256">
        <f t="shared" si="1"/>
        <v>-403500</v>
      </c>
    </row>
    <row r="71" spans="1:5" ht="17.25" customHeight="1">
      <c r="A71" s="257" t="s">
        <v>107</v>
      </c>
      <c r="B71" s="251">
        <v>413500</v>
      </c>
      <c r="C71" s="274">
        <v>10000</v>
      </c>
      <c r="D71" s="255">
        <f t="shared" si="0"/>
        <v>2.418379685610641</v>
      </c>
      <c r="E71" s="256">
        <f t="shared" si="1"/>
        <v>-403500</v>
      </c>
    </row>
    <row r="72" spans="1:5" ht="15.75" customHeight="1">
      <c r="A72" s="257" t="s">
        <v>37</v>
      </c>
      <c r="B72" s="274">
        <f>SUM(B73+B76)</f>
        <v>967400</v>
      </c>
      <c r="C72" s="274">
        <f>SUM(C73+C76)</f>
        <v>10000</v>
      </c>
      <c r="D72" s="255">
        <f t="shared" si="0"/>
        <v>1.0336985734959685</v>
      </c>
      <c r="E72" s="256">
        <f t="shared" si="1"/>
        <v>-957400</v>
      </c>
    </row>
    <row r="73" spans="1:5" ht="27" customHeight="1">
      <c r="A73" s="257" t="s">
        <v>86</v>
      </c>
      <c r="B73" s="251">
        <f>B74</f>
        <v>913400</v>
      </c>
      <c r="C73" s="251">
        <f>C74</f>
        <v>10000</v>
      </c>
      <c r="D73" s="255">
        <f t="shared" si="0"/>
        <v>1.0948105977665865</v>
      </c>
      <c r="E73" s="256">
        <f t="shared" si="1"/>
        <v>-903400</v>
      </c>
    </row>
    <row r="74" spans="1:5" ht="16.5" customHeight="1">
      <c r="A74" s="257" t="s">
        <v>96</v>
      </c>
      <c r="B74" s="251">
        <v>913400</v>
      </c>
      <c r="C74" s="251">
        <v>10000</v>
      </c>
      <c r="D74" s="255">
        <f t="shared" si="0"/>
        <v>1.0948105977665865</v>
      </c>
      <c r="E74" s="256">
        <f t="shared" si="1"/>
        <v>-903400</v>
      </c>
    </row>
    <row r="75" spans="1:5" ht="14.25" customHeight="1">
      <c r="A75" s="257" t="s">
        <v>121</v>
      </c>
      <c r="B75" s="251">
        <v>687711</v>
      </c>
      <c r="C75" s="274">
        <v>10000</v>
      </c>
      <c r="D75" s="255">
        <f t="shared" si="0"/>
        <v>1.4540991782885544</v>
      </c>
      <c r="E75" s="256">
        <f t="shared" si="1"/>
        <v>-677711</v>
      </c>
    </row>
    <row r="76" spans="1:5" ht="17.25" customHeight="1">
      <c r="A76" s="257" t="s">
        <v>127</v>
      </c>
      <c r="B76" s="251">
        <v>54000</v>
      </c>
      <c r="C76" s="274">
        <v>0</v>
      </c>
      <c r="D76" s="255">
        <f t="shared" si="0"/>
        <v>0</v>
      </c>
      <c r="E76" s="256">
        <f t="shared" si="1"/>
        <v>-54000</v>
      </c>
    </row>
    <row r="77" spans="1:5" ht="18" customHeight="1">
      <c r="A77" s="257" t="s">
        <v>38</v>
      </c>
      <c r="B77" s="251">
        <f>B87+B80+B85+B98+B78</f>
        <v>5778800</v>
      </c>
      <c r="C77" s="251">
        <f>C87+C80+C85+C98+C78</f>
        <v>2558.4</v>
      </c>
      <c r="D77" s="255">
        <f t="shared" si="0"/>
        <v>0.04427216723195127</v>
      </c>
      <c r="E77" s="256">
        <f t="shared" si="1"/>
        <v>-5776241.6</v>
      </c>
    </row>
    <row r="78" spans="1:5" ht="18" customHeight="1">
      <c r="A78" s="267" t="s">
        <v>238</v>
      </c>
      <c r="B78" s="251">
        <f>SUM(B79)</f>
        <v>268800</v>
      </c>
      <c r="C78" s="251">
        <f>SUM(C79)</f>
        <v>2558.4</v>
      </c>
      <c r="D78" s="255">
        <f t="shared" si="0"/>
        <v>0.9517857142857143</v>
      </c>
      <c r="E78" s="256">
        <f t="shared" si="1"/>
        <v>-266241.6</v>
      </c>
    </row>
    <row r="79" spans="1:5" ht="35.25" customHeight="1">
      <c r="A79" s="267" t="s">
        <v>239</v>
      </c>
      <c r="B79" s="251">
        <v>268800</v>
      </c>
      <c r="C79" s="251">
        <v>2558.4</v>
      </c>
      <c r="D79" s="255">
        <f t="shared" si="0"/>
        <v>0.9517857142857143</v>
      </c>
      <c r="E79" s="256">
        <f t="shared" si="1"/>
        <v>-266241.6</v>
      </c>
    </row>
    <row r="80" spans="1:5" ht="18" customHeight="1">
      <c r="A80" s="267" t="s">
        <v>165</v>
      </c>
      <c r="B80" s="251">
        <f>SUM(B81:B84)</f>
        <v>297400</v>
      </c>
      <c r="C80" s="251">
        <f>SUM(C81:C84)</f>
        <v>0</v>
      </c>
      <c r="D80" s="255">
        <f aca="true" t="shared" si="2" ref="D80:D86">IF(B80=0,"   ",C80/B80*100)</f>
        <v>0</v>
      </c>
      <c r="E80" s="256">
        <f aca="true" t="shared" si="3" ref="E80:E86">C80-B80</f>
        <v>-297400</v>
      </c>
    </row>
    <row r="81" spans="1:5" ht="18" customHeight="1">
      <c r="A81" s="267" t="s">
        <v>169</v>
      </c>
      <c r="B81" s="251">
        <v>60000</v>
      </c>
      <c r="C81" s="251">
        <v>0</v>
      </c>
      <c r="D81" s="255">
        <f t="shared" si="2"/>
        <v>0</v>
      </c>
      <c r="E81" s="256">
        <f t="shared" si="3"/>
        <v>-60000</v>
      </c>
    </row>
    <row r="82" spans="1:5" ht="18" customHeight="1">
      <c r="A82" s="267" t="s">
        <v>166</v>
      </c>
      <c r="B82" s="251">
        <v>21300</v>
      </c>
      <c r="C82" s="251">
        <v>0</v>
      </c>
      <c r="D82" s="255">
        <f t="shared" si="2"/>
        <v>0</v>
      </c>
      <c r="E82" s="256">
        <f t="shared" si="3"/>
        <v>-21300</v>
      </c>
    </row>
    <row r="83" spans="1:5" ht="18" customHeight="1">
      <c r="A83" s="75" t="s">
        <v>334</v>
      </c>
      <c r="B83" s="251">
        <v>203100</v>
      </c>
      <c r="C83" s="251">
        <v>0</v>
      </c>
      <c r="D83" s="255">
        <f t="shared" si="2"/>
        <v>0</v>
      </c>
      <c r="E83" s="256">
        <f t="shared" si="3"/>
        <v>-203100</v>
      </c>
    </row>
    <row r="84" spans="1:5" ht="18" customHeight="1">
      <c r="A84" s="75" t="s">
        <v>335</v>
      </c>
      <c r="B84" s="251">
        <v>13000</v>
      </c>
      <c r="C84" s="251">
        <v>0</v>
      </c>
      <c r="D84" s="255">
        <f t="shared" si="2"/>
        <v>0</v>
      </c>
      <c r="E84" s="256">
        <f t="shared" si="3"/>
        <v>-13000</v>
      </c>
    </row>
    <row r="85" spans="1:5" ht="18" customHeight="1">
      <c r="A85" s="267" t="s">
        <v>228</v>
      </c>
      <c r="B85" s="251">
        <f>SUM(B86)</f>
        <v>0</v>
      </c>
      <c r="C85" s="251">
        <f>SUM(C86)</f>
        <v>0</v>
      </c>
      <c r="D85" s="255" t="str">
        <f t="shared" si="2"/>
        <v>   </v>
      </c>
      <c r="E85" s="256">
        <f t="shared" si="3"/>
        <v>0</v>
      </c>
    </row>
    <row r="86" spans="1:5" ht="18" customHeight="1">
      <c r="A86" s="267" t="s">
        <v>229</v>
      </c>
      <c r="B86" s="251">
        <v>0</v>
      </c>
      <c r="C86" s="251">
        <v>0</v>
      </c>
      <c r="D86" s="255" t="str">
        <f t="shared" si="2"/>
        <v>   </v>
      </c>
      <c r="E86" s="256">
        <f t="shared" si="3"/>
        <v>0</v>
      </c>
    </row>
    <row r="87" spans="1:5" ht="18.75" customHeight="1">
      <c r="A87" s="280" t="s">
        <v>131</v>
      </c>
      <c r="B87" s="251">
        <f>SUM(B88:B97)</f>
        <v>5112600</v>
      </c>
      <c r="C87" s="251">
        <f>SUM(C88:C97)</f>
        <v>0</v>
      </c>
      <c r="D87" s="255">
        <f t="shared" si="0"/>
        <v>0</v>
      </c>
      <c r="E87" s="256">
        <f t="shared" si="1"/>
        <v>-5112600</v>
      </c>
    </row>
    <row r="88" spans="1:5" ht="21" customHeight="1">
      <c r="A88" s="267" t="s">
        <v>149</v>
      </c>
      <c r="B88" s="251">
        <v>300000</v>
      </c>
      <c r="C88" s="251">
        <v>0</v>
      </c>
      <c r="D88" s="255">
        <f t="shared" si="0"/>
        <v>0</v>
      </c>
      <c r="E88" s="256">
        <f t="shared" si="1"/>
        <v>-300000</v>
      </c>
    </row>
    <row r="89" spans="1:5" ht="28.5" customHeight="1">
      <c r="A89" s="266" t="s">
        <v>246</v>
      </c>
      <c r="B89" s="251">
        <v>0</v>
      </c>
      <c r="C89" s="251">
        <v>0</v>
      </c>
      <c r="D89" s="255" t="str">
        <f t="shared" si="0"/>
        <v>   </v>
      </c>
      <c r="E89" s="256">
        <f t="shared" si="1"/>
        <v>0</v>
      </c>
    </row>
    <row r="90" spans="1:5" ht="27" customHeight="1">
      <c r="A90" s="266" t="s">
        <v>247</v>
      </c>
      <c r="B90" s="251">
        <v>730300</v>
      </c>
      <c r="C90" s="251">
        <v>0</v>
      </c>
      <c r="D90" s="255">
        <f t="shared" si="0"/>
        <v>0</v>
      </c>
      <c r="E90" s="256">
        <f t="shared" si="1"/>
        <v>-730300</v>
      </c>
    </row>
    <row r="91" spans="1:5" ht="30" customHeight="1">
      <c r="A91" s="266" t="s">
        <v>248</v>
      </c>
      <c r="B91" s="251">
        <v>1239600</v>
      </c>
      <c r="C91" s="251">
        <v>0</v>
      </c>
      <c r="D91" s="255">
        <f t="shared" si="0"/>
        <v>0</v>
      </c>
      <c r="E91" s="256">
        <f t="shared" si="1"/>
        <v>-1239600</v>
      </c>
    </row>
    <row r="92" spans="1:5" ht="35.25" customHeight="1">
      <c r="A92" s="266" t="s">
        <v>249</v>
      </c>
      <c r="B92" s="251">
        <v>137800</v>
      </c>
      <c r="C92" s="251">
        <v>0</v>
      </c>
      <c r="D92" s="255">
        <f t="shared" si="0"/>
        <v>0</v>
      </c>
      <c r="E92" s="256">
        <f t="shared" si="1"/>
        <v>-137800</v>
      </c>
    </row>
    <row r="93" spans="1:5" ht="35.25" customHeight="1">
      <c r="A93" s="266" t="s">
        <v>250</v>
      </c>
      <c r="B93" s="251">
        <v>867200</v>
      </c>
      <c r="C93" s="251">
        <v>0</v>
      </c>
      <c r="D93" s="255">
        <f t="shared" si="0"/>
        <v>0</v>
      </c>
      <c r="E93" s="256">
        <f t="shared" si="1"/>
        <v>-867200</v>
      </c>
    </row>
    <row r="94" spans="1:5" ht="30" customHeight="1">
      <c r="A94" s="266" t="s">
        <v>251</v>
      </c>
      <c r="B94" s="251">
        <v>96400</v>
      </c>
      <c r="C94" s="251">
        <v>0</v>
      </c>
      <c r="D94" s="255">
        <f t="shared" si="0"/>
        <v>0</v>
      </c>
      <c r="E94" s="256">
        <f t="shared" si="1"/>
        <v>-96400</v>
      </c>
    </row>
    <row r="95" spans="1:5" ht="21" customHeight="1">
      <c r="A95" s="267" t="s">
        <v>256</v>
      </c>
      <c r="B95" s="251">
        <v>0</v>
      </c>
      <c r="C95" s="251">
        <v>0</v>
      </c>
      <c r="D95" s="255" t="str">
        <f t="shared" si="0"/>
        <v>   </v>
      </c>
      <c r="E95" s="256">
        <f t="shared" si="1"/>
        <v>0</v>
      </c>
    </row>
    <row r="96" spans="1:5" ht="29.25" customHeight="1">
      <c r="A96" s="266" t="s">
        <v>141</v>
      </c>
      <c r="B96" s="251">
        <v>1567100</v>
      </c>
      <c r="C96" s="251">
        <v>0</v>
      </c>
      <c r="D96" s="255">
        <f t="shared" si="0"/>
        <v>0</v>
      </c>
      <c r="E96" s="256">
        <f t="shared" si="1"/>
        <v>-1567100</v>
      </c>
    </row>
    <row r="97" spans="1:5" ht="32.25" customHeight="1">
      <c r="A97" s="266" t="s">
        <v>242</v>
      </c>
      <c r="B97" s="251">
        <v>174200</v>
      </c>
      <c r="C97" s="251">
        <v>0</v>
      </c>
      <c r="D97" s="255">
        <f t="shared" si="0"/>
        <v>0</v>
      </c>
      <c r="E97" s="256">
        <f t="shared" si="1"/>
        <v>-174200</v>
      </c>
    </row>
    <row r="98" spans="1:5" ht="15">
      <c r="A98" s="280" t="s">
        <v>176</v>
      </c>
      <c r="B98" s="254">
        <f>B99</f>
        <v>100000</v>
      </c>
      <c r="C98" s="254">
        <f>C99</f>
        <v>0</v>
      </c>
      <c r="D98" s="262">
        <f>IF(B98=0,"   ",C98/B98)</f>
        <v>0</v>
      </c>
      <c r="E98" s="263">
        <f>C98-B98</f>
        <v>-100000</v>
      </c>
    </row>
    <row r="99" spans="1:5" ht="30.75">
      <c r="A99" s="266" t="s">
        <v>155</v>
      </c>
      <c r="B99" s="254">
        <v>100000</v>
      </c>
      <c r="C99" s="254">
        <v>0</v>
      </c>
      <c r="D99" s="262">
        <f>IF(B99=0,"   ",C99/B99)</f>
        <v>0</v>
      </c>
      <c r="E99" s="263">
        <f>C99-B99</f>
        <v>-100000</v>
      </c>
    </row>
    <row r="100" spans="1:5" ht="30.75">
      <c r="A100" s="267" t="s">
        <v>177</v>
      </c>
      <c r="B100" s="254">
        <v>0</v>
      </c>
      <c r="C100" s="254">
        <v>0</v>
      </c>
      <c r="D100" s="262" t="str">
        <f>IF(B100=0,"   ",C100/B100)</f>
        <v>   </v>
      </c>
      <c r="E100" s="263">
        <f>C100-B100</f>
        <v>0</v>
      </c>
    </row>
    <row r="101" spans="1:5" ht="18" customHeight="1">
      <c r="A101" s="257" t="s">
        <v>13</v>
      </c>
      <c r="B101" s="251">
        <f>SUM(B102,B105,B116)</f>
        <v>19800727.65</v>
      </c>
      <c r="C101" s="251">
        <f>SUM(C102,C105,C116)</f>
        <v>511580.62</v>
      </c>
      <c r="D101" s="255">
        <f t="shared" si="0"/>
        <v>2.5836455560763194</v>
      </c>
      <c r="E101" s="256">
        <f t="shared" si="1"/>
        <v>-19289147.029999997</v>
      </c>
    </row>
    <row r="102" spans="1:5" ht="18.75" customHeight="1">
      <c r="A102" s="275" t="s">
        <v>14</v>
      </c>
      <c r="B102" s="281">
        <f>SUM(B103:B104)</f>
        <v>700000</v>
      </c>
      <c r="C102" s="281">
        <f>SUM(C103:C104)</f>
        <v>0</v>
      </c>
      <c r="D102" s="255">
        <f t="shared" si="0"/>
        <v>0</v>
      </c>
      <c r="E102" s="256">
        <f t="shared" si="1"/>
        <v>-700000</v>
      </c>
    </row>
    <row r="103" spans="1:5" ht="15">
      <c r="A103" s="257" t="s">
        <v>101</v>
      </c>
      <c r="B103" s="251">
        <v>630000</v>
      </c>
      <c r="C103" s="274">
        <v>0</v>
      </c>
      <c r="D103" s="255">
        <f t="shared" si="0"/>
        <v>0</v>
      </c>
      <c r="E103" s="256">
        <f t="shared" si="1"/>
        <v>-630000</v>
      </c>
    </row>
    <row r="104" spans="1:5" ht="15">
      <c r="A104" s="257" t="s">
        <v>182</v>
      </c>
      <c r="B104" s="251">
        <v>70000</v>
      </c>
      <c r="C104" s="274">
        <v>0</v>
      </c>
      <c r="D104" s="255">
        <f t="shared" si="0"/>
        <v>0</v>
      </c>
      <c r="E104" s="256">
        <f t="shared" si="1"/>
        <v>-70000</v>
      </c>
    </row>
    <row r="105" spans="1:5" ht="18" customHeight="1">
      <c r="A105" s="275" t="s">
        <v>64</v>
      </c>
      <c r="B105" s="281">
        <f>SUM(B106:B110,B114,B115)</f>
        <v>4236400</v>
      </c>
      <c r="C105" s="281">
        <f>SUM(C106:C110,C114,C115)</f>
        <v>0</v>
      </c>
      <c r="D105" s="255">
        <f t="shared" si="0"/>
        <v>0</v>
      </c>
      <c r="E105" s="256">
        <f t="shared" si="1"/>
        <v>-4236400</v>
      </c>
    </row>
    <row r="106" spans="1:5" ht="15">
      <c r="A106" s="257" t="s">
        <v>142</v>
      </c>
      <c r="B106" s="251">
        <v>100000</v>
      </c>
      <c r="C106" s="251">
        <v>0</v>
      </c>
      <c r="D106" s="255">
        <f t="shared" si="0"/>
        <v>0</v>
      </c>
      <c r="E106" s="256">
        <f t="shared" si="1"/>
        <v>-100000</v>
      </c>
    </row>
    <row r="107" spans="1:5" ht="15">
      <c r="A107" s="257" t="s">
        <v>158</v>
      </c>
      <c r="B107" s="251">
        <v>196400</v>
      </c>
      <c r="C107" s="251">
        <v>0</v>
      </c>
      <c r="D107" s="255">
        <f t="shared" si="0"/>
        <v>0</v>
      </c>
      <c r="E107" s="256">
        <f t="shared" si="1"/>
        <v>-196400</v>
      </c>
    </row>
    <row r="108" spans="1:5" ht="30.75">
      <c r="A108" s="257" t="s">
        <v>338</v>
      </c>
      <c r="B108" s="251">
        <v>3421600</v>
      </c>
      <c r="C108" s="251">
        <v>0</v>
      </c>
      <c r="D108" s="255">
        <f>IF(B108=0,"   ",C108/B108*100)</f>
        <v>0</v>
      </c>
      <c r="E108" s="256">
        <f>C108-B108</f>
        <v>-3421600</v>
      </c>
    </row>
    <row r="109" spans="1:5" ht="30.75">
      <c r="A109" s="257" t="s">
        <v>339</v>
      </c>
      <c r="B109" s="251">
        <v>218400</v>
      </c>
      <c r="C109" s="251">
        <v>0</v>
      </c>
      <c r="D109" s="255">
        <f>IF(B109=0,"   ",C109/B109*100)</f>
        <v>0</v>
      </c>
      <c r="E109" s="256">
        <f>C109-B109</f>
        <v>-218400</v>
      </c>
    </row>
    <row r="110" spans="1:5" ht="30.75">
      <c r="A110" s="266" t="s">
        <v>204</v>
      </c>
      <c r="B110" s="251">
        <f>SUM(B111:B113)</f>
        <v>0</v>
      </c>
      <c r="C110" s="251">
        <f>SUM(C111:C113)</f>
        <v>0</v>
      </c>
      <c r="D110" s="255" t="str">
        <f>IF(B110=0,"   ",C110/B110*100)</f>
        <v>   </v>
      </c>
      <c r="E110" s="256">
        <f>C110-B110</f>
        <v>0</v>
      </c>
    </row>
    <row r="111" spans="1:5" ht="30.75">
      <c r="A111" s="266" t="s">
        <v>186</v>
      </c>
      <c r="B111" s="251">
        <v>0</v>
      </c>
      <c r="C111" s="251">
        <v>0</v>
      </c>
      <c r="D111" s="255" t="str">
        <f>IF(B111=0,"   ",C111/B111*100)</f>
        <v>   </v>
      </c>
      <c r="E111" s="256">
        <f>C111-B111</f>
        <v>0</v>
      </c>
    </row>
    <row r="112" spans="1:5" ht="30.75">
      <c r="A112" s="266" t="s">
        <v>198</v>
      </c>
      <c r="B112" s="251">
        <v>0</v>
      </c>
      <c r="C112" s="251">
        <v>0</v>
      </c>
      <c r="D112" s="255" t="str">
        <f t="shared" si="0"/>
        <v>   </v>
      </c>
      <c r="E112" s="256">
        <f t="shared" si="1"/>
        <v>0</v>
      </c>
    </row>
    <row r="113" spans="1:5" ht="30.75">
      <c r="A113" s="266" t="s">
        <v>210</v>
      </c>
      <c r="B113" s="251">
        <v>0</v>
      </c>
      <c r="C113" s="251">
        <v>0</v>
      </c>
      <c r="D113" s="255" t="str">
        <f t="shared" si="0"/>
        <v>   </v>
      </c>
      <c r="E113" s="256">
        <f t="shared" si="1"/>
        <v>0</v>
      </c>
    </row>
    <row r="114" spans="1:5" ht="15">
      <c r="A114" s="257" t="s">
        <v>289</v>
      </c>
      <c r="B114" s="251">
        <v>0</v>
      </c>
      <c r="C114" s="251">
        <v>0</v>
      </c>
      <c r="D114" s="255" t="str">
        <f t="shared" si="0"/>
        <v>   </v>
      </c>
      <c r="E114" s="256">
        <f t="shared" si="1"/>
        <v>0</v>
      </c>
    </row>
    <row r="115" spans="1:5" ht="15">
      <c r="A115" s="257" t="s">
        <v>135</v>
      </c>
      <c r="B115" s="251">
        <v>300000</v>
      </c>
      <c r="C115" s="251">
        <v>0</v>
      </c>
      <c r="D115" s="255">
        <f t="shared" si="0"/>
        <v>0</v>
      </c>
      <c r="E115" s="256">
        <f t="shared" si="1"/>
        <v>-300000</v>
      </c>
    </row>
    <row r="116" spans="1:5" ht="16.5" customHeight="1">
      <c r="A116" s="275" t="s">
        <v>63</v>
      </c>
      <c r="B116" s="281">
        <f>B117+B119+B120+B121+B122+B124+B128+B132+B134+B118+B123+B133</f>
        <v>14864327.65</v>
      </c>
      <c r="C116" s="281">
        <f>C117+C119+C120+C121+C122+C124+C128+C132+C134+C118+C123</f>
        <v>511580.62</v>
      </c>
      <c r="D116" s="255">
        <f t="shared" si="0"/>
        <v>3.4416667342501697</v>
      </c>
      <c r="E116" s="256">
        <f t="shared" si="1"/>
        <v>-14352747.030000001</v>
      </c>
    </row>
    <row r="117" spans="1:5" ht="15">
      <c r="A117" s="257" t="s">
        <v>65</v>
      </c>
      <c r="B117" s="251">
        <v>4863800</v>
      </c>
      <c r="C117" s="274">
        <v>191671.94</v>
      </c>
      <c r="D117" s="255">
        <f t="shared" si="0"/>
        <v>3.9407858053373905</v>
      </c>
      <c r="E117" s="256">
        <f t="shared" si="1"/>
        <v>-4672128.06</v>
      </c>
    </row>
    <row r="118" spans="1:5" ht="30.75">
      <c r="A118" s="257" t="s">
        <v>216</v>
      </c>
      <c r="B118" s="251">
        <v>6000</v>
      </c>
      <c r="C118" s="274">
        <v>0</v>
      </c>
      <c r="D118" s="255">
        <f t="shared" si="0"/>
        <v>0</v>
      </c>
      <c r="E118" s="256">
        <f t="shared" si="1"/>
        <v>-6000</v>
      </c>
    </row>
    <row r="119" spans="1:5" ht="15">
      <c r="A119" s="257" t="s">
        <v>66</v>
      </c>
      <c r="B119" s="251">
        <v>300000</v>
      </c>
      <c r="C119" s="274">
        <v>0</v>
      </c>
      <c r="D119" s="255">
        <f aca="true" t="shared" si="4" ref="D119:D152">IF(B119=0,"   ",C119/B119*100)</f>
        <v>0</v>
      </c>
      <c r="E119" s="256">
        <f t="shared" si="1"/>
        <v>-300000</v>
      </c>
    </row>
    <row r="120" spans="1:5" ht="15">
      <c r="A120" s="257" t="s">
        <v>67</v>
      </c>
      <c r="B120" s="251">
        <v>100000</v>
      </c>
      <c r="C120" s="274">
        <v>0</v>
      </c>
      <c r="D120" s="255">
        <f t="shared" si="4"/>
        <v>0</v>
      </c>
      <c r="E120" s="256">
        <f t="shared" si="1"/>
        <v>-100000</v>
      </c>
    </row>
    <row r="121" spans="1:5" ht="15">
      <c r="A121" s="257" t="s">
        <v>68</v>
      </c>
      <c r="B121" s="251">
        <v>4030600</v>
      </c>
      <c r="C121" s="274">
        <v>319908.68</v>
      </c>
      <c r="D121" s="255">
        <f t="shared" si="4"/>
        <v>7.936998957971518</v>
      </c>
      <c r="E121" s="256">
        <f t="shared" si="1"/>
        <v>-3710691.32</v>
      </c>
    </row>
    <row r="122" spans="1:5" ht="33" customHeight="1">
      <c r="A122" s="266" t="s">
        <v>290</v>
      </c>
      <c r="B122" s="251">
        <v>0</v>
      </c>
      <c r="C122" s="274">
        <v>0</v>
      </c>
      <c r="D122" s="255" t="str">
        <f t="shared" si="4"/>
        <v>   </v>
      </c>
      <c r="E122" s="256">
        <f t="shared" si="1"/>
        <v>0</v>
      </c>
    </row>
    <row r="123" spans="1:5" ht="18" customHeight="1">
      <c r="A123" s="266" t="s">
        <v>291</v>
      </c>
      <c r="B123" s="251">
        <v>0</v>
      </c>
      <c r="C123" s="274">
        <v>0</v>
      </c>
      <c r="D123" s="255" t="str">
        <f t="shared" si="4"/>
        <v>   </v>
      </c>
      <c r="E123" s="256">
        <f t="shared" si="1"/>
        <v>0</v>
      </c>
    </row>
    <row r="124" spans="1:5" ht="18" customHeight="1">
      <c r="A124" s="266" t="s">
        <v>181</v>
      </c>
      <c r="B124" s="254">
        <f>B125+B127+B126</f>
        <v>5563927.65</v>
      </c>
      <c r="C124" s="254">
        <f>C125+C127+C126</f>
        <v>0</v>
      </c>
      <c r="D124" s="262">
        <f aca="true" t="shared" si="5" ref="D124:D137">IF(B124=0,"   ",C124/B124)</f>
        <v>0</v>
      </c>
      <c r="E124" s="263">
        <f aca="true" t="shared" si="6" ref="E124:E137">C124-B124</f>
        <v>-5563927.65</v>
      </c>
    </row>
    <row r="125" spans="1:5" ht="15">
      <c r="A125" s="266" t="s">
        <v>179</v>
      </c>
      <c r="B125" s="254">
        <v>5508288.37</v>
      </c>
      <c r="C125" s="254">
        <v>0</v>
      </c>
      <c r="D125" s="262">
        <f t="shared" si="5"/>
        <v>0</v>
      </c>
      <c r="E125" s="263">
        <f t="shared" si="6"/>
        <v>-5508288.37</v>
      </c>
    </row>
    <row r="126" spans="1:5" ht="15">
      <c r="A126" s="266" t="s">
        <v>180</v>
      </c>
      <c r="B126" s="254">
        <v>38947.49</v>
      </c>
      <c r="C126" s="254">
        <v>0</v>
      </c>
      <c r="D126" s="262">
        <f t="shared" si="5"/>
        <v>0</v>
      </c>
      <c r="E126" s="263">
        <f t="shared" si="6"/>
        <v>-38947.49</v>
      </c>
    </row>
    <row r="127" spans="1:5" ht="15">
      <c r="A127" s="266" t="s">
        <v>191</v>
      </c>
      <c r="B127" s="254">
        <v>16691.79</v>
      </c>
      <c r="C127" s="254">
        <v>0</v>
      </c>
      <c r="D127" s="262">
        <f t="shared" si="5"/>
        <v>0</v>
      </c>
      <c r="E127" s="263">
        <f t="shared" si="6"/>
        <v>-16691.79</v>
      </c>
    </row>
    <row r="128" spans="1:5" ht="30.75">
      <c r="A128" s="266" t="s">
        <v>204</v>
      </c>
      <c r="B128" s="254">
        <f>SUM(B129:B131)</f>
        <v>0</v>
      </c>
      <c r="C128" s="254">
        <f>SUM(C129:C131)</f>
        <v>0</v>
      </c>
      <c r="D128" s="255" t="str">
        <f>IF(B128=0,"   ",C128/B128*100)</f>
        <v>   </v>
      </c>
      <c r="E128" s="256">
        <f t="shared" si="6"/>
        <v>0</v>
      </c>
    </row>
    <row r="129" spans="1:5" ht="30.75">
      <c r="A129" s="266" t="s">
        <v>186</v>
      </c>
      <c r="B129" s="254">
        <v>0</v>
      </c>
      <c r="C129" s="254">
        <v>0</v>
      </c>
      <c r="D129" s="255" t="str">
        <f>IF(B129=0,"   ",C129/B129*100)</f>
        <v>   </v>
      </c>
      <c r="E129" s="256">
        <f t="shared" si="6"/>
        <v>0</v>
      </c>
    </row>
    <row r="130" spans="1:5" ht="30.75">
      <c r="A130" s="266" t="s">
        <v>198</v>
      </c>
      <c r="B130" s="254">
        <v>0</v>
      </c>
      <c r="C130" s="254">
        <v>0</v>
      </c>
      <c r="D130" s="255" t="str">
        <f>IF(B130=0,"   ",C130/B130*100)</f>
        <v>   </v>
      </c>
      <c r="E130" s="256">
        <f t="shared" si="6"/>
        <v>0</v>
      </c>
    </row>
    <row r="131" spans="1:5" ht="30.75">
      <c r="A131" s="266" t="s">
        <v>210</v>
      </c>
      <c r="B131" s="254">
        <v>0</v>
      </c>
      <c r="C131" s="254">
        <v>0</v>
      </c>
      <c r="D131" s="255" t="str">
        <f>IF(B131=0,"   ",C131/B131*100)</f>
        <v>   </v>
      </c>
      <c r="E131" s="256">
        <f t="shared" si="6"/>
        <v>0</v>
      </c>
    </row>
    <row r="132" spans="1:5" ht="15">
      <c r="A132" s="266" t="s">
        <v>245</v>
      </c>
      <c r="B132" s="254">
        <v>0</v>
      </c>
      <c r="C132" s="254">
        <v>0</v>
      </c>
      <c r="D132" s="262" t="str">
        <f t="shared" si="5"/>
        <v>   </v>
      </c>
      <c r="E132" s="263">
        <f t="shared" si="6"/>
        <v>0</v>
      </c>
    </row>
    <row r="133" spans="1:5" ht="15">
      <c r="A133" s="266" t="s">
        <v>307</v>
      </c>
      <c r="B133" s="254">
        <v>0</v>
      </c>
      <c r="C133" s="254">
        <v>0</v>
      </c>
      <c r="D133" s="262" t="str">
        <f t="shared" si="5"/>
        <v>   </v>
      </c>
      <c r="E133" s="263">
        <f t="shared" si="6"/>
        <v>0</v>
      </c>
    </row>
    <row r="134" spans="1:5" ht="17.25" customHeight="1">
      <c r="A134" s="266" t="s">
        <v>277</v>
      </c>
      <c r="B134" s="254">
        <f>SUM(B135:B137)</f>
        <v>0</v>
      </c>
      <c r="C134" s="254">
        <f>SUM(C135:C137)</f>
        <v>0</v>
      </c>
      <c r="D134" s="255" t="str">
        <f>IF(B134=0,"   ",C134/B134*100)</f>
        <v>   </v>
      </c>
      <c r="E134" s="256">
        <f>C134-B134</f>
        <v>0</v>
      </c>
    </row>
    <row r="135" spans="1:5" ht="33.75" customHeight="1">
      <c r="A135" s="266" t="s">
        <v>261</v>
      </c>
      <c r="B135" s="274">
        <v>0</v>
      </c>
      <c r="C135" s="254">
        <v>0</v>
      </c>
      <c r="D135" s="255" t="str">
        <f>IF(B135=0,"   ",C135/B135*100)</f>
        <v>   </v>
      </c>
      <c r="E135" s="256">
        <f>C135-B135</f>
        <v>0</v>
      </c>
    </row>
    <row r="136" spans="1:5" ht="15.75" customHeight="1">
      <c r="A136" s="266" t="s">
        <v>278</v>
      </c>
      <c r="B136" s="274">
        <v>0</v>
      </c>
      <c r="C136" s="254">
        <v>0</v>
      </c>
      <c r="D136" s="255" t="str">
        <f>IF(B136=0,"   ",C136/B136*100)</f>
        <v>   </v>
      </c>
      <c r="E136" s="256">
        <f>C136-B136</f>
        <v>0</v>
      </c>
    </row>
    <row r="137" spans="1:5" ht="18" customHeight="1">
      <c r="A137" s="266" t="s">
        <v>279</v>
      </c>
      <c r="B137" s="274">
        <v>0</v>
      </c>
      <c r="C137" s="254">
        <v>0</v>
      </c>
      <c r="D137" s="262" t="str">
        <f t="shared" si="5"/>
        <v>   </v>
      </c>
      <c r="E137" s="263">
        <f t="shared" si="6"/>
        <v>0</v>
      </c>
    </row>
    <row r="138" spans="1:5" ht="15" customHeight="1">
      <c r="A138" s="257" t="s">
        <v>17</v>
      </c>
      <c r="B138" s="251">
        <v>0</v>
      </c>
      <c r="C138" s="251">
        <v>0</v>
      </c>
      <c r="D138" s="255" t="str">
        <f t="shared" si="4"/>
        <v>   </v>
      </c>
      <c r="E138" s="256">
        <f t="shared" si="1"/>
        <v>0</v>
      </c>
    </row>
    <row r="139" spans="1:5" ht="18.75" customHeight="1">
      <c r="A139" s="257" t="s">
        <v>41</v>
      </c>
      <c r="B139" s="272">
        <f>B140</f>
        <v>20202340</v>
      </c>
      <c r="C139" s="272">
        <f>C140</f>
        <v>100000</v>
      </c>
      <c r="D139" s="255">
        <f t="shared" si="4"/>
        <v>0.4949921642740395</v>
      </c>
      <c r="E139" s="256">
        <f t="shared" si="1"/>
        <v>-20102340</v>
      </c>
    </row>
    <row r="140" spans="1:5" ht="15.75" customHeight="1">
      <c r="A140" s="257" t="s">
        <v>42</v>
      </c>
      <c r="B140" s="281">
        <f>B141+B142+B143+B145+B144</f>
        <v>20202340</v>
      </c>
      <c r="C140" s="281">
        <f>C141+C142+C143+C145+C144</f>
        <v>100000</v>
      </c>
      <c r="D140" s="255">
        <f t="shared" si="4"/>
        <v>0.4949921642740395</v>
      </c>
      <c r="E140" s="256">
        <f t="shared" si="1"/>
        <v>-20102340</v>
      </c>
    </row>
    <row r="141" spans="1:5" ht="19.5" customHeight="1">
      <c r="A141" s="257" t="s">
        <v>143</v>
      </c>
      <c r="B141" s="251">
        <v>4200500</v>
      </c>
      <c r="C141" s="274">
        <v>0</v>
      </c>
      <c r="D141" s="255">
        <f t="shared" si="4"/>
        <v>0</v>
      </c>
      <c r="E141" s="256">
        <f t="shared" si="1"/>
        <v>-4200500</v>
      </c>
    </row>
    <row r="142" spans="1:5" ht="16.5" customHeight="1">
      <c r="A142" s="257" t="s">
        <v>192</v>
      </c>
      <c r="B142" s="251">
        <v>5050500</v>
      </c>
      <c r="C142" s="274">
        <v>0</v>
      </c>
      <c r="D142" s="255">
        <f t="shared" si="4"/>
        <v>0</v>
      </c>
      <c r="E142" s="256">
        <f t="shared" si="1"/>
        <v>-5050500</v>
      </c>
    </row>
    <row r="143" spans="1:5" ht="18" customHeight="1">
      <c r="A143" s="257" t="s">
        <v>144</v>
      </c>
      <c r="B143" s="251">
        <v>1409400</v>
      </c>
      <c r="C143" s="274">
        <v>100000</v>
      </c>
      <c r="D143" s="255">
        <f t="shared" si="4"/>
        <v>7.095217823187172</v>
      </c>
      <c r="E143" s="256">
        <f t="shared" si="1"/>
        <v>-1309400</v>
      </c>
    </row>
    <row r="144" spans="1:5" ht="18" customHeight="1">
      <c r="A144" s="257" t="s">
        <v>282</v>
      </c>
      <c r="B144" s="251">
        <v>0</v>
      </c>
      <c r="C144" s="274">
        <v>0</v>
      </c>
      <c r="D144" s="255" t="str">
        <f t="shared" si="4"/>
        <v>   </v>
      </c>
      <c r="E144" s="256">
        <f t="shared" si="1"/>
        <v>0</v>
      </c>
    </row>
    <row r="145" spans="1:5" ht="18" customHeight="1">
      <c r="A145" s="257" t="s">
        <v>340</v>
      </c>
      <c r="B145" s="251">
        <f>SUM(B146:B147)</f>
        <v>9541940</v>
      </c>
      <c r="C145" s="251">
        <f>SUM(C146:C147)</f>
        <v>0</v>
      </c>
      <c r="D145" s="255">
        <f t="shared" si="4"/>
        <v>0</v>
      </c>
      <c r="E145" s="256">
        <f t="shared" si="1"/>
        <v>-9541940</v>
      </c>
    </row>
    <row r="146" spans="1:5" ht="18" customHeight="1">
      <c r="A146" s="266" t="s">
        <v>341</v>
      </c>
      <c r="B146" s="251">
        <v>8969440</v>
      </c>
      <c r="C146" s="274">
        <v>0</v>
      </c>
      <c r="D146" s="255">
        <f>IF(B146=0,"   ",C146/B146*100)</f>
        <v>0</v>
      </c>
      <c r="E146" s="256">
        <f>C146-B146</f>
        <v>-8969440</v>
      </c>
    </row>
    <row r="147" spans="1:5" ht="18" customHeight="1">
      <c r="A147" s="266" t="s">
        <v>342</v>
      </c>
      <c r="B147" s="251">
        <v>572500</v>
      </c>
      <c r="C147" s="274">
        <v>0</v>
      </c>
      <c r="D147" s="255">
        <f t="shared" si="4"/>
        <v>0</v>
      </c>
      <c r="E147" s="256">
        <f t="shared" si="1"/>
        <v>-572500</v>
      </c>
    </row>
    <row r="148" spans="1:5" ht="15">
      <c r="A148" s="257" t="s">
        <v>124</v>
      </c>
      <c r="B148" s="251">
        <f>SUM(B149,)</f>
        <v>105000</v>
      </c>
      <c r="C148" s="251">
        <f>SUM(C149,)</f>
        <v>0</v>
      </c>
      <c r="D148" s="255">
        <f t="shared" si="4"/>
        <v>0</v>
      </c>
      <c r="E148" s="256">
        <f t="shared" si="1"/>
        <v>-105000</v>
      </c>
    </row>
    <row r="149" spans="1:5" ht="14.25" customHeight="1">
      <c r="A149" s="257" t="s">
        <v>43</v>
      </c>
      <c r="B149" s="251">
        <v>105000</v>
      </c>
      <c r="C149" s="279">
        <v>0</v>
      </c>
      <c r="D149" s="255">
        <f t="shared" si="4"/>
        <v>0</v>
      </c>
      <c r="E149" s="256">
        <f t="shared" si="1"/>
        <v>-105000</v>
      </c>
    </row>
    <row r="150" spans="1:5" ht="19.5" customHeight="1">
      <c r="A150" s="257" t="s">
        <v>145</v>
      </c>
      <c r="B150" s="251">
        <f>SUM(B151:B151)</f>
        <v>0</v>
      </c>
      <c r="C150" s="251">
        <f>SUM(C151:C151)</f>
        <v>0</v>
      </c>
      <c r="D150" s="255" t="str">
        <f t="shared" si="4"/>
        <v>   </v>
      </c>
      <c r="E150" s="256">
        <f t="shared" si="1"/>
        <v>0</v>
      </c>
    </row>
    <row r="151" spans="1:5" ht="19.5" customHeight="1">
      <c r="A151" s="257" t="s">
        <v>146</v>
      </c>
      <c r="B151" s="251">
        <v>0</v>
      </c>
      <c r="C151" s="274">
        <v>0</v>
      </c>
      <c r="D151" s="255" t="str">
        <f t="shared" si="4"/>
        <v>   </v>
      </c>
      <c r="E151" s="256">
        <f t="shared" si="1"/>
        <v>0</v>
      </c>
    </row>
    <row r="152" spans="1:5" ht="20.25" customHeight="1">
      <c r="A152" s="259" t="s">
        <v>15</v>
      </c>
      <c r="B152" s="276">
        <f>B60+B70+B72+B77+B101+B138+B139+B148+B150</f>
        <v>50634867.65</v>
      </c>
      <c r="C152" s="276">
        <f>C60+C70+C72+C77+C101+C138+C139+C148+C150</f>
        <v>742636.99</v>
      </c>
      <c r="D152" s="260">
        <f t="shared" si="4"/>
        <v>1.4666513895785802</v>
      </c>
      <c r="E152" s="261">
        <f t="shared" si="1"/>
        <v>-49892230.66</v>
      </c>
    </row>
    <row r="153" spans="1:5" s="59" customFormat="1" ht="36.75" customHeight="1">
      <c r="A153" s="80" t="s">
        <v>309</v>
      </c>
      <c r="B153" s="80"/>
      <c r="C153" s="337"/>
      <c r="D153" s="337"/>
      <c r="E153" s="337"/>
    </row>
    <row r="154" spans="1:5" s="59" customFormat="1" ht="12" customHeight="1">
      <c r="A154" s="80" t="s">
        <v>154</v>
      </c>
      <c r="B154" s="80"/>
      <c r="C154" s="81" t="s">
        <v>310</v>
      </c>
      <c r="D154" s="82"/>
      <c r="E154" s="83"/>
    </row>
    <row r="155" spans="1:5" ht="15">
      <c r="A155" s="282"/>
      <c r="B155" s="282"/>
      <c r="C155" s="283"/>
      <c r="D155" s="282"/>
      <c r="E155" s="284"/>
    </row>
    <row r="156" spans="1:5" ht="15">
      <c r="A156" s="282"/>
      <c r="B156" s="282"/>
      <c r="C156" s="283"/>
      <c r="D156" s="282"/>
      <c r="E156" s="284"/>
    </row>
    <row r="157" spans="1:5" ht="12.75">
      <c r="A157" s="7"/>
      <c r="B157" s="7"/>
      <c r="C157" s="6"/>
      <c r="D157" s="7"/>
      <c r="E157" s="2"/>
    </row>
    <row r="158" spans="1:5" ht="12.75">
      <c r="A158" s="7"/>
      <c r="B158" s="7"/>
      <c r="C158" s="6"/>
      <c r="D158" s="7"/>
      <c r="E158" s="2"/>
    </row>
  </sheetData>
  <sheetProtection/>
  <mergeCells count="2">
    <mergeCell ref="A1:E1"/>
    <mergeCell ref="C153:E153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4"/>
  <sheetViews>
    <sheetView zoomScalePageLayoutView="0" workbookViewId="0" topLeftCell="A38">
      <selection activeCell="C19" sqref="C19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339" t="s">
        <v>326</v>
      </c>
      <c r="B1" s="339"/>
      <c r="C1" s="339"/>
      <c r="D1" s="339"/>
      <c r="E1" s="33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317</v>
      </c>
      <c r="C4" s="32" t="s">
        <v>327</v>
      </c>
      <c r="D4" s="19" t="s">
        <v>320</v>
      </c>
      <c r="E4" s="36" t="s">
        <v>319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48">
        <f>SUM(B8)</f>
        <v>29300</v>
      </c>
      <c r="C7" s="148">
        <f>SUM(C8)</f>
        <v>233.71</v>
      </c>
      <c r="D7" s="26">
        <f aca="true" t="shared" si="0" ref="D7:D99">IF(B7=0,"   ",C7/B7*100)</f>
        <v>0.7976450511945393</v>
      </c>
      <c r="E7" s="42">
        <f aca="true" t="shared" si="1" ref="E7:E100">C7-B7</f>
        <v>-29066.29</v>
      </c>
    </row>
    <row r="8" spans="1:5" ht="12.75">
      <c r="A8" s="16" t="s">
        <v>44</v>
      </c>
      <c r="B8" s="84">
        <v>29300</v>
      </c>
      <c r="C8" s="230">
        <v>233.71</v>
      </c>
      <c r="D8" s="26">
        <f t="shared" si="0"/>
        <v>0.7976450511945393</v>
      </c>
      <c r="E8" s="42">
        <f t="shared" si="1"/>
        <v>-29066.29</v>
      </c>
    </row>
    <row r="9" spans="1:5" ht="15" customHeight="1">
      <c r="A9" s="64" t="s">
        <v>137</v>
      </c>
      <c r="B9" s="193">
        <f>SUM(B10)</f>
        <v>658200</v>
      </c>
      <c r="C9" s="193">
        <f>SUM(C10)</f>
        <v>52822.45</v>
      </c>
      <c r="D9" s="26">
        <f t="shared" si="0"/>
        <v>8.025288666058948</v>
      </c>
      <c r="E9" s="42">
        <f t="shared" si="1"/>
        <v>-605377.55</v>
      </c>
    </row>
    <row r="10" spans="1:5" ht="12.75">
      <c r="A10" s="41" t="s">
        <v>138</v>
      </c>
      <c r="B10" s="194">
        <v>658200</v>
      </c>
      <c r="C10" s="230">
        <v>52822.45</v>
      </c>
      <c r="D10" s="26">
        <f t="shared" si="0"/>
        <v>8.025288666058948</v>
      </c>
      <c r="E10" s="42">
        <f t="shared" si="1"/>
        <v>-605377.55</v>
      </c>
    </row>
    <row r="11" spans="1:5" ht="18.75" customHeight="1">
      <c r="A11" s="16" t="s">
        <v>7</v>
      </c>
      <c r="B11" s="194">
        <f>SUM(B12:B12)</f>
        <v>0</v>
      </c>
      <c r="C11" s="19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21" customHeight="1">
      <c r="A12" s="16" t="s">
        <v>26</v>
      </c>
      <c r="B12" s="194">
        <v>0</v>
      </c>
      <c r="C12" s="195">
        <v>0</v>
      </c>
      <c r="D12" s="26" t="str">
        <f t="shared" si="0"/>
        <v>   </v>
      </c>
      <c r="E12" s="42">
        <f t="shared" si="1"/>
        <v>0</v>
      </c>
    </row>
    <row r="13" spans="1:5" ht="21" customHeight="1">
      <c r="A13" s="16" t="s">
        <v>9</v>
      </c>
      <c r="B13" s="194">
        <f>SUM(B14:B15)</f>
        <v>239000</v>
      </c>
      <c r="C13" s="194">
        <f>SUM(C14:C15)</f>
        <v>3591</v>
      </c>
      <c r="D13" s="26">
        <f t="shared" si="0"/>
        <v>1.5025104602510462</v>
      </c>
      <c r="E13" s="42">
        <f t="shared" si="1"/>
        <v>-235409</v>
      </c>
    </row>
    <row r="14" spans="1:5" ht="12.75">
      <c r="A14" s="16" t="s">
        <v>27</v>
      </c>
      <c r="B14" s="194">
        <v>79000</v>
      </c>
      <c r="C14" s="230">
        <v>585.01</v>
      </c>
      <c r="D14" s="26">
        <f t="shared" si="0"/>
        <v>0.7405189873417721</v>
      </c>
      <c r="E14" s="42">
        <f t="shared" si="1"/>
        <v>-78414.99</v>
      </c>
    </row>
    <row r="15" spans="1:5" ht="12.75">
      <c r="A15" s="41" t="s">
        <v>160</v>
      </c>
      <c r="B15" s="194">
        <f>SUM(B16:B17)</f>
        <v>160000</v>
      </c>
      <c r="C15" s="194">
        <f>SUM(C16:C17)</f>
        <v>3005.99</v>
      </c>
      <c r="D15" s="26">
        <f t="shared" si="0"/>
        <v>1.87874375</v>
      </c>
      <c r="E15" s="42">
        <f t="shared" si="1"/>
        <v>-156994.01</v>
      </c>
    </row>
    <row r="16" spans="1:5" ht="12.75">
      <c r="A16" s="41" t="s">
        <v>161</v>
      </c>
      <c r="B16" s="194">
        <v>11000</v>
      </c>
      <c r="C16" s="230">
        <v>192</v>
      </c>
      <c r="D16" s="26">
        <f t="shared" si="0"/>
        <v>1.7454545454545456</v>
      </c>
      <c r="E16" s="42">
        <f t="shared" si="1"/>
        <v>-10808</v>
      </c>
    </row>
    <row r="17" spans="1:5" ht="12.75">
      <c r="A17" s="41" t="s">
        <v>162</v>
      </c>
      <c r="B17" s="194">
        <v>149000</v>
      </c>
      <c r="C17" s="230">
        <v>2813.99</v>
      </c>
      <c r="D17" s="26">
        <f t="shared" si="0"/>
        <v>1.8885838926174496</v>
      </c>
      <c r="E17" s="42">
        <f t="shared" si="1"/>
        <v>-146186.01</v>
      </c>
    </row>
    <row r="18" spans="1:5" ht="18.75" customHeight="1">
      <c r="A18" s="41" t="s">
        <v>195</v>
      </c>
      <c r="B18" s="194">
        <v>0</v>
      </c>
      <c r="C18" s="230">
        <v>0</v>
      </c>
      <c r="D18" s="26" t="str">
        <f t="shared" si="0"/>
        <v>   </v>
      </c>
      <c r="E18" s="42">
        <f t="shared" si="1"/>
        <v>0</v>
      </c>
    </row>
    <row r="19" spans="1:5" ht="19.5" customHeight="1">
      <c r="A19" s="16" t="s">
        <v>89</v>
      </c>
      <c r="B19" s="194">
        <v>0</v>
      </c>
      <c r="C19" s="230">
        <v>0</v>
      </c>
      <c r="D19" s="26" t="str">
        <f t="shared" si="0"/>
        <v>   </v>
      </c>
      <c r="E19" s="42">
        <f t="shared" si="1"/>
        <v>0</v>
      </c>
    </row>
    <row r="20" spans="1:5" ht="30.75" customHeight="1">
      <c r="A20" s="16" t="s">
        <v>28</v>
      </c>
      <c r="B20" s="194">
        <f>SUM(B21:B23)</f>
        <v>131400</v>
      </c>
      <c r="C20" s="194">
        <f>SUM(C21:C23)</f>
        <v>18903.96</v>
      </c>
      <c r="D20" s="26">
        <f t="shared" si="0"/>
        <v>14.386575342465752</v>
      </c>
      <c r="E20" s="42">
        <f t="shared" si="1"/>
        <v>-112496.04000000001</v>
      </c>
    </row>
    <row r="21" spans="1:5" ht="21.75" customHeight="1">
      <c r="A21" s="41" t="s">
        <v>152</v>
      </c>
      <c r="B21" s="194">
        <v>131400</v>
      </c>
      <c r="C21" s="195">
        <v>18903.96</v>
      </c>
      <c r="D21" s="26">
        <f t="shared" si="0"/>
        <v>14.386575342465752</v>
      </c>
      <c r="E21" s="42">
        <f t="shared" si="1"/>
        <v>-112496.04000000001</v>
      </c>
    </row>
    <row r="22" spans="1:5" ht="21" customHeight="1">
      <c r="A22" s="16" t="s">
        <v>30</v>
      </c>
      <c r="B22" s="194">
        <v>0</v>
      </c>
      <c r="C22" s="195">
        <v>0</v>
      </c>
      <c r="D22" s="26" t="str">
        <f t="shared" si="0"/>
        <v>   </v>
      </c>
      <c r="E22" s="42">
        <f t="shared" si="1"/>
        <v>0</v>
      </c>
    </row>
    <row r="23" spans="1:5" ht="21" customHeight="1">
      <c r="A23" s="16" t="s">
        <v>260</v>
      </c>
      <c r="B23" s="194">
        <v>0</v>
      </c>
      <c r="C23" s="195">
        <v>0</v>
      </c>
      <c r="D23" s="26" t="str">
        <f t="shared" si="0"/>
        <v>   </v>
      </c>
      <c r="E23" s="42">
        <f t="shared" si="1"/>
        <v>0</v>
      </c>
    </row>
    <row r="24" spans="1:5" ht="20.25" customHeight="1">
      <c r="A24" s="16" t="s">
        <v>83</v>
      </c>
      <c r="B24" s="194">
        <v>0</v>
      </c>
      <c r="C24" s="195">
        <v>0</v>
      </c>
      <c r="D24" s="26" t="str">
        <f t="shared" si="0"/>
        <v>   </v>
      </c>
      <c r="E24" s="42">
        <f t="shared" si="1"/>
        <v>0</v>
      </c>
    </row>
    <row r="25" spans="1:5" ht="17.25" customHeight="1">
      <c r="A25" s="16" t="s">
        <v>76</v>
      </c>
      <c r="B25" s="193">
        <f>B26</f>
        <v>0</v>
      </c>
      <c r="C25" s="193">
        <f>C26</f>
        <v>106605</v>
      </c>
      <c r="D25" s="26" t="str">
        <f t="shared" si="0"/>
        <v>   </v>
      </c>
      <c r="E25" s="42">
        <f t="shared" si="1"/>
        <v>106605</v>
      </c>
    </row>
    <row r="26" spans="1:5" ht="27.75" customHeight="1">
      <c r="A26" s="16" t="s">
        <v>77</v>
      </c>
      <c r="B26" s="194">
        <v>0</v>
      </c>
      <c r="C26" s="195">
        <v>106605</v>
      </c>
      <c r="D26" s="26" t="str">
        <f t="shared" si="0"/>
        <v>   </v>
      </c>
      <c r="E26" s="42">
        <f t="shared" si="1"/>
        <v>106605</v>
      </c>
    </row>
    <row r="27" spans="1:5" ht="17.25" customHeight="1">
      <c r="A27" s="16" t="s">
        <v>32</v>
      </c>
      <c r="B27" s="194">
        <f>B28+B29</f>
        <v>0</v>
      </c>
      <c r="C27" s="194">
        <f>SUM(C28:C29)</f>
        <v>0</v>
      </c>
      <c r="D27" s="26" t="str">
        <f t="shared" si="0"/>
        <v>   </v>
      </c>
      <c r="E27" s="42">
        <f t="shared" si="1"/>
        <v>0</v>
      </c>
    </row>
    <row r="28" spans="1:5" ht="12.75">
      <c r="A28" s="16" t="s">
        <v>46</v>
      </c>
      <c r="B28" s="194">
        <v>0</v>
      </c>
      <c r="C28" s="194">
        <v>0</v>
      </c>
      <c r="D28" s="26" t="str">
        <f t="shared" si="0"/>
        <v>   </v>
      </c>
      <c r="E28" s="42"/>
    </row>
    <row r="29" spans="1:5" ht="12.75">
      <c r="A29" s="16" t="s">
        <v>50</v>
      </c>
      <c r="B29" s="194">
        <v>0</v>
      </c>
      <c r="C29" s="195">
        <v>0</v>
      </c>
      <c r="D29" s="26" t="str">
        <f t="shared" si="0"/>
        <v>   </v>
      </c>
      <c r="E29" s="42">
        <f t="shared" si="1"/>
        <v>0</v>
      </c>
    </row>
    <row r="30" spans="1:5" ht="15.75" customHeight="1">
      <c r="A30" s="16" t="s">
        <v>31</v>
      </c>
      <c r="B30" s="194">
        <v>0</v>
      </c>
      <c r="C30" s="194">
        <v>0</v>
      </c>
      <c r="D30" s="26" t="str">
        <f t="shared" si="0"/>
        <v>   </v>
      </c>
      <c r="E30" s="42">
        <f t="shared" si="1"/>
        <v>0</v>
      </c>
    </row>
    <row r="31" spans="1:5" ht="16.5" customHeight="1">
      <c r="A31" s="171" t="s">
        <v>10</v>
      </c>
      <c r="B31" s="149">
        <f>SUM(B7,B9,B11,B13,B20,B24,B25,B27,B30,B19,B18)</f>
        <v>1057900</v>
      </c>
      <c r="C31" s="149">
        <f>SUM(C7,C9,C11,C13,C20,C24,C25,C27,C30,C19,C18)</f>
        <v>182156.12</v>
      </c>
      <c r="D31" s="140">
        <f t="shared" si="0"/>
        <v>17.21865204650723</v>
      </c>
      <c r="E31" s="141">
        <f t="shared" si="1"/>
        <v>-875743.88</v>
      </c>
    </row>
    <row r="32" spans="1:5" ht="13.5" customHeight="1">
      <c r="A32" s="179" t="s">
        <v>140</v>
      </c>
      <c r="B32" s="184">
        <f>SUM(B33:B36,B39:B42,B47)</f>
        <v>4067400</v>
      </c>
      <c r="C32" s="184">
        <f>SUM(C33:C36,C39:C42,C47)</f>
        <v>222300</v>
      </c>
      <c r="D32" s="140">
        <f t="shared" si="0"/>
        <v>5.465407877268034</v>
      </c>
      <c r="E32" s="141">
        <f t="shared" si="1"/>
        <v>-3845100</v>
      </c>
    </row>
    <row r="33" spans="1:5" ht="19.5" customHeight="1">
      <c r="A33" s="17" t="s">
        <v>34</v>
      </c>
      <c r="B33" s="159">
        <v>2571200</v>
      </c>
      <c r="C33" s="230">
        <v>212300</v>
      </c>
      <c r="D33" s="26">
        <f t="shared" si="0"/>
        <v>8.256845052893592</v>
      </c>
      <c r="E33" s="42">
        <f t="shared" si="1"/>
        <v>-2358900</v>
      </c>
    </row>
    <row r="34" spans="1:5" ht="19.5" customHeight="1">
      <c r="A34" s="17" t="s">
        <v>226</v>
      </c>
      <c r="B34" s="159">
        <v>0</v>
      </c>
      <c r="C34" s="230">
        <v>0</v>
      </c>
      <c r="D34" s="26" t="str">
        <f t="shared" si="0"/>
        <v>   </v>
      </c>
      <c r="E34" s="42">
        <f t="shared" si="1"/>
        <v>0</v>
      </c>
    </row>
    <row r="35" spans="1:5" ht="30.75" customHeight="1">
      <c r="A35" s="133" t="s">
        <v>51</v>
      </c>
      <c r="B35" s="134">
        <v>103400</v>
      </c>
      <c r="C35" s="230">
        <v>10000</v>
      </c>
      <c r="D35" s="135">
        <f t="shared" si="0"/>
        <v>9.671179883945841</v>
      </c>
      <c r="E35" s="136">
        <f t="shared" si="1"/>
        <v>-93400</v>
      </c>
    </row>
    <row r="36" spans="1:5" ht="24.75" customHeight="1">
      <c r="A36" s="108" t="s">
        <v>148</v>
      </c>
      <c r="B36" s="134">
        <f>SUM(B37:B38)</f>
        <v>100</v>
      </c>
      <c r="C36" s="134">
        <f>SUM(C37:C38)</f>
        <v>0</v>
      </c>
      <c r="D36" s="135">
        <f t="shared" si="0"/>
        <v>0</v>
      </c>
      <c r="E36" s="136">
        <f t="shared" si="1"/>
        <v>-100</v>
      </c>
    </row>
    <row r="37" spans="1:5" ht="16.5" customHeight="1">
      <c r="A37" s="108" t="s">
        <v>163</v>
      </c>
      <c r="B37" s="134">
        <v>100</v>
      </c>
      <c r="C37" s="137">
        <v>0</v>
      </c>
      <c r="D37" s="135">
        <f t="shared" si="0"/>
        <v>0</v>
      </c>
      <c r="E37" s="136">
        <f t="shared" si="1"/>
        <v>-100</v>
      </c>
    </row>
    <row r="38" spans="1:5" ht="25.5" customHeight="1">
      <c r="A38" s="108" t="s">
        <v>164</v>
      </c>
      <c r="B38" s="134">
        <v>0</v>
      </c>
      <c r="C38" s="137">
        <v>0</v>
      </c>
      <c r="D38" s="135" t="str">
        <f t="shared" si="0"/>
        <v>   </v>
      </c>
      <c r="E38" s="136">
        <f t="shared" si="1"/>
        <v>0</v>
      </c>
    </row>
    <row r="39" spans="1:5" ht="40.5" customHeight="1">
      <c r="A39" s="142" t="s">
        <v>132</v>
      </c>
      <c r="B39" s="134">
        <v>0</v>
      </c>
      <c r="C39" s="134">
        <v>0</v>
      </c>
      <c r="D39" s="135" t="str">
        <f t="shared" si="0"/>
        <v>   </v>
      </c>
      <c r="E39" s="136">
        <f t="shared" si="1"/>
        <v>0</v>
      </c>
    </row>
    <row r="40" spans="1:5" ht="27.75" customHeight="1">
      <c r="A40" s="142" t="s">
        <v>286</v>
      </c>
      <c r="B40" s="134">
        <v>0</v>
      </c>
      <c r="C40" s="134">
        <v>0</v>
      </c>
      <c r="D40" s="135" t="str">
        <f t="shared" si="0"/>
        <v>   </v>
      </c>
      <c r="E40" s="136">
        <f t="shared" si="1"/>
        <v>0</v>
      </c>
    </row>
    <row r="41" spans="1:5" ht="61.5" customHeight="1">
      <c r="A41" s="16" t="s">
        <v>235</v>
      </c>
      <c r="B41" s="134">
        <v>544300</v>
      </c>
      <c r="C41" s="134">
        <v>0</v>
      </c>
      <c r="D41" s="135">
        <f t="shared" si="0"/>
        <v>0</v>
      </c>
      <c r="E41" s="136">
        <f t="shared" si="1"/>
        <v>-544300</v>
      </c>
    </row>
    <row r="42" spans="1:5" ht="15.75" customHeight="1">
      <c r="A42" s="16" t="s">
        <v>55</v>
      </c>
      <c r="B42" s="164">
        <f>B46+B43+B45+B44</f>
        <v>848400</v>
      </c>
      <c r="C42" s="164">
        <f>C46+C43+C45</f>
        <v>0</v>
      </c>
      <c r="D42" s="26">
        <f t="shared" si="0"/>
        <v>0</v>
      </c>
      <c r="E42" s="42">
        <f t="shared" si="1"/>
        <v>-848400</v>
      </c>
    </row>
    <row r="43" spans="1:5" ht="15" customHeight="1">
      <c r="A43" s="46" t="s">
        <v>187</v>
      </c>
      <c r="B43" s="164">
        <v>0</v>
      </c>
      <c r="C43" s="164">
        <v>0</v>
      </c>
      <c r="D43" s="26" t="str">
        <f>IF(B43=0,"   ",C43/B43*100)</f>
        <v>   </v>
      </c>
      <c r="E43" s="42">
        <f>C43-B43</f>
        <v>0</v>
      </c>
    </row>
    <row r="44" spans="1:5" ht="15" customHeight="1">
      <c r="A44" s="46" t="s">
        <v>333</v>
      </c>
      <c r="B44" s="164">
        <v>452200</v>
      </c>
      <c r="C44" s="164">
        <v>0</v>
      </c>
      <c r="D44" s="26">
        <f>IF(B44=0,"   ",C44/B44*100)</f>
        <v>0</v>
      </c>
      <c r="E44" s="42">
        <f>C44-B44</f>
        <v>-452200</v>
      </c>
    </row>
    <row r="45" spans="1:5" ht="15" customHeight="1">
      <c r="A45" s="46" t="s">
        <v>284</v>
      </c>
      <c r="B45" s="164">
        <v>0</v>
      </c>
      <c r="C45" s="164">
        <v>0</v>
      </c>
      <c r="D45" s="26" t="str">
        <f>IF(B45=0,"   ",C45/B45*100)</f>
        <v>   </v>
      </c>
      <c r="E45" s="42">
        <f>C45-B45</f>
        <v>0</v>
      </c>
    </row>
    <row r="46" spans="1:5" s="7" customFormat="1" ht="16.5" customHeight="1">
      <c r="A46" s="16" t="s">
        <v>109</v>
      </c>
      <c r="B46" s="164">
        <v>396200</v>
      </c>
      <c r="C46" s="164">
        <v>0</v>
      </c>
      <c r="D46" s="47">
        <f t="shared" si="0"/>
        <v>0</v>
      </c>
      <c r="E46" s="40">
        <f t="shared" si="1"/>
        <v>-396200</v>
      </c>
    </row>
    <row r="47" spans="1:5" s="7" customFormat="1" ht="23.25" customHeight="1">
      <c r="A47" s="16" t="s">
        <v>197</v>
      </c>
      <c r="B47" s="164">
        <v>0</v>
      </c>
      <c r="C47" s="164">
        <v>0</v>
      </c>
      <c r="D47" s="47" t="str">
        <f>IF(B47=0,"   ",C47/B47*100)</f>
        <v>   </v>
      </c>
      <c r="E47" s="40">
        <f>C47-B47</f>
        <v>0</v>
      </c>
    </row>
    <row r="48" spans="1:5" ht="30.75" customHeight="1">
      <c r="A48" s="171" t="s">
        <v>11</v>
      </c>
      <c r="B48" s="149">
        <f>SUM(B31,B32,)</f>
        <v>5125300</v>
      </c>
      <c r="C48" s="149">
        <f>SUM(C31,C32,)</f>
        <v>404456.12</v>
      </c>
      <c r="D48" s="140">
        <f t="shared" si="0"/>
        <v>7.891364798158157</v>
      </c>
      <c r="E48" s="141">
        <f t="shared" si="1"/>
        <v>-4720843.88</v>
      </c>
    </row>
    <row r="49" spans="1:5" ht="41.25" customHeight="1">
      <c r="A49" s="22" t="s">
        <v>12</v>
      </c>
      <c r="B49" s="44"/>
      <c r="C49" s="45"/>
      <c r="D49" s="26" t="str">
        <f t="shared" si="0"/>
        <v>   </v>
      </c>
      <c r="E49" s="42">
        <f t="shared" si="1"/>
        <v>0</v>
      </c>
    </row>
    <row r="50" spans="1:5" ht="21" customHeight="1">
      <c r="A50" s="16" t="s">
        <v>35</v>
      </c>
      <c r="B50" s="25">
        <f>SUM(B51,B54,B55)</f>
        <v>1317600</v>
      </c>
      <c r="C50" s="25">
        <f>SUM(C51,C54,C55)</f>
        <v>37389.39</v>
      </c>
      <c r="D50" s="26">
        <f t="shared" si="0"/>
        <v>2.83768897996357</v>
      </c>
      <c r="E50" s="42">
        <f t="shared" si="1"/>
        <v>-1280210.61</v>
      </c>
    </row>
    <row r="51" spans="1:5" ht="14.25" customHeight="1">
      <c r="A51" s="16" t="s">
        <v>36</v>
      </c>
      <c r="B51" s="25">
        <v>1302100</v>
      </c>
      <c r="C51" s="25">
        <v>37389.39</v>
      </c>
      <c r="D51" s="26">
        <f t="shared" si="0"/>
        <v>2.8714683972045156</v>
      </c>
      <c r="E51" s="42">
        <f t="shared" si="1"/>
        <v>-1264710.61</v>
      </c>
    </row>
    <row r="52" spans="1:5" ht="12.75">
      <c r="A52" s="85" t="s">
        <v>121</v>
      </c>
      <c r="B52" s="25">
        <v>860753</v>
      </c>
      <c r="C52" s="28">
        <v>23800</v>
      </c>
      <c r="D52" s="26">
        <f t="shared" si="0"/>
        <v>2.7650208596426618</v>
      </c>
      <c r="E52" s="42">
        <f t="shared" si="1"/>
        <v>-836953</v>
      </c>
    </row>
    <row r="53" spans="1:5" ht="12.75">
      <c r="A53" s="85" t="s">
        <v>276</v>
      </c>
      <c r="B53" s="25">
        <v>100</v>
      </c>
      <c r="C53" s="28">
        <v>0</v>
      </c>
      <c r="D53" s="26">
        <f>IF(B53=0,"   ",C53/B53*100)</f>
        <v>0</v>
      </c>
      <c r="E53" s="42">
        <f>C53-B53</f>
        <v>-100</v>
      </c>
    </row>
    <row r="54" spans="1:5" ht="12.75">
      <c r="A54" s="16" t="s">
        <v>95</v>
      </c>
      <c r="B54" s="25">
        <v>500</v>
      </c>
      <c r="C54" s="27">
        <v>0</v>
      </c>
      <c r="D54" s="26">
        <f t="shared" si="0"/>
        <v>0</v>
      </c>
      <c r="E54" s="42">
        <f t="shared" si="1"/>
        <v>-500</v>
      </c>
    </row>
    <row r="55" spans="1:5" ht="12.75">
      <c r="A55" s="16" t="s">
        <v>52</v>
      </c>
      <c r="B55" s="25">
        <f>B56</f>
        <v>15000</v>
      </c>
      <c r="C55" s="25">
        <f>C56</f>
        <v>0</v>
      </c>
      <c r="D55" s="26">
        <f t="shared" si="0"/>
        <v>0</v>
      </c>
      <c r="E55" s="42">
        <f t="shared" si="1"/>
        <v>-15000</v>
      </c>
    </row>
    <row r="56" spans="1:5" ht="26.25">
      <c r="A56" s="104" t="s">
        <v>241</v>
      </c>
      <c r="B56" s="25">
        <v>15000</v>
      </c>
      <c r="C56" s="27">
        <v>0</v>
      </c>
      <c r="D56" s="26">
        <f t="shared" si="0"/>
        <v>0</v>
      </c>
      <c r="E56" s="42">
        <f t="shared" si="1"/>
        <v>-15000</v>
      </c>
    </row>
    <row r="57" spans="1:5" ht="19.5" customHeight="1">
      <c r="A57" s="16" t="s">
        <v>49</v>
      </c>
      <c r="B57" s="27">
        <f>SUM(B58)</f>
        <v>103400</v>
      </c>
      <c r="C57" s="27">
        <f>SUM(C58)</f>
        <v>2000</v>
      </c>
      <c r="D57" s="26">
        <f t="shared" si="0"/>
        <v>1.9342359767891684</v>
      </c>
      <c r="E57" s="42">
        <f t="shared" si="1"/>
        <v>-101400</v>
      </c>
    </row>
    <row r="58" spans="1:5" ht="15.75" customHeight="1">
      <c r="A58" s="16" t="s">
        <v>107</v>
      </c>
      <c r="B58" s="25">
        <v>103400</v>
      </c>
      <c r="C58" s="27">
        <v>2000</v>
      </c>
      <c r="D58" s="26">
        <f t="shared" si="0"/>
        <v>1.9342359767891684</v>
      </c>
      <c r="E58" s="42">
        <f t="shared" si="1"/>
        <v>-101400</v>
      </c>
    </row>
    <row r="59" spans="1:5" ht="21" customHeight="1">
      <c r="A59" s="16" t="s">
        <v>37</v>
      </c>
      <c r="B59" s="25">
        <f>SUM(B60)</f>
        <v>5000</v>
      </c>
      <c r="C59" s="27">
        <f>SUM(C60)</f>
        <v>0</v>
      </c>
      <c r="D59" s="26">
        <f t="shared" si="0"/>
        <v>0</v>
      </c>
      <c r="E59" s="42">
        <f t="shared" si="1"/>
        <v>-5000</v>
      </c>
    </row>
    <row r="60" spans="1:5" ht="15" customHeight="1">
      <c r="A60" s="75" t="s">
        <v>128</v>
      </c>
      <c r="B60" s="25">
        <v>5000</v>
      </c>
      <c r="C60" s="27">
        <v>0</v>
      </c>
      <c r="D60" s="26">
        <f t="shared" si="0"/>
        <v>0</v>
      </c>
      <c r="E60" s="42">
        <f t="shared" si="1"/>
        <v>-5000</v>
      </c>
    </row>
    <row r="61" spans="1:5" ht="19.5" customHeight="1">
      <c r="A61" s="16" t="s">
        <v>38</v>
      </c>
      <c r="B61" s="25">
        <f>SUM(B69+B62+B67+B77)</f>
        <v>2209800</v>
      </c>
      <c r="C61" s="25">
        <f>SUM(C69+C62+C67+C77)</f>
        <v>11008</v>
      </c>
      <c r="D61" s="26">
        <f t="shared" si="0"/>
        <v>0.49814462847316504</v>
      </c>
      <c r="E61" s="42">
        <f t="shared" si="1"/>
        <v>-2198792</v>
      </c>
    </row>
    <row r="62" spans="1:5" ht="15" customHeight="1">
      <c r="A62" s="75" t="s">
        <v>165</v>
      </c>
      <c r="B62" s="25">
        <f>SUM(B63:B66)</f>
        <v>481100</v>
      </c>
      <c r="C62" s="25">
        <f>SUM(C63:C66)</f>
        <v>0</v>
      </c>
      <c r="D62" s="26">
        <f aca="true" t="shared" si="2" ref="D62:D68">IF(B62=0,"   ",C62/B62*100)</f>
        <v>0</v>
      </c>
      <c r="E62" s="42">
        <f aca="true" t="shared" si="3" ref="E62:E68">C62-B62</f>
        <v>-481100</v>
      </c>
    </row>
    <row r="63" spans="1:5" ht="15.75" customHeight="1">
      <c r="A63" s="75" t="s">
        <v>166</v>
      </c>
      <c r="B63" s="25">
        <v>0</v>
      </c>
      <c r="C63" s="25">
        <v>0</v>
      </c>
      <c r="D63" s="26" t="str">
        <f t="shared" si="2"/>
        <v>   </v>
      </c>
      <c r="E63" s="42">
        <f t="shared" si="3"/>
        <v>0</v>
      </c>
    </row>
    <row r="64" spans="1:5" ht="19.5" customHeight="1">
      <c r="A64" s="75" t="s">
        <v>169</v>
      </c>
      <c r="B64" s="25">
        <v>0</v>
      </c>
      <c r="C64" s="25">
        <v>0</v>
      </c>
      <c r="D64" s="26" t="str">
        <f t="shared" si="2"/>
        <v>   </v>
      </c>
      <c r="E64" s="42">
        <f t="shared" si="3"/>
        <v>0</v>
      </c>
    </row>
    <row r="65" spans="1:5" ht="19.5" customHeight="1">
      <c r="A65" s="75" t="s">
        <v>334</v>
      </c>
      <c r="B65" s="25">
        <v>452200</v>
      </c>
      <c r="C65" s="25">
        <v>0</v>
      </c>
      <c r="D65" s="26">
        <f t="shared" si="2"/>
        <v>0</v>
      </c>
      <c r="E65" s="42">
        <f t="shared" si="3"/>
        <v>-452200</v>
      </c>
    </row>
    <row r="66" spans="1:5" ht="19.5" customHeight="1">
      <c r="A66" s="75" t="s">
        <v>335</v>
      </c>
      <c r="B66" s="25">
        <v>28900</v>
      </c>
      <c r="C66" s="25">
        <v>0</v>
      </c>
      <c r="D66" s="26">
        <f t="shared" si="2"/>
        <v>0</v>
      </c>
      <c r="E66" s="42">
        <f t="shared" si="3"/>
        <v>-28900</v>
      </c>
    </row>
    <row r="67" spans="1:5" ht="19.5" customHeight="1">
      <c r="A67" s="75" t="s">
        <v>228</v>
      </c>
      <c r="B67" s="25">
        <f>SUM(B68)</f>
        <v>70000</v>
      </c>
      <c r="C67" s="25">
        <f>SUM(C68)</f>
        <v>0</v>
      </c>
      <c r="D67" s="26">
        <f t="shared" si="2"/>
        <v>0</v>
      </c>
      <c r="E67" s="42">
        <f t="shared" si="3"/>
        <v>-70000</v>
      </c>
    </row>
    <row r="68" spans="1:5" ht="19.5" customHeight="1">
      <c r="A68" s="75" t="s">
        <v>229</v>
      </c>
      <c r="B68" s="25">
        <v>70000</v>
      </c>
      <c r="C68" s="25">
        <v>0</v>
      </c>
      <c r="D68" s="26">
        <f t="shared" si="2"/>
        <v>0</v>
      </c>
      <c r="E68" s="42">
        <f t="shared" si="3"/>
        <v>-70000</v>
      </c>
    </row>
    <row r="69" spans="1:5" ht="12.75" customHeight="1">
      <c r="A69" s="95" t="s">
        <v>131</v>
      </c>
      <c r="B69" s="25">
        <f>SUM(B70:B76)</f>
        <v>1598700</v>
      </c>
      <c r="C69" s="25">
        <f>SUM(C70:C76)</f>
        <v>11008</v>
      </c>
      <c r="D69" s="26">
        <f t="shared" si="0"/>
        <v>0.6885594545568274</v>
      </c>
      <c r="E69" s="42">
        <f t="shared" si="1"/>
        <v>-1587692</v>
      </c>
    </row>
    <row r="70" spans="1:5" ht="24.75" customHeight="1">
      <c r="A70" s="75" t="s">
        <v>149</v>
      </c>
      <c r="B70" s="25">
        <v>0</v>
      </c>
      <c r="C70" s="25">
        <v>0</v>
      </c>
      <c r="D70" s="26" t="str">
        <f t="shared" si="0"/>
        <v>   </v>
      </c>
      <c r="E70" s="136">
        <f t="shared" si="1"/>
        <v>0</v>
      </c>
    </row>
    <row r="71" spans="1:5" ht="33.75" customHeight="1">
      <c r="A71" s="71" t="s">
        <v>246</v>
      </c>
      <c r="B71" s="25">
        <v>553600</v>
      </c>
      <c r="C71" s="25">
        <v>0</v>
      </c>
      <c r="D71" s="26">
        <f t="shared" si="0"/>
        <v>0</v>
      </c>
      <c r="E71" s="136">
        <f t="shared" si="1"/>
        <v>-553600</v>
      </c>
    </row>
    <row r="72" spans="1:5" ht="26.25" customHeight="1">
      <c r="A72" s="71" t="s">
        <v>247</v>
      </c>
      <c r="B72" s="25">
        <v>0</v>
      </c>
      <c r="C72" s="25">
        <v>0</v>
      </c>
      <c r="D72" s="26" t="str">
        <f t="shared" si="0"/>
        <v>   </v>
      </c>
      <c r="E72" s="42">
        <f t="shared" si="1"/>
        <v>0</v>
      </c>
    </row>
    <row r="73" spans="1:5" ht="26.25" customHeight="1">
      <c r="A73" s="71" t="s">
        <v>248</v>
      </c>
      <c r="B73" s="25">
        <v>544300</v>
      </c>
      <c r="C73" s="25">
        <v>0</v>
      </c>
      <c r="D73" s="26">
        <f t="shared" si="0"/>
        <v>0</v>
      </c>
      <c r="E73" s="42">
        <f t="shared" si="1"/>
        <v>-544300</v>
      </c>
    </row>
    <row r="74" spans="1:5" ht="26.25" customHeight="1">
      <c r="A74" s="71" t="s">
        <v>249</v>
      </c>
      <c r="B74" s="25">
        <v>60500</v>
      </c>
      <c r="C74" s="25">
        <v>0</v>
      </c>
      <c r="D74" s="26">
        <f>IF(B74=0,"   ",C74/B74*100)</f>
        <v>0</v>
      </c>
      <c r="E74" s="42">
        <f>C74-B74</f>
        <v>-60500</v>
      </c>
    </row>
    <row r="75" spans="1:5" ht="26.25" customHeight="1">
      <c r="A75" s="71" t="s">
        <v>250</v>
      </c>
      <c r="B75" s="25">
        <v>396200</v>
      </c>
      <c r="C75" s="25">
        <v>0</v>
      </c>
      <c r="D75" s="26">
        <f>IF(B75=0,"   ",C75/B75*100)</f>
        <v>0</v>
      </c>
      <c r="E75" s="42">
        <f>C75-B75</f>
        <v>-396200</v>
      </c>
    </row>
    <row r="76" spans="1:5" ht="23.25" customHeight="1">
      <c r="A76" s="71" t="s">
        <v>251</v>
      </c>
      <c r="B76" s="25">
        <v>44100</v>
      </c>
      <c r="C76" s="25">
        <v>11008</v>
      </c>
      <c r="D76" s="26">
        <f t="shared" si="0"/>
        <v>24.961451247165535</v>
      </c>
      <c r="E76" s="42">
        <f t="shared" si="1"/>
        <v>-33092</v>
      </c>
    </row>
    <row r="77" spans="1:5" ht="18.75" customHeight="1">
      <c r="A77" s="95" t="s">
        <v>176</v>
      </c>
      <c r="B77" s="25">
        <f>SUM(B78)</f>
        <v>60000</v>
      </c>
      <c r="C77" s="25">
        <f>SUM(C78)</f>
        <v>0</v>
      </c>
      <c r="D77" s="26">
        <f>IF(B77=0,"   ",C77/B77*100)</f>
        <v>0</v>
      </c>
      <c r="E77" s="42">
        <f>C77-B77</f>
        <v>-60000</v>
      </c>
    </row>
    <row r="78" spans="1:5" ht="23.25" customHeight="1">
      <c r="A78" s="75" t="s">
        <v>177</v>
      </c>
      <c r="B78" s="25">
        <v>60000</v>
      </c>
      <c r="C78" s="25">
        <v>0</v>
      </c>
      <c r="D78" s="26">
        <f>IF(B78=0,"   ",C78/B78*100)</f>
        <v>0</v>
      </c>
      <c r="E78" s="42">
        <f>C78-B78</f>
        <v>-60000</v>
      </c>
    </row>
    <row r="79" spans="1:5" ht="18.75" customHeight="1">
      <c r="A79" s="16" t="s">
        <v>13</v>
      </c>
      <c r="B79" s="25">
        <f>SUM(B86+B80+B82)</f>
        <v>677900</v>
      </c>
      <c r="C79" s="25">
        <f>SUM(C86+C80+C82)</f>
        <v>0</v>
      </c>
      <c r="D79" s="26">
        <f t="shared" si="0"/>
        <v>0</v>
      </c>
      <c r="E79" s="42">
        <f t="shared" si="1"/>
        <v>-677900</v>
      </c>
    </row>
    <row r="80" spans="1:5" ht="12.75" customHeight="1">
      <c r="A80" s="86" t="s">
        <v>14</v>
      </c>
      <c r="B80" s="25">
        <f>B81</f>
        <v>0</v>
      </c>
      <c r="C80" s="25">
        <f>C81</f>
        <v>0</v>
      </c>
      <c r="D80" s="26" t="str">
        <f aca="true" t="shared" si="4" ref="D80:D85">IF(B80=0,"   ",C80/B80*100)</f>
        <v>   </v>
      </c>
      <c r="E80" s="42">
        <f aca="true" t="shared" si="5" ref="E80:E85">C80-B80</f>
        <v>0</v>
      </c>
    </row>
    <row r="81" spans="1:5" ht="12.75" customHeight="1">
      <c r="A81" s="155" t="s">
        <v>171</v>
      </c>
      <c r="B81" s="25">
        <v>0</v>
      </c>
      <c r="C81" s="25">
        <v>0</v>
      </c>
      <c r="D81" s="26" t="str">
        <f t="shared" si="4"/>
        <v>   </v>
      </c>
      <c r="E81" s="42">
        <f t="shared" si="5"/>
        <v>0</v>
      </c>
    </row>
    <row r="82" spans="1:5" ht="13.5" customHeight="1">
      <c r="A82" s="86" t="s">
        <v>64</v>
      </c>
      <c r="B82" s="25">
        <f>B83+B84+B85</f>
        <v>0</v>
      </c>
      <c r="C82" s="25">
        <f>C83+C84+C85</f>
        <v>0</v>
      </c>
      <c r="D82" s="26" t="str">
        <f t="shared" si="4"/>
        <v>   </v>
      </c>
      <c r="E82" s="42">
        <f t="shared" si="5"/>
        <v>0</v>
      </c>
    </row>
    <row r="83" spans="1:5" ht="14.25" customHeight="1">
      <c r="A83" s="155" t="s">
        <v>142</v>
      </c>
      <c r="B83" s="25">
        <v>0</v>
      </c>
      <c r="C83" s="25">
        <v>0</v>
      </c>
      <c r="D83" s="26" t="str">
        <f t="shared" si="4"/>
        <v>   </v>
      </c>
      <c r="E83" s="42">
        <f t="shared" si="5"/>
        <v>0</v>
      </c>
    </row>
    <row r="84" spans="1:5" ht="14.25" customHeight="1">
      <c r="A84" s="16" t="s">
        <v>289</v>
      </c>
      <c r="B84" s="25">
        <v>0</v>
      </c>
      <c r="C84" s="25">
        <v>0</v>
      </c>
      <c r="D84" s="26" t="str">
        <f t="shared" si="4"/>
        <v>   </v>
      </c>
      <c r="E84" s="42">
        <f t="shared" si="5"/>
        <v>0</v>
      </c>
    </row>
    <row r="85" spans="1:5" ht="14.25" customHeight="1">
      <c r="A85" s="16" t="s">
        <v>299</v>
      </c>
      <c r="B85" s="25">
        <v>0</v>
      </c>
      <c r="C85" s="25">
        <v>0</v>
      </c>
      <c r="D85" s="26" t="str">
        <f t="shared" si="4"/>
        <v>   </v>
      </c>
      <c r="E85" s="42">
        <f t="shared" si="5"/>
        <v>0</v>
      </c>
    </row>
    <row r="86" spans="1:5" ht="12.75">
      <c r="A86" s="16" t="s">
        <v>58</v>
      </c>
      <c r="B86" s="25">
        <f>B87+B89+B88+B94+B90</f>
        <v>677900</v>
      </c>
      <c r="C86" s="25">
        <f>C87+C89+C88+C94+C90</f>
        <v>0</v>
      </c>
      <c r="D86" s="26">
        <f t="shared" si="0"/>
        <v>0</v>
      </c>
      <c r="E86" s="42">
        <f t="shared" si="1"/>
        <v>-677900</v>
      </c>
    </row>
    <row r="87" spans="1:5" ht="12.75">
      <c r="A87" s="16" t="s">
        <v>56</v>
      </c>
      <c r="B87" s="25">
        <v>132600</v>
      </c>
      <c r="C87" s="27">
        <v>0</v>
      </c>
      <c r="D87" s="26">
        <f t="shared" si="0"/>
        <v>0</v>
      </c>
      <c r="E87" s="42">
        <f t="shared" si="1"/>
        <v>-132600</v>
      </c>
    </row>
    <row r="88" spans="1:5" ht="26.25">
      <c r="A88" s="104" t="s">
        <v>290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2.75">
      <c r="A89" s="16" t="s">
        <v>59</v>
      </c>
      <c r="B89" s="25">
        <v>545300</v>
      </c>
      <c r="C89" s="27">
        <v>0</v>
      </c>
      <c r="D89" s="26">
        <f t="shared" si="0"/>
        <v>0</v>
      </c>
      <c r="E89" s="42">
        <f t="shared" si="1"/>
        <v>-545300</v>
      </c>
    </row>
    <row r="90" spans="1:5" ht="13.5" customHeight="1">
      <c r="A90" s="104" t="s">
        <v>204</v>
      </c>
      <c r="B90" s="25">
        <f>SUM(B91:B93)</f>
        <v>0</v>
      </c>
      <c r="C90" s="25">
        <f>SUM(C91:C93)</f>
        <v>0</v>
      </c>
      <c r="D90" s="26" t="str">
        <f>IF(B90=0,"   ",C90/B90*100)</f>
        <v>   </v>
      </c>
      <c r="E90" s="42">
        <f>C90-B90</f>
        <v>0</v>
      </c>
    </row>
    <row r="91" spans="1:5" ht="26.25">
      <c r="A91" s="104" t="s">
        <v>211</v>
      </c>
      <c r="B91" s="25">
        <v>0</v>
      </c>
      <c r="C91" s="27">
        <v>0</v>
      </c>
      <c r="D91" s="26" t="str">
        <f t="shared" si="0"/>
        <v>   </v>
      </c>
      <c r="E91" s="42">
        <f t="shared" si="1"/>
        <v>0</v>
      </c>
    </row>
    <row r="92" spans="1:5" ht="26.25">
      <c r="A92" s="104" t="s">
        <v>212</v>
      </c>
      <c r="B92" s="25">
        <v>0</v>
      </c>
      <c r="C92" s="27">
        <v>0</v>
      </c>
      <c r="D92" s="26" t="str">
        <f t="shared" si="0"/>
        <v>   </v>
      </c>
      <c r="E92" s="42">
        <f t="shared" si="1"/>
        <v>0</v>
      </c>
    </row>
    <row r="93" spans="1:5" ht="26.25">
      <c r="A93" s="104" t="s">
        <v>213</v>
      </c>
      <c r="B93" s="25">
        <v>0</v>
      </c>
      <c r="C93" s="27">
        <v>0</v>
      </c>
      <c r="D93" s="26" t="str">
        <f t="shared" si="0"/>
        <v>   </v>
      </c>
      <c r="E93" s="42">
        <f t="shared" si="1"/>
        <v>0</v>
      </c>
    </row>
    <row r="94" spans="1:5" ht="12.75">
      <c r="A94" s="155" t="s">
        <v>94</v>
      </c>
      <c r="B94" s="25">
        <v>0</v>
      </c>
      <c r="C94" s="27">
        <v>0</v>
      </c>
      <c r="D94" s="26" t="str">
        <f t="shared" si="0"/>
        <v>   </v>
      </c>
      <c r="E94" s="42">
        <f t="shared" si="1"/>
        <v>0</v>
      </c>
    </row>
    <row r="95" spans="1:5" ht="14.25" customHeight="1">
      <c r="A95" s="18" t="s">
        <v>17</v>
      </c>
      <c r="B95" s="31">
        <v>8000</v>
      </c>
      <c r="C95" s="31">
        <v>0</v>
      </c>
      <c r="D95" s="26">
        <f t="shared" si="0"/>
        <v>0</v>
      </c>
      <c r="E95" s="42">
        <f t="shared" si="1"/>
        <v>-8000</v>
      </c>
    </row>
    <row r="96" spans="1:5" ht="13.5" customHeight="1">
      <c r="A96" s="16" t="s">
        <v>41</v>
      </c>
      <c r="B96" s="24">
        <f>B97</f>
        <v>783600</v>
      </c>
      <c r="C96" s="24">
        <f>C97</f>
        <v>0</v>
      </c>
      <c r="D96" s="26">
        <f t="shared" si="0"/>
        <v>0</v>
      </c>
      <c r="E96" s="42">
        <f t="shared" si="1"/>
        <v>-783600</v>
      </c>
    </row>
    <row r="97" spans="1:5" ht="12.75">
      <c r="A97" s="16" t="s">
        <v>42</v>
      </c>
      <c r="B97" s="25">
        <v>783600</v>
      </c>
      <c r="C97" s="27">
        <v>0</v>
      </c>
      <c r="D97" s="26">
        <f t="shared" si="0"/>
        <v>0</v>
      </c>
      <c r="E97" s="42">
        <f t="shared" si="1"/>
        <v>-783600</v>
      </c>
    </row>
    <row r="98" spans="1:5" ht="18.75" customHeight="1">
      <c r="A98" s="16" t="s">
        <v>124</v>
      </c>
      <c r="B98" s="25">
        <f>SUM(B99,)</f>
        <v>20000</v>
      </c>
      <c r="C98" s="25">
        <f>SUM(C99,)</f>
        <v>0</v>
      </c>
      <c r="D98" s="26">
        <f t="shared" si="0"/>
        <v>0</v>
      </c>
      <c r="E98" s="42">
        <f t="shared" si="1"/>
        <v>-20000</v>
      </c>
    </row>
    <row r="99" spans="1:5" ht="12.75">
      <c r="A99" s="16" t="s">
        <v>43</v>
      </c>
      <c r="B99" s="25">
        <v>20000</v>
      </c>
      <c r="C99" s="28">
        <v>0</v>
      </c>
      <c r="D99" s="26">
        <f t="shared" si="0"/>
        <v>0</v>
      </c>
      <c r="E99" s="42">
        <f t="shared" si="1"/>
        <v>-20000</v>
      </c>
    </row>
    <row r="100" spans="1:5" ht="22.5" customHeight="1">
      <c r="A100" s="171" t="s">
        <v>15</v>
      </c>
      <c r="B100" s="149">
        <f>B50+B57+B59+B61+B79+B95+B96+B98</f>
        <v>5125300</v>
      </c>
      <c r="C100" s="149">
        <f>C50+C57+C59+C61+C79+C95+C96+C98</f>
        <v>50397.39</v>
      </c>
      <c r="D100" s="140">
        <f>IF(B100=0,"   ",C100/B100*100)</f>
        <v>0.983306147932804</v>
      </c>
      <c r="E100" s="141">
        <f t="shared" si="1"/>
        <v>-5074902.61</v>
      </c>
    </row>
    <row r="101" spans="1:5" s="59" customFormat="1" ht="33" customHeight="1">
      <c r="A101" s="80" t="s">
        <v>309</v>
      </c>
      <c r="B101" s="80"/>
      <c r="C101" s="337"/>
      <c r="D101" s="337"/>
      <c r="E101" s="337"/>
    </row>
    <row r="102" spans="1:5" s="59" customFormat="1" ht="12" customHeight="1">
      <c r="A102" s="80" t="s">
        <v>154</v>
      </c>
      <c r="B102" s="80"/>
      <c r="C102" s="81" t="s">
        <v>310</v>
      </c>
      <c r="D102" s="82"/>
      <c r="E102" s="83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7"/>
      <c r="B105" s="7"/>
      <c r="C105" s="6"/>
      <c r="D105" s="7"/>
      <c r="E105" s="2"/>
    </row>
    <row r="106" spans="1:5" ht="12.75">
      <c r="A106" s="7"/>
      <c r="B106" s="7"/>
      <c r="C106" s="6"/>
      <c r="D106" s="7"/>
      <c r="E106" s="2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</sheetData>
  <sheetProtection/>
  <mergeCells count="2">
    <mergeCell ref="A1:E1"/>
    <mergeCell ref="C101:E101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34">
      <selection activeCell="C50" sqref="C50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339" t="s">
        <v>328</v>
      </c>
      <c r="B1" s="339"/>
      <c r="C1" s="339"/>
      <c r="D1" s="339"/>
      <c r="E1" s="33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317</v>
      </c>
      <c r="C4" s="32" t="s">
        <v>312</v>
      </c>
      <c r="D4" s="19" t="s">
        <v>320</v>
      </c>
      <c r="E4" s="36" t="s">
        <v>319</v>
      </c>
    </row>
    <row r="5" spans="1:5" ht="12.75">
      <c r="A5" s="13">
        <v>1</v>
      </c>
      <c r="B5" s="74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48">
        <f>SUM(B8)</f>
        <v>401400</v>
      </c>
      <c r="C7" s="148">
        <f>SUM(C8)</f>
        <v>9858.44</v>
      </c>
      <c r="D7" s="26">
        <f aca="true" t="shared" si="0" ref="D7:D106">IF(B7=0,"   ",C7/B7*100)</f>
        <v>2.456013951170902</v>
      </c>
      <c r="E7" s="42">
        <f aca="true" t="shared" si="1" ref="E7:E107">C7-B7</f>
        <v>-391541.56</v>
      </c>
    </row>
    <row r="8" spans="1:5" ht="12.75">
      <c r="A8" s="16" t="s">
        <v>44</v>
      </c>
      <c r="B8" s="84">
        <v>401400</v>
      </c>
      <c r="C8" s="230">
        <v>9858.44</v>
      </c>
      <c r="D8" s="26">
        <f t="shared" si="0"/>
        <v>2.456013951170902</v>
      </c>
      <c r="E8" s="42">
        <f t="shared" si="1"/>
        <v>-391541.56</v>
      </c>
    </row>
    <row r="9" spans="1:5" ht="18" customHeight="1">
      <c r="A9" s="64" t="s">
        <v>137</v>
      </c>
      <c r="B9" s="193">
        <f>SUM(B10)</f>
        <v>915700</v>
      </c>
      <c r="C9" s="193">
        <f>SUM(C10)</f>
        <v>73492.13</v>
      </c>
      <c r="D9" s="26">
        <f t="shared" si="0"/>
        <v>8.025786829747734</v>
      </c>
      <c r="E9" s="42">
        <f t="shared" si="1"/>
        <v>-842207.87</v>
      </c>
    </row>
    <row r="10" spans="1:5" ht="12.75">
      <c r="A10" s="41" t="s">
        <v>138</v>
      </c>
      <c r="B10" s="194">
        <v>915700</v>
      </c>
      <c r="C10" s="230">
        <v>73492.13</v>
      </c>
      <c r="D10" s="26">
        <f t="shared" si="0"/>
        <v>8.025786829747734</v>
      </c>
      <c r="E10" s="42">
        <f t="shared" si="1"/>
        <v>-842207.87</v>
      </c>
    </row>
    <row r="11" spans="1:5" ht="16.5" customHeight="1">
      <c r="A11" s="16" t="s">
        <v>7</v>
      </c>
      <c r="B11" s="194">
        <f>SUM(B12:B12)</f>
        <v>55600</v>
      </c>
      <c r="C11" s="194">
        <f>C12</f>
        <v>0</v>
      </c>
      <c r="D11" s="26">
        <f t="shared" si="0"/>
        <v>0</v>
      </c>
      <c r="E11" s="42">
        <f t="shared" si="1"/>
        <v>-55600</v>
      </c>
    </row>
    <row r="12" spans="1:5" ht="12.75">
      <c r="A12" s="16" t="s">
        <v>26</v>
      </c>
      <c r="B12" s="194">
        <v>55600</v>
      </c>
      <c r="C12" s="230">
        <v>0</v>
      </c>
      <c r="D12" s="26">
        <f t="shared" si="0"/>
        <v>0</v>
      </c>
      <c r="E12" s="42">
        <f t="shared" si="1"/>
        <v>-55600</v>
      </c>
    </row>
    <row r="13" spans="1:5" ht="18" customHeight="1">
      <c r="A13" s="16" t="s">
        <v>9</v>
      </c>
      <c r="B13" s="194">
        <f>SUM(B14:B15)</f>
        <v>1032000</v>
      </c>
      <c r="C13" s="194">
        <f>SUM(C14:C15)</f>
        <v>14854.77</v>
      </c>
      <c r="D13" s="26">
        <f t="shared" si="0"/>
        <v>1.4394156976744188</v>
      </c>
      <c r="E13" s="42">
        <f t="shared" si="1"/>
        <v>-1017145.23</v>
      </c>
    </row>
    <row r="14" spans="1:5" ht="12.75">
      <c r="A14" s="16" t="s">
        <v>27</v>
      </c>
      <c r="B14" s="194">
        <v>640000</v>
      </c>
      <c r="C14" s="230">
        <v>1705.28</v>
      </c>
      <c r="D14" s="26">
        <f t="shared" si="0"/>
        <v>0.26644999999999996</v>
      </c>
      <c r="E14" s="42">
        <f t="shared" si="1"/>
        <v>-638294.72</v>
      </c>
    </row>
    <row r="15" spans="1:5" ht="12.75">
      <c r="A15" s="41" t="s">
        <v>160</v>
      </c>
      <c r="B15" s="194">
        <f>SUM(B16:B17)</f>
        <v>392000</v>
      </c>
      <c r="C15" s="194">
        <f>SUM(C16:C17)</f>
        <v>13149.49</v>
      </c>
      <c r="D15" s="26">
        <f t="shared" si="0"/>
        <v>3.3544617346938774</v>
      </c>
      <c r="E15" s="42">
        <f t="shared" si="1"/>
        <v>-378850.51</v>
      </c>
    </row>
    <row r="16" spans="1:5" ht="12.75">
      <c r="A16" s="41" t="s">
        <v>161</v>
      </c>
      <c r="B16" s="194">
        <v>105000</v>
      </c>
      <c r="C16" s="230">
        <v>10721</v>
      </c>
      <c r="D16" s="26">
        <f t="shared" si="0"/>
        <v>10.210476190476191</v>
      </c>
      <c r="E16" s="42">
        <f t="shared" si="1"/>
        <v>-94279</v>
      </c>
    </row>
    <row r="17" spans="1:5" ht="12.75">
      <c r="A17" s="41" t="s">
        <v>162</v>
      </c>
      <c r="B17" s="194">
        <v>287000</v>
      </c>
      <c r="C17" s="230">
        <v>2428.49</v>
      </c>
      <c r="D17" s="26">
        <f t="shared" si="0"/>
        <v>0.846163763066202</v>
      </c>
      <c r="E17" s="42">
        <f t="shared" si="1"/>
        <v>-284571.51</v>
      </c>
    </row>
    <row r="18" spans="1:5" ht="12.75">
      <c r="A18" s="41" t="s">
        <v>195</v>
      </c>
      <c r="B18" s="194">
        <v>0</v>
      </c>
      <c r="C18" s="230">
        <v>0</v>
      </c>
      <c r="D18" s="26" t="str">
        <f t="shared" si="0"/>
        <v>   </v>
      </c>
      <c r="E18" s="42">
        <f t="shared" si="1"/>
        <v>0</v>
      </c>
    </row>
    <row r="19" spans="1:5" ht="26.25" customHeight="1">
      <c r="A19" s="16" t="s">
        <v>89</v>
      </c>
      <c r="B19" s="194">
        <v>0</v>
      </c>
      <c r="C19" s="19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194">
        <f>SUM(B21:B24)</f>
        <v>56000</v>
      </c>
      <c r="C20" s="194">
        <f>SUM(C21:C24)</f>
        <v>4924.74</v>
      </c>
      <c r="D20" s="26">
        <f t="shared" si="0"/>
        <v>8.79417857142857</v>
      </c>
      <c r="E20" s="42">
        <f t="shared" si="1"/>
        <v>-51075.26</v>
      </c>
    </row>
    <row r="21" spans="1:5" ht="12.75">
      <c r="A21" s="16" t="s">
        <v>29</v>
      </c>
      <c r="B21" s="194">
        <v>0</v>
      </c>
      <c r="C21" s="19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152</v>
      </c>
      <c r="B22" s="194">
        <v>26000</v>
      </c>
      <c r="C22" s="195">
        <v>7.34</v>
      </c>
      <c r="D22" s="26">
        <f t="shared" si="0"/>
        <v>0.028230769230769233</v>
      </c>
      <c r="E22" s="42">
        <f t="shared" si="1"/>
        <v>-25992.66</v>
      </c>
    </row>
    <row r="23" spans="1:5" ht="15.75" customHeight="1">
      <c r="A23" s="16" t="s">
        <v>30</v>
      </c>
      <c r="B23" s="194">
        <v>10000</v>
      </c>
      <c r="C23" s="194">
        <v>0</v>
      </c>
      <c r="D23" s="26">
        <f t="shared" si="0"/>
        <v>0</v>
      </c>
      <c r="E23" s="42">
        <f t="shared" si="1"/>
        <v>-10000</v>
      </c>
    </row>
    <row r="24" spans="1:5" ht="42" customHeight="1">
      <c r="A24" s="16" t="s">
        <v>223</v>
      </c>
      <c r="B24" s="194">
        <v>20000</v>
      </c>
      <c r="C24" s="230">
        <v>4917.4</v>
      </c>
      <c r="D24" s="26">
        <f t="shared" si="0"/>
        <v>24.586999999999996</v>
      </c>
      <c r="E24" s="42">
        <f t="shared" si="1"/>
        <v>-15082.6</v>
      </c>
    </row>
    <row r="25" spans="1:5" ht="15.75" customHeight="1">
      <c r="A25" s="39" t="s">
        <v>91</v>
      </c>
      <c r="B25" s="194">
        <v>0</v>
      </c>
      <c r="C25" s="230">
        <v>0</v>
      </c>
      <c r="D25" s="26" t="str">
        <f t="shared" si="0"/>
        <v>   </v>
      </c>
      <c r="E25" s="42">
        <f t="shared" si="1"/>
        <v>0</v>
      </c>
    </row>
    <row r="26" spans="1:5" ht="15" customHeight="1">
      <c r="A26" s="16" t="s">
        <v>78</v>
      </c>
      <c r="B26" s="194">
        <f>SUM(B27:B28)</f>
        <v>0</v>
      </c>
      <c r="C26" s="194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134</v>
      </c>
      <c r="B27" s="194">
        <v>0</v>
      </c>
      <c r="C27" s="230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194">
        <v>0</v>
      </c>
      <c r="C28" s="230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194">
        <v>0</v>
      </c>
      <c r="C29" s="19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194">
        <f>B31+B32</f>
        <v>0</v>
      </c>
      <c r="C30" s="193">
        <f>C31+C32</f>
        <v>3868.33</v>
      </c>
      <c r="D30" s="26" t="str">
        <f t="shared" si="0"/>
        <v>   </v>
      </c>
      <c r="E30" s="42">
        <f t="shared" si="1"/>
        <v>3868.33</v>
      </c>
    </row>
    <row r="31" spans="1:5" ht="13.5" customHeight="1">
      <c r="A31" s="16" t="s">
        <v>126</v>
      </c>
      <c r="B31" s="194">
        <v>0</v>
      </c>
      <c r="C31" s="195">
        <v>3868.33</v>
      </c>
      <c r="D31" s="26" t="str">
        <f t="shared" si="0"/>
        <v>   </v>
      </c>
      <c r="E31" s="42">
        <f t="shared" si="1"/>
        <v>3868.33</v>
      </c>
    </row>
    <row r="32" spans="1:5" ht="13.5" customHeight="1">
      <c r="A32" s="16" t="s">
        <v>129</v>
      </c>
      <c r="B32" s="194">
        <v>0</v>
      </c>
      <c r="C32" s="195">
        <v>0</v>
      </c>
      <c r="D32" s="26"/>
      <c r="E32" s="42">
        <f t="shared" si="1"/>
        <v>0</v>
      </c>
    </row>
    <row r="33" spans="1:5" ht="25.5" customHeight="1">
      <c r="A33" s="171" t="s">
        <v>10</v>
      </c>
      <c r="B33" s="173">
        <f>SUM(B7,B9,B11,B13,B19,B20,B25,B26,B29,B30,B18)</f>
        <v>2460700</v>
      </c>
      <c r="C33" s="173">
        <f>SUM(C7,C9,C11,C13,C19,C20,C25,C26,C29,C30,C18)</f>
        <v>106998.41000000002</v>
      </c>
      <c r="D33" s="140">
        <f t="shared" si="0"/>
        <v>4.348291543056854</v>
      </c>
      <c r="E33" s="141">
        <f t="shared" si="1"/>
        <v>-2353701.59</v>
      </c>
    </row>
    <row r="34" spans="1:5" ht="18.75" customHeight="1">
      <c r="A34" s="179" t="s">
        <v>140</v>
      </c>
      <c r="B34" s="184">
        <f>SUM(B35:B38,B42:B43,B47,B48,B49,B41)</f>
        <v>5912200</v>
      </c>
      <c r="C34" s="184">
        <f>SUM(C35:C38,C43:C43,C47,C48,C49,C41)</f>
        <v>376330</v>
      </c>
      <c r="D34" s="140">
        <f t="shared" si="0"/>
        <v>6.365312404857752</v>
      </c>
      <c r="E34" s="141">
        <f t="shared" si="1"/>
        <v>-5535870</v>
      </c>
    </row>
    <row r="35" spans="1:5" ht="16.5" customHeight="1">
      <c r="A35" s="17" t="s">
        <v>34</v>
      </c>
      <c r="B35" s="159">
        <v>4436700</v>
      </c>
      <c r="C35" s="230">
        <v>366330</v>
      </c>
      <c r="D35" s="26">
        <f t="shared" si="0"/>
        <v>8.256812495773886</v>
      </c>
      <c r="E35" s="42">
        <f t="shared" si="1"/>
        <v>-4070370</v>
      </c>
    </row>
    <row r="36" spans="1:5" ht="16.5" customHeight="1">
      <c r="A36" s="17" t="s">
        <v>226</v>
      </c>
      <c r="B36" s="159">
        <v>0</v>
      </c>
      <c r="C36" s="230">
        <v>0</v>
      </c>
      <c r="D36" s="26" t="str">
        <f>IF(B36=0,"   ",C36/B36*100)</f>
        <v>   </v>
      </c>
      <c r="E36" s="42">
        <f>C36-B36</f>
        <v>0</v>
      </c>
    </row>
    <row r="37" spans="1:5" ht="24.75" customHeight="1">
      <c r="A37" s="133" t="s">
        <v>51</v>
      </c>
      <c r="B37" s="134">
        <v>206700</v>
      </c>
      <c r="C37" s="230">
        <v>10000</v>
      </c>
      <c r="D37" s="135">
        <f t="shared" si="0"/>
        <v>4.837929366231252</v>
      </c>
      <c r="E37" s="136">
        <f t="shared" si="1"/>
        <v>-196700</v>
      </c>
    </row>
    <row r="38" spans="1:5" ht="24.75" customHeight="1">
      <c r="A38" s="108" t="s">
        <v>148</v>
      </c>
      <c r="B38" s="134">
        <f>SUM(B39:B40)</f>
        <v>200</v>
      </c>
      <c r="C38" s="134">
        <f>SUM(C39:C40)</f>
        <v>0</v>
      </c>
      <c r="D38" s="135">
        <f t="shared" si="0"/>
        <v>0</v>
      </c>
      <c r="E38" s="136">
        <f t="shared" si="1"/>
        <v>-200</v>
      </c>
    </row>
    <row r="39" spans="1:5" ht="12.75" customHeight="1">
      <c r="A39" s="108" t="s">
        <v>163</v>
      </c>
      <c r="B39" s="134">
        <v>200</v>
      </c>
      <c r="C39" s="134">
        <v>0</v>
      </c>
      <c r="D39" s="135">
        <f>IF(B39=0,"   ",C39/B39*100)</f>
        <v>0</v>
      </c>
      <c r="E39" s="136">
        <f>C39-B39</f>
        <v>-200</v>
      </c>
    </row>
    <row r="40" spans="1:5" ht="24.75" customHeight="1">
      <c r="A40" s="108" t="s">
        <v>164</v>
      </c>
      <c r="B40" s="134">
        <v>0</v>
      </c>
      <c r="C40" s="134">
        <v>0</v>
      </c>
      <c r="D40" s="135" t="str">
        <f>IF(B40=0,"   ",C40/B40*100)</f>
        <v>   </v>
      </c>
      <c r="E40" s="136">
        <f>C40-B40</f>
        <v>0</v>
      </c>
    </row>
    <row r="41" spans="1:5" ht="54" customHeight="1">
      <c r="A41" s="16" t="s">
        <v>235</v>
      </c>
      <c r="B41" s="134">
        <v>716900</v>
      </c>
      <c r="C41" s="134">
        <v>0</v>
      </c>
      <c r="D41" s="135">
        <f>IF(B41=0,"   ",C41/B41*100)</f>
        <v>0</v>
      </c>
      <c r="E41" s="136">
        <f>C41-B41</f>
        <v>-716900</v>
      </c>
    </row>
    <row r="42" spans="1:5" ht="31.5" customHeight="1">
      <c r="A42" s="16" t="s">
        <v>267</v>
      </c>
      <c r="B42" s="134">
        <v>0</v>
      </c>
      <c r="C42" s="134">
        <v>0</v>
      </c>
      <c r="D42" s="135" t="str">
        <f>IF(B42=0,"   ",C42/B42*100)</f>
        <v>   </v>
      </c>
      <c r="E42" s="136">
        <f>C42-B42</f>
        <v>0</v>
      </c>
    </row>
    <row r="43" spans="1:5" ht="18" customHeight="1">
      <c r="A43" s="16" t="s">
        <v>55</v>
      </c>
      <c r="B43" s="164">
        <f>B46+B44+B45</f>
        <v>551700</v>
      </c>
      <c r="C43" s="164">
        <f>C46+C44+C45</f>
        <v>0</v>
      </c>
      <c r="D43" s="26">
        <f t="shared" si="0"/>
        <v>0</v>
      </c>
      <c r="E43" s="42">
        <f t="shared" si="1"/>
        <v>-551700</v>
      </c>
    </row>
    <row r="44" spans="1:5" ht="24.75" customHeight="1">
      <c r="A44" s="46" t="s">
        <v>187</v>
      </c>
      <c r="B44" s="164">
        <v>0</v>
      </c>
      <c r="C44" s="164">
        <v>0</v>
      </c>
      <c r="D44" s="26" t="str">
        <f t="shared" si="0"/>
        <v>   </v>
      </c>
      <c r="E44" s="42">
        <f t="shared" si="1"/>
        <v>0</v>
      </c>
    </row>
    <row r="45" spans="1:5" ht="24.75" customHeight="1">
      <c r="A45" s="46" t="s">
        <v>284</v>
      </c>
      <c r="B45" s="164">
        <v>0</v>
      </c>
      <c r="C45" s="164">
        <v>0</v>
      </c>
      <c r="D45" s="26" t="str">
        <f t="shared" si="0"/>
        <v>   </v>
      </c>
      <c r="E45" s="42">
        <f t="shared" si="1"/>
        <v>0</v>
      </c>
    </row>
    <row r="46" spans="1:5" s="7" customFormat="1" ht="15.75" customHeight="1">
      <c r="A46" s="16" t="s">
        <v>109</v>
      </c>
      <c r="B46" s="164">
        <v>551700</v>
      </c>
      <c r="C46" s="164">
        <v>0</v>
      </c>
      <c r="D46" s="47">
        <f t="shared" si="0"/>
        <v>0</v>
      </c>
      <c r="E46" s="40">
        <f t="shared" si="1"/>
        <v>-551700</v>
      </c>
    </row>
    <row r="47" spans="1:5" ht="39" customHeight="1">
      <c r="A47" s="16" t="s">
        <v>292</v>
      </c>
      <c r="B47" s="164">
        <v>0</v>
      </c>
      <c r="C47" s="164">
        <v>0</v>
      </c>
      <c r="D47" s="26" t="str">
        <f t="shared" si="0"/>
        <v>   </v>
      </c>
      <c r="E47" s="42">
        <f t="shared" si="1"/>
        <v>0</v>
      </c>
    </row>
    <row r="48" spans="1:5" ht="30" customHeight="1">
      <c r="A48" s="142" t="s">
        <v>286</v>
      </c>
      <c r="B48" s="164">
        <v>0</v>
      </c>
      <c r="C48" s="164">
        <v>0</v>
      </c>
      <c r="D48" s="26" t="str">
        <f t="shared" si="0"/>
        <v>   </v>
      </c>
      <c r="E48" s="42">
        <f t="shared" si="1"/>
        <v>0</v>
      </c>
    </row>
    <row r="49" spans="1:5" ht="24.75" customHeight="1">
      <c r="A49" s="16" t="s">
        <v>197</v>
      </c>
      <c r="B49" s="164">
        <v>0</v>
      </c>
      <c r="C49" s="164">
        <v>0</v>
      </c>
      <c r="D49" s="26" t="str">
        <f t="shared" si="0"/>
        <v>   </v>
      </c>
      <c r="E49" s="42">
        <f t="shared" si="1"/>
        <v>0</v>
      </c>
    </row>
    <row r="50" spans="1:5" ht="33" customHeight="1">
      <c r="A50" s="171" t="s">
        <v>11</v>
      </c>
      <c r="B50" s="149">
        <f>SUM(B33,B34,)</f>
        <v>8372900</v>
      </c>
      <c r="C50" s="149">
        <f>SUM(C33,C34,)</f>
        <v>483328.41000000003</v>
      </c>
      <c r="D50" s="140">
        <f t="shared" si="0"/>
        <v>5.77253293363112</v>
      </c>
      <c r="E50" s="141">
        <f t="shared" si="1"/>
        <v>-7889571.59</v>
      </c>
    </row>
    <row r="51" spans="1:5" ht="12.75" customHeight="1">
      <c r="A51" s="22" t="s">
        <v>12</v>
      </c>
      <c r="B51" s="44"/>
      <c r="C51" s="45"/>
      <c r="D51" s="26" t="str">
        <f t="shared" si="0"/>
        <v>   </v>
      </c>
      <c r="E51" s="42"/>
    </row>
    <row r="52" spans="1:5" ht="24" customHeight="1">
      <c r="A52" s="16" t="s">
        <v>35</v>
      </c>
      <c r="B52" s="25">
        <f>SUM(B53,B56,B57)</f>
        <v>1286500</v>
      </c>
      <c r="C52" s="25">
        <f>SUM(C53,C56,C57)</f>
        <v>29484</v>
      </c>
      <c r="D52" s="26">
        <f t="shared" si="0"/>
        <v>2.2917994558880683</v>
      </c>
      <c r="E52" s="42">
        <f t="shared" si="1"/>
        <v>-1257016</v>
      </c>
    </row>
    <row r="53" spans="1:5" ht="12.75" customHeight="1">
      <c r="A53" s="16" t="s">
        <v>36</v>
      </c>
      <c r="B53" s="25">
        <v>1246000</v>
      </c>
      <c r="C53" s="25">
        <v>29484</v>
      </c>
      <c r="D53" s="26">
        <f t="shared" si="0"/>
        <v>2.3662921348314607</v>
      </c>
      <c r="E53" s="42">
        <f t="shared" si="1"/>
        <v>-1216516</v>
      </c>
    </row>
    <row r="54" spans="1:5" ht="12.75">
      <c r="A54" s="85" t="s">
        <v>121</v>
      </c>
      <c r="B54" s="25">
        <v>778418</v>
      </c>
      <c r="C54" s="28">
        <v>24000</v>
      </c>
      <c r="D54" s="26">
        <f t="shared" si="0"/>
        <v>3.0831763910906482</v>
      </c>
      <c r="E54" s="42">
        <f t="shared" si="1"/>
        <v>-754418</v>
      </c>
    </row>
    <row r="55" spans="1:5" ht="12.75">
      <c r="A55" s="85" t="s">
        <v>276</v>
      </c>
      <c r="B55" s="25">
        <v>200</v>
      </c>
      <c r="C55" s="28">
        <v>0</v>
      </c>
      <c r="D55" s="26">
        <f>IF(B55=0,"   ",C55/B55*100)</f>
        <v>0</v>
      </c>
      <c r="E55" s="42">
        <f>C55-B55</f>
        <v>-200</v>
      </c>
    </row>
    <row r="56" spans="1:5" ht="12.75">
      <c r="A56" s="16" t="s">
        <v>95</v>
      </c>
      <c r="B56" s="25">
        <v>500</v>
      </c>
      <c r="C56" s="27">
        <v>0</v>
      </c>
      <c r="D56" s="26">
        <f t="shared" si="0"/>
        <v>0</v>
      </c>
      <c r="E56" s="42">
        <f t="shared" si="1"/>
        <v>-500</v>
      </c>
    </row>
    <row r="57" spans="1:5" ht="12.75">
      <c r="A57" s="16" t="s">
        <v>52</v>
      </c>
      <c r="B57" s="27">
        <f>SUM(B58)</f>
        <v>40000</v>
      </c>
      <c r="C57" s="27">
        <f>SUM(C58:C58)</f>
        <v>0</v>
      </c>
      <c r="D57" s="26">
        <f t="shared" si="0"/>
        <v>0</v>
      </c>
      <c r="E57" s="42">
        <f t="shared" si="1"/>
        <v>-40000</v>
      </c>
    </row>
    <row r="58" spans="1:5" ht="39.75" customHeight="1">
      <c r="A58" s="104" t="s">
        <v>241</v>
      </c>
      <c r="B58" s="25">
        <v>40000</v>
      </c>
      <c r="C58" s="27">
        <v>0</v>
      </c>
      <c r="D58" s="26">
        <f t="shared" si="0"/>
        <v>0</v>
      </c>
      <c r="E58" s="42">
        <f t="shared" si="1"/>
        <v>-40000</v>
      </c>
    </row>
    <row r="59" spans="1:5" ht="22.5" customHeight="1">
      <c r="A59" s="16" t="s">
        <v>49</v>
      </c>
      <c r="B59" s="27">
        <f>SUM(B60)</f>
        <v>206700</v>
      </c>
      <c r="C59" s="27">
        <f>SUM(C60)</f>
        <v>5000</v>
      </c>
      <c r="D59" s="26">
        <f t="shared" si="0"/>
        <v>2.418964683115626</v>
      </c>
      <c r="E59" s="42">
        <f t="shared" si="1"/>
        <v>-201700</v>
      </c>
    </row>
    <row r="60" spans="1:5" ht="12" customHeight="1">
      <c r="A60" s="16" t="s">
        <v>107</v>
      </c>
      <c r="B60" s="25">
        <v>206700</v>
      </c>
      <c r="C60" s="27">
        <v>5000</v>
      </c>
      <c r="D60" s="26">
        <f t="shared" si="0"/>
        <v>2.418964683115626</v>
      </c>
      <c r="E60" s="42">
        <f t="shared" si="1"/>
        <v>-201700</v>
      </c>
    </row>
    <row r="61" spans="1:5" ht="16.5" customHeight="1">
      <c r="A61" s="16" t="s">
        <v>37</v>
      </c>
      <c r="B61" s="25">
        <f>SUM(B62)</f>
        <v>5000</v>
      </c>
      <c r="C61" s="27">
        <f>SUM(C62)</f>
        <v>0</v>
      </c>
      <c r="D61" s="26">
        <f t="shared" si="0"/>
        <v>0</v>
      </c>
      <c r="E61" s="42">
        <f t="shared" si="1"/>
        <v>-5000</v>
      </c>
    </row>
    <row r="62" spans="1:5" ht="16.5" customHeight="1">
      <c r="A62" s="41" t="s">
        <v>128</v>
      </c>
      <c r="B62" s="25">
        <v>5000</v>
      </c>
      <c r="C62" s="27">
        <v>0</v>
      </c>
      <c r="D62" s="26">
        <f t="shared" si="0"/>
        <v>0</v>
      </c>
      <c r="E62" s="42">
        <f t="shared" si="1"/>
        <v>-5000</v>
      </c>
    </row>
    <row r="63" spans="1:5" ht="21.75" customHeight="1">
      <c r="A63" s="16" t="s">
        <v>38</v>
      </c>
      <c r="B63" s="27">
        <f>B67+B64+B75</f>
        <v>2284300</v>
      </c>
      <c r="C63" s="27">
        <f>C67+C64+C75</f>
        <v>0</v>
      </c>
      <c r="D63" s="26">
        <f t="shared" si="0"/>
        <v>0</v>
      </c>
      <c r="E63" s="42">
        <f t="shared" si="1"/>
        <v>-2284300</v>
      </c>
    </row>
    <row r="64" spans="1:5" ht="21.75" customHeight="1">
      <c r="A64" s="75" t="s">
        <v>165</v>
      </c>
      <c r="B64" s="25">
        <f>SUM(B65+B66)</f>
        <v>0</v>
      </c>
      <c r="C64" s="25">
        <f>SUM(C65+C66)</f>
        <v>0</v>
      </c>
      <c r="D64" s="26" t="str">
        <f>IF(B64=0,"   ",C64/B64*100)</f>
        <v>   </v>
      </c>
      <c r="E64" s="42">
        <f>C64-B64</f>
        <v>0</v>
      </c>
    </row>
    <row r="65" spans="1:5" ht="21.75" customHeight="1">
      <c r="A65" s="75" t="s">
        <v>166</v>
      </c>
      <c r="B65" s="25">
        <v>0</v>
      </c>
      <c r="C65" s="125">
        <v>0</v>
      </c>
      <c r="D65" s="26" t="str">
        <f>IF(B65=0,"   ",C65/B65*100)</f>
        <v>   </v>
      </c>
      <c r="E65" s="42">
        <f>C65-B65</f>
        <v>0</v>
      </c>
    </row>
    <row r="66" spans="1:5" ht="21.75" customHeight="1">
      <c r="A66" s="75" t="s">
        <v>169</v>
      </c>
      <c r="B66" s="117">
        <v>0</v>
      </c>
      <c r="C66" s="125">
        <v>0</v>
      </c>
      <c r="D66" s="26"/>
      <c r="E66" s="42"/>
    </row>
    <row r="67" spans="1:5" ht="12" customHeight="1">
      <c r="A67" s="95" t="s">
        <v>131</v>
      </c>
      <c r="B67" s="117">
        <f>SUM(B68:B74)</f>
        <v>2184300</v>
      </c>
      <c r="C67" s="117">
        <f>SUM(C68:C74)</f>
        <v>0</v>
      </c>
      <c r="D67" s="26">
        <f t="shared" si="0"/>
        <v>0</v>
      </c>
      <c r="E67" s="42">
        <f t="shared" si="1"/>
        <v>-2184300</v>
      </c>
    </row>
    <row r="68" spans="1:5" ht="27" customHeight="1">
      <c r="A68" s="75" t="s">
        <v>149</v>
      </c>
      <c r="B68" s="25">
        <v>30000</v>
      </c>
      <c r="C68" s="27">
        <v>0</v>
      </c>
      <c r="D68" s="26">
        <f t="shared" si="0"/>
        <v>0</v>
      </c>
      <c r="E68" s="42">
        <f t="shared" si="1"/>
        <v>-30000</v>
      </c>
    </row>
    <row r="69" spans="1:5" ht="30.75" customHeight="1">
      <c r="A69" s="71" t="s">
        <v>246</v>
      </c>
      <c r="B69" s="25">
        <v>744700</v>
      </c>
      <c r="C69" s="27">
        <v>0</v>
      </c>
      <c r="D69" s="26">
        <f t="shared" si="0"/>
        <v>0</v>
      </c>
      <c r="E69" s="42">
        <f t="shared" si="1"/>
        <v>-744700</v>
      </c>
    </row>
    <row r="70" spans="1:5" ht="29.25" customHeight="1">
      <c r="A70" s="71" t="s">
        <v>247</v>
      </c>
      <c r="B70" s="25">
        <v>0</v>
      </c>
      <c r="C70" s="27">
        <v>0</v>
      </c>
      <c r="D70" s="26" t="str">
        <f t="shared" si="0"/>
        <v>   </v>
      </c>
      <c r="E70" s="42">
        <f t="shared" si="1"/>
        <v>0</v>
      </c>
    </row>
    <row r="71" spans="1:5" ht="27" customHeight="1">
      <c r="A71" s="71" t="s">
        <v>248</v>
      </c>
      <c r="B71" s="25">
        <v>716900</v>
      </c>
      <c r="C71" s="27">
        <v>0</v>
      </c>
      <c r="D71" s="26">
        <f t="shared" si="0"/>
        <v>0</v>
      </c>
      <c r="E71" s="42">
        <f t="shared" si="1"/>
        <v>-716900</v>
      </c>
    </row>
    <row r="72" spans="1:5" ht="27" customHeight="1">
      <c r="A72" s="71" t="s">
        <v>249</v>
      </c>
      <c r="B72" s="113">
        <v>79700</v>
      </c>
      <c r="C72" s="27">
        <v>0</v>
      </c>
      <c r="D72" s="26">
        <f t="shared" si="0"/>
        <v>0</v>
      </c>
      <c r="E72" s="42">
        <f t="shared" si="1"/>
        <v>-79700</v>
      </c>
    </row>
    <row r="73" spans="1:5" ht="27" customHeight="1">
      <c r="A73" s="71" t="s">
        <v>250</v>
      </c>
      <c r="B73" s="113">
        <v>551700</v>
      </c>
      <c r="C73" s="27">
        <v>0</v>
      </c>
      <c r="D73" s="26">
        <f t="shared" si="0"/>
        <v>0</v>
      </c>
      <c r="E73" s="42">
        <f t="shared" si="1"/>
        <v>-551700</v>
      </c>
    </row>
    <row r="74" spans="1:5" ht="27" customHeight="1">
      <c r="A74" s="71" t="s">
        <v>251</v>
      </c>
      <c r="B74" s="113">
        <v>61300</v>
      </c>
      <c r="C74" s="27">
        <v>0</v>
      </c>
      <c r="D74" s="26">
        <f t="shared" si="0"/>
        <v>0</v>
      </c>
      <c r="E74" s="42">
        <f t="shared" si="1"/>
        <v>-61300</v>
      </c>
    </row>
    <row r="75" spans="1:5" ht="17.25" customHeight="1">
      <c r="A75" s="95" t="s">
        <v>176</v>
      </c>
      <c r="B75" s="113">
        <f>SUM(B76:B77)</f>
        <v>100000</v>
      </c>
      <c r="C75" s="113">
        <f>SUM(C76:C77)</f>
        <v>0</v>
      </c>
      <c r="D75" s="26">
        <f>IF(B75=0,"   ",C75/B75*100)</f>
        <v>0</v>
      </c>
      <c r="E75" s="42">
        <f>C75-B75</f>
        <v>-100000</v>
      </c>
    </row>
    <row r="76" spans="1:5" ht="33" customHeight="1">
      <c r="A76" s="104" t="s">
        <v>155</v>
      </c>
      <c r="B76" s="113">
        <v>50000</v>
      </c>
      <c r="C76" s="27">
        <v>0</v>
      </c>
      <c r="D76" s="26">
        <f>IF(B76=0,"   ",C76/B76*100)</f>
        <v>0</v>
      </c>
      <c r="E76" s="42">
        <f>C76-B76</f>
        <v>-50000</v>
      </c>
    </row>
    <row r="77" spans="1:5" ht="27" customHeight="1">
      <c r="A77" s="75" t="s">
        <v>177</v>
      </c>
      <c r="B77" s="113">
        <v>50000</v>
      </c>
      <c r="C77" s="27">
        <v>0</v>
      </c>
      <c r="D77" s="26">
        <f>IF(B77=0,"   ",C77/B77*100)</f>
        <v>0</v>
      </c>
      <c r="E77" s="42">
        <f>C77-B77</f>
        <v>-50000</v>
      </c>
    </row>
    <row r="78" spans="1:5" ht="20.25" customHeight="1">
      <c r="A78" s="16" t="s">
        <v>13</v>
      </c>
      <c r="B78" s="25">
        <f>SUM(B79,B81,B89,)</f>
        <v>2237100</v>
      </c>
      <c r="C78" s="25">
        <f>SUM(C79,C81,C89,)</f>
        <v>73030.45</v>
      </c>
      <c r="D78" s="26">
        <f t="shared" si="0"/>
        <v>3.264514326583523</v>
      </c>
      <c r="E78" s="42">
        <f t="shared" si="1"/>
        <v>-2164069.55</v>
      </c>
    </row>
    <row r="79" spans="1:5" ht="12.75">
      <c r="A79" s="16" t="s">
        <v>14</v>
      </c>
      <c r="B79" s="25">
        <f>SUM(B80:B80)</f>
        <v>330000</v>
      </c>
      <c r="C79" s="25">
        <f>SUM(C80:C80)</f>
        <v>0</v>
      </c>
      <c r="D79" s="26">
        <f t="shared" si="0"/>
        <v>0</v>
      </c>
      <c r="E79" s="42">
        <f t="shared" si="1"/>
        <v>-330000</v>
      </c>
    </row>
    <row r="80" spans="1:5" ht="15.75" customHeight="1">
      <c r="A80" s="16" t="s">
        <v>98</v>
      </c>
      <c r="B80" s="25">
        <v>330000</v>
      </c>
      <c r="C80" s="27">
        <v>0</v>
      </c>
      <c r="D80" s="26">
        <f t="shared" si="0"/>
        <v>0</v>
      </c>
      <c r="E80" s="42">
        <f t="shared" si="1"/>
        <v>-330000</v>
      </c>
    </row>
    <row r="81" spans="1:5" ht="12.75">
      <c r="A81" s="16" t="s">
        <v>90</v>
      </c>
      <c r="B81" s="25">
        <f>SUM(B82:B85)</f>
        <v>30000</v>
      </c>
      <c r="C81" s="25">
        <f>SUM(C82:C85)</f>
        <v>0</v>
      </c>
      <c r="D81" s="26">
        <f t="shared" si="0"/>
        <v>0</v>
      </c>
      <c r="E81" s="42">
        <f t="shared" si="1"/>
        <v>-30000</v>
      </c>
    </row>
    <row r="82" spans="1:5" ht="12.75">
      <c r="A82" s="16" t="s">
        <v>289</v>
      </c>
      <c r="B82" s="25">
        <v>0</v>
      </c>
      <c r="C82" s="25">
        <v>0</v>
      </c>
      <c r="D82" s="26" t="str">
        <f aca="true" t="shared" si="2" ref="D82:D87">IF(B82=0,"   ",C82/B82*100)</f>
        <v>   </v>
      </c>
      <c r="E82" s="42">
        <f aca="true" t="shared" si="3" ref="E82:E87">C82-B82</f>
        <v>0</v>
      </c>
    </row>
    <row r="83" spans="1:5" ht="12.75">
      <c r="A83" s="16" t="s">
        <v>299</v>
      </c>
      <c r="B83" s="25">
        <v>0</v>
      </c>
      <c r="C83" s="25">
        <v>0</v>
      </c>
      <c r="D83" s="26" t="str">
        <f t="shared" si="2"/>
        <v>   </v>
      </c>
      <c r="E83" s="42">
        <f t="shared" si="3"/>
        <v>0</v>
      </c>
    </row>
    <row r="84" spans="1:5" ht="13.5">
      <c r="A84" s="302" t="s">
        <v>159</v>
      </c>
      <c r="B84" s="25">
        <v>30000</v>
      </c>
      <c r="C84" s="25">
        <v>0</v>
      </c>
      <c r="D84" s="26">
        <f t="shared" si="2"/>
        <v>0</v>
      </c>
      <c r="E84" s="42">
        <f t="shared" si="3"/>
        <v>-30000</v>
      </c>
    </row>
    <row r="85" spans="1:5" ht="26.25">
      <c r="A85" s="104" t="s">
        <v>204</v>
      </c>
      <c r="B85" s="25">
        <f>SUM(B86:B88)</f>
        <v>0</v>
      </c>
      <c r="C85" s="25">
        <f>SUM(C86:C88)</f>
        <v>0</v>
      </c>
      <c r="D85" s="26" t="str">
        <f t="shared" si="2"/>
        <v>   </v>
      </c>
      <c r="E85" s="42">
        <f t="shared" si="3"/>
        <v>0</v>
      </c>
    </row>
    <row r="86" spans="1:5" ht="26.25">
      <c r="A86" s="104" t="s">
        <v>211</v>
      </c>
      <c r="B86" s="25">
        <v>0</v>
      </c>
      <c r="C86" s="25">
        <v>0</v>
      </c>
      <c r="D86" s="26" t="str">
        <f t="shared" si="2"/>
        <v>   </v>
      </c>
      <c r="E86" s="42">
        <f t="shared" si="3"/>
        <v>0</v>
      </c>
    </row>
    <row r="87" spans="1:5" ht="26.25">
      <c r="A87" s="104" t="s">
        <v>212</v>
      </c>
      <c r="B87" s="25">
        <v>0</v>
      </c>
      <c r="C87" s="25">
        <v>0</v>
      </c>
      <c r="D87" s="26" t="str">
        <f t="shared" si="2"/>
        <v>   </v>
      </c>
      <c r="E87" s="42">
        <f t="shared" si="3"/>
        <v>0</v>
      </c>
    </row>
    <row r="88" spans="1:5" ht="26.25">
      <c r="A88" s="104" t="s">
        <v>213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12.75">
      <c r="A89" s="16" t="s">
        <v>69</v>
      </c>
      <c r="B89" s="25">
        <f>B90+B91+B93+B97+B92</f>
        <v>1877100</v>
      </c>
      <c r="C89" s="25">
        <f>C90+C91+C93+C97+C92</f>
        <v>73030.45</v>
      </c>
      <c r="D89" s="26">
        <f t="shared" si="0"/>
        <v>3.8905998614884663</v>
      </c>
      <c r="E89" s="42">
        <f t="shared" si="1"/>
        <v>-1804069.55</v>
      </c>
    </row>
    <row r="90" spans="1:5" ht="12.75">
      <c r="A90" s="16" t="s">
        <v>56</v>
      </c>
      <c r="B90" s="25">
        <v>700000</v>
      </c>
      <c r="C90" s="27">
        <v>73030.45</v>
      </c>
      <c r="D90" s="26">
        <f t="shared" si="0"/>
        <v>10.432921428571428</v>
      </c>
      <c r="E90" s="42">
        <f t="shared" si="1"/>
        <v>-626969.55</v>
      </c>
    </row>
    <row r="91" spans="1:5" ht="12.75">
      <c r="A91" s="16" t="s">
        <v>57</v>
      </c>
      <c r="B91" s="25">
        <v>1177100</v>
      </c>
      <c r="C91" s="27">
        <v>0</v>
      </c>
      <c r="D91" s="26">
        <f t="shared" si="0"/>
        <v>0</v>
      </c>
      <c r="E91" s="42">
        <f t="shared" si="1"/>
        <v>-1177100</v>
      </c>
    </row>
    <row r="92" spans="1:5" ht="26.25">
      <c r="A92" s="104" t="s">
        <v>290</v>
      </c>
      <c r="B92" s="25">
        <v>0</v>
      </c>
      <c r="C92" s="27">
        <v>0</v>
      </c>
      <c r="D92" s="26" t="str">
        <f t="shared" si="0"/>
        <v>   </v>
      </c>
      <c r="E92" s="42">
        <f t="shared" si="1"/>
        <v>0</v>
      </c>
    </row>
    <row r="93" spans="1:5" ht="26.25">
      <c r="A93" s="104" t="s">
        <v>204</v>
      </c>
      <c r="B93" s="25">
        <f>SUM(B94:B96)</f>
        <v>0</v>
      </c>
      <c r="C93" s="25">
        <f>SUM(C94:C96)</f>
        <v>0</v>
      </c>
      <c r="D93" s="26" t="str">
        <f aca="true" t="shared" si="4" ref="D93:D101">IF(B93=0,"   ",C93/B93*100)</f>
        <v>   </v>
      </c>
      <c r="E93" s="42">
        <f aca="true" t="shared" si="5" ref="E93:E101">C93-B93</f>
        <v>0</v>
      </c>
    </row>
    <row r="94" spans="1:5" ht="26.25">
      <c r="A94" s="104" t="s">
        <v>211</v>
      </c>
      <c r="B94" s="25">
        <v>0</v>
      </c>
      <c r="C94" s="27">
        <v>0</v>
      </c>
      <c r="D94" s="26" t="str">
        <f t="shared" si="4"/>
        <v>   </v>
      </c>
      <c r="E94" s="42">
        <f t="shared" si="5"/>
        <v>0</v>
      </c>
    </row>
    <row r="95" spans="1:5" ht="26.25">
      <c r="A95" s="104" t="s">
        <v>212</v>
      </c>
      <c r="B95" s="25">
        <v>0</v>
      </c>
      <c r="C95" s="27">
        <v>0</v>
      </c>
      <c r="D95" s="26" t="str">
        <f t="shared" si="4"/>
        <v>   </v>
      </c>
      <c r="E95" s="42">
        <f t="shared" si="5"/>
        <v>0</v>
      </c>
    </row>
    <row r="96" spans="1:5" ht="26.25">
      <c r="A96" s="104" t="s">
        <v>213</v>
      </c>
      <c r="B96" s="25">
        <v>0</v>
      </c>
      <c r="C96" s="27">
        <v>0</v>
      </c>
      <c r="D96" s="26" t="str">
        <f t="shared" si="4"/>
        <v>   </v>
      </c>
      <c r="E96" s="42">
        <f t="shared" si="5"/>
        <v>0</v>
      </c>
    </row>
    <row r="97" spans="1:5" ht="15">
      <c r="A97" s="266" t="s">
        <v>262</v>
      </c>
      <c r="B97" s="25">
        <f>SUM(B98:B101)</f>
        <v>0</v>
      </c>
      <c r="C97" s="25">
        <f>SUM(C98:C101)</f>
        <v>0</v>
      </c>
      <c r="D97" s="26" t="str">
        <f t="shared" si="4"/>
        <v>   </v>
      </c>
      <c r="E97" s="42">
        <f t="shared" si="5"/>
        <v>0</v>
      </c>
    </row>
    <row r="98" spans="1:5" ht="15">
      <c r="A98" s="266" t="s">
        <v>263</v>
      </c>
      <c r="B98" s="25">
        <v>0</v>
      </c>
      <c r="C98" s="25">
        <v>0</v>
      </c>
      <c r="D98" s="26" t="str">
        <f t="shared" si="4"/>
        <v>   </v>
      </c>
      <c r="E98" s="42">
        <f t="shared" si="5"/>
        <v>0</v>
      </c>
    </row>
    <row r="99" spans="1:5" ht="15">
      <c r="A99" s="266" t="s">
        <v>264</v>
      </c>
      <c r="B99" s="25">
        <v>0</v>
      </c>
      <c r="C99" s="27">
        <v>0</v>
      </c>
      <c r="D99" s="26" t="str">
        <f t="shared" si="4"/>
        <v>   </v>
      </c>
      <c r="E99" s="42">
        <f t="shared" si="5"/>
        <v>0</v>
      </c>
    </row>
    <row r="100" spans="1:5" ht="15">
      <c r="A100" s="266" t="s">
        <v>265</v>
      </c>
      <c r="B100" s="25">
        <v>0</v>
      </c>
      <c r="C100" s="27">
        <v>0</v>
      </c>
      <c r="D100" s="26" t="str">
        <f t="shared" si="4"/>
        <v>   </v>
      </c>
      <c r="E100" s="42">
        <f t="shared" si="5"/>
        <v>0</v>
      </c>
    </row>
    <row r="101" spans="1:5" ht="15">
      <c r="A101" s="266" t="s">
        <v>266</v>
      </c>
      <c r="B101" s="25">
        <v>0</v>
      </c>
      <c r="C101" s="27">
        <v>0</v>
      </c>
      <c r="D101" s="26" t="str">
        <f t="shared" si="4"/>
        <v>   </v>
      </c>
      <c r="E101" s="42">
        <f t="shared" si="5"/>
        <v>0</v>
      </c>
    </row>
    <row r="102" spans="1:5" ht="20.25" customHeight="1">
      <c r="A102" s="18" t="s">
        <v>17</v>
      </c>
      <c r="B102" s="31">
        <v>0</v>
      </c>
      <c r="C102" s="31">
        <v>0</v>
      </c>
      <c r="D102" s="26" t="str">
        <f t="shared" si="0"/>
        <v>   </v>
      </c>
      <c r="E102" s="42">
        <f t="shared" si="1"/>
        <v>0</v>
      </c>
    </row>
    <row r="103" spans="1:5" ht="21.75" customHeight="1">
      <c r="A103" s="16" t="s">
        <v>41</v>
      </c>
      <c r="B103" s="24">
        <f>SUM(B104,)</f>
        <v>2333300</v>
      </c>
      <c r="C103" s="24">
        <f>SUM(C104,)</f>
        <v>0</v>
      </c>
      <c r="D103" s="26">
        <f t="shared" si="0"/>
        <v>0</v>
      </c>
      <c r="E103" s="42">
        <f t="shared" si="1"/>
        <v>-2333300</v>
      </c>
    </row>
    <row r="104" spans="1:5" ht="14.25" customHeight="1">
      <c r="A104" s="16" t="s">
        <v>42</v>
      </c>
      <c r="B104" s="25">
        <v>2333300</v>
      </c>
      <c r="C104" s="27">
        <v>0</v>
      </c>
      <c r="D104" s="26">
        <f t="shared" si="0"/>
        <v>0</v>
      </c>
      <c r="E104" s="42">
        <f t="shared" si="1"/>
        <v>-2333300</v>
      </c>
    </row>
    <row r="105" spans="1:5" ht="18.75" customHeight="1">
      <c r="A105" s="16" t="s">
        <v>124</v>
      </c>
      <c r="B105" s="25">
        <f>SUM(B106,)</f>
        <v>20000</v>
      </c>
      <c r="C105" s="25">
        <f>C106</f>
        <v>0</v>
      </c>
      <c r="D105" s="26">
        <f t="shared" si="0"/>
        <v>0</v>
      </c>
      <c r="E105" s="42">
        <f t="shared" si="1"/>
        <v>-20000</v>
      </c>
    </row>
    <row r="106" spans="1:5" ht="12.75" customHeight="1">
      <c r="A106" s="16" t="s">
        <v>43</v>
      </c>
      <c r="B106" s="25">
        <v>20000</v>
      </c>
      <c r="C106" s="28">
        <v>0</v>
      </c>
      <c r="D106" s="26">
        <f t="shared" si="0"/>
        <v>0</v>
      </c>
      <c r="E106" s="42">
        <f t="shared" si="1"/>
        <v>-20000</v>
      </c>
    </row>
    <row r="107" spans="1:5" ht="30.75" customHeight="1">
      <c r="A107" s="171" t="s">
        <v>15</v>
      </c>
      <c r="B107" s="149">
        <f>SUM(B52,B59,B61,B63,B78,B102,B103,B105,)</f>
        <v>8372900</v>
      </c>
      <c r="C107" s="149">
        <f>SUM(C52,C59,C61,C63,C78,C102,C103,C105,)</f>
        <v>107514.45</v>
      </c>
      <c r="D107" s="140">
        <f>IF(B107=0,"   ",C107/B107*100)</f>
        <v>1.2840766042828649</v>
      </c>
      <c r="E107" s="141">
        <f t="shared" si="1"/>
        <v>-8265385.55</v>
      </c>
    </row>
    <row r="108" spans="1:5" s="59" customFormat="1" ht="30.75" customHeight="1">
      <c r="A108" s="80" t="s">
        <v>309</v>
      </c>
      <c r="B108" s="80"/>
      <c r="C108" s="337"/>
      <c r="D108" s="337"/>
      <c r="E108" s="337"/>
    </row>
    <row r="109" spans="1:5" s="59" customFormat="1" ht="12" customHeight="1">
      <c r="A109" s="80" t="s">
        <v>154</v>
      </c>
      <c r="B109" s="80"/>
      <c r="C109" s="81" t="s">
        <v>310</v>
      </c>
      <c r="D109" s="82"/>
      <c r="E109" s="83"/>
    </row>
    <row r="110" spans="1:5" ht="15" customHeight="1">
      <c r="A110" s="7"/>
      <c r="B110" s="7"/>
      <c r="C110" s="6"/>
      <c r="D110" s="7"/>
      <c r="E110" s="2"/>
    </row>
    <row r="111" spans="1:5" ht="12" customHeight="1">
      <c r="A111" s="48"/>
      <c r="B111" s="48"/>
      <c r="C111" s="49"/>
      <c r="D111" s="50"/>
      <c r="E111" s="51"/>
    </row>
    <row r="112" spans="1:5" ht="12.75">
      <c r="A112" s="7"/>
      <c r="B112" s="7"/>
      <c r="C112" s="6"/>
      <c r="D112" s="7"/>
      <c r="E112" s="2"/>
    </row>
    <row r="113" spans="1:5" ht="12.75">
      <c r="A113" s="7"/>
      <c r="B113" s="7"/>
      <c r="C113" s="6"/>
      <c r="D113" s="7"/>
      <c r="E113" s="2"/>
    </row>
    <row r="114" spans="1:5" ht="12.75">
      <c r="A114" s="7"/>
      <c r="B114" s="7"/>
      <c r="C114" s="6"/>
      <c r="D114" s="7"/>
      <c r="E114" s="2"/>
    </row>
    <row r="115" spans="1:5" ht="12.75">
      <c r="A115" s="7"/>
      <c r="B115" s="7"/>
      <c r="C115" s="6"/>
      <c r="D115" s="7"/>
      <c r="E115" s="2"/>
    </row>
  </sheetData>
  <sheetProtection/>
  <mergeCells count="2">
    <mergeCell ref="A1:E1"/>
    <mergeCell ref="C108:E108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2021-02-04T11:25:50Z</cp:lastPrinted>
  <dcterms:created xsi:type="dcterms:W3CDTF">2001-03-21T05:21:19Z</dcterms:created>
  <dcterms:modified xsi:type="dcterms:W3CDTF">2021-02-04T11:25:54Z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