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'Лист1'!$A$1:$J$141</definedName>
  </definedNames>
  <calcPr fullCalcOnLoad="1"/>
</workbook>
</file>

<file path=xl/sharedStrings.xml><?xml version="1.0" encoding="utf-8"?>
<sst xmlns="http://schemas.openxmlformats.org/spreadsheetml/2006/main" count="1343" uniqueCount="344">
  <si>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</si>
  <si>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</si>
  <si>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</si>
  <si>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</si>
  <si>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</si>
  <si>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</si>
  <si>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</si>
  <si>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</si>
  <si>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</si>
  <si>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</si>
  <si>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</si>
  <si>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</si>
  <si>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</si>
  <si>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</si>
  <si>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</si>
  <si>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</si>
  <si>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</si>
  <si>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</si>
  <si>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</si>
  <si>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</si>
  <si>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</si>
  <si>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</si>
  <si>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</si>
  <si>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</si>
  <si>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</si>
  <si>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</si>
  <si>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</si>
  <si>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</si>
  <si>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</si>
  <si>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</si>
  <si>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</si>
  <si>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</si>
  <si>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</si>
  <si>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</si>
  <si>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</si>
  <si>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</si>
  <si>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</si>
  <si>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</si>
  <si>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</si>
  <si>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</si>
  <si>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</si>
  <si>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</si>
  <si>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</si>
  <si>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</si>
  <si>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</si>
  <si>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</si>
  <si>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</si>
  <si>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</si>
  <si>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</si>
  <si>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</si>
  <si>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</si>
  <si>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</si>
  <si>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</si>
  <si>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</si>
  <si>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</si>
  <si>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</si>
  <si>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</si>
  <si>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</si>
  <si>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</si>
  <si>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</si>
  <si>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</si>
  <si>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</si>
  <si>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</si>
  <si>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</si>
  <si>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</si>
  <si>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</si>
  <si>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</si>
  <si>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</si>
  <si>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</si>
  <si>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</si>
  <si>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</si>
  <si>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</si>
  <si>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</si>
  <si>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</si>
  <si>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</si>
  <si>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</si>
  <si>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</si>
  <si>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</si>
  <si>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</si>
  <si>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</si>
  <si>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</si>
  <si>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</si>
  <si>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</si>
  <si>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</si>
  <si>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</si>
  <si>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</si>
  <si>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</si>
  <si>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</si>
  <si>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</si>
  <si>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</si>
  <si>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</si>
  <si>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</si>
  <si>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</si>
  <si>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</si>
  <si>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</si>
  <si>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</si>
  <si>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</si>
  <si>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</si>
  <si>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</si>
  <si>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</si>
  <si>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</si>
  <si>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</si>
  <si>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</si>
  <si>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</si>
  <si>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</si>
  <si>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</si>
  <si>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</si>
  <si>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</si>
  <si>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</si>
  <si>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</si>
  <si>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</si>
  <si>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</si>
  <si>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</si>
  <si>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</si>
  <si>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</si>
  <si>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</si>
  <si>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</si>
  <si>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</si>
  <si>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</si>
  <si>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</si>
  <si>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</si>
  <si>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</si>
  <si>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</si>
  <si>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</si>
  <si>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</si>
  <si>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</si>
  <si>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</si>
  <si>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</si>
  <si>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</si>
  <si>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</si>
  <si>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</si>
  <si>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</si>
  <si>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</si>
  <si>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</si>
  <si>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</si>
  <si>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</si>
  <si>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</si>
  <si>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</si>
  <si>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</si>
  <si>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</si>
  <si>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</si>
  <si>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</si>
  <si>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</si>
  <si>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</si>
  <si>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</si>
  <si>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</si>
  <si>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</si>
  <si>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</si>
  <si>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</si>
  <si>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</si>
  <si>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</si>
  <si>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</si>
  <si>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</si>
  <si>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</si>
  <si>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</si>
  <si>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</si>
  <si>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</si>
  <si>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</si>
  <si>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</si>
  <si>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</si>
  <si>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</si>
  <si>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</si>
  <si>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</si>
  <si>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</si>
  <si>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</si>
  <si>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</si>
  <si>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</si>
  <si>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</si>
  <si>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</si>
  <si>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</si>
  <si>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</si>
  <si>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</si>
  <si>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</si>
  <si>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</si>
  <si>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</si>
  <si>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</si>
  <si>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</si>
  <si>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</si>
  <si>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</si>
  <si>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</si>
  <si>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</si>
  <si>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</si>
  <si>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</si>
  <si>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</si>
  <si>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</si>
  <si>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</si>
  <si>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</si>
  <si>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</si>
  <si>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</si>
  <si>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</si>
  <si>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</si>
  <si>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</si>
  <si>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</si>
  <si>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</si>
  <si>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</si>
  <si>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</si>
  <si>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</si>
  <si>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</si>
  <si>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</si>
  <si>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</si>
  <si>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</si>
  <si>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</si>
  <si>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</si>
  <si>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</si>
  <si>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</si>
  <si>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</si>
  <si>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</si>
  <si>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</si>
  <si>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</si>
  <si>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</si>
  <si>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</si>
  <si>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</si>
  <si>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</si>
  <si>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</si>
  <si>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</si>
  <si>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</si>
  <si>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</si>
  <si>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</si>
  <si>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</si>
  <si>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</si>
  <si>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</si>
  <si>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в  том числе :   резервные  средства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</si>
  <si>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</si>
  <si>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</si>
  <si>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</si>
  <si>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</si>
  <si>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</si>
  <si>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</si>
  <si>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</si>
  <si>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</si>
  <si>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</si>
  <si>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</si>
  <si>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</si>
  <si>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</si>
  <si>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</si>
  <si>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</si>
  <si>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</si>
  <si>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</si>
  <si>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</si>
  <si>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</si>
  <si>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</si>
  <si>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софинансирование  из местного бюджета  на капремонт и ремонт дворовых территорий многоквартирных домов (софин.местн.)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</si>
  <si>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</si>
  <si>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</si>
  <si>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</si>
  <si>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</si>
  <si>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</si>
  <si>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</si>
  <si>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</si>
  <si>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</si>
  <si>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</si>
  <si>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</si>
  <si>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</si>
  <si>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</si>
  <si>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СУБСИДИИ БЮДЖЕТАМ ГОРОДСКИХ ПОСЕЛЕНИЙ НА ПОДГОТОВКУ И ПРОВЕДЕНИЕ  ПРАЗДНОВАНИЯ НА ФЕДЕРАЛЬНОМ УРОВНЕ ПАМЯТНЫХ ДАТ СУБЪЕКТОВ РОССИЙСКОЙ  ФЕДЕРАЦИИ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</si>
  <si>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</si>
  <si>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</si>
  <si>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</si>
  <si>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((НА ПОДГОТ. И ПРОВЕД. ПРАЗДНОВАНИЯ ПАМЯТНЫХ ДАТ)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</si>
  <si>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</si>
  <si>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</si>
  <si>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</si>
  <si>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</si>
  <si>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</si>
  <si>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</si>
  <si>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</si>
  <si>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</si>
  <si>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</si>
  <si>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</si>
  <si>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>в том числе субсидии на реализацию проектов развития общественной инфраструктуры, основанных на местных инициативах (р. 0409)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</si>
  <si>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</si>
  <si>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</si>
  <si>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</si>
  <si>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</si>
  <si>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</si>
  <si>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</si>
  <si>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</si>
  <si>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</si>
  <si>
    <t>в том числе субсидии на капитальный ремонт источников водоснабжения</t>
  </si>
  <si>
    <t>ПРОЧИЕ МЕЖБЮДЖЕТНЫЕ ТРАНСФЕРТЫ, ПЕРЕДАВАЕМЫЕ БЮДЖЕТАМ ПОСЕЛЕНИЙ (На благоустройство и развитие  территорий  поселения)</t>
  </si>
  <si>
    <t>ПРОЧИЕ МЕЖБЮДЖЕТНЫЕ ТРАНСФЕРТЫ, ПЕРЕДАВАЕМЫЕ БЮДЖЕТАМ ПОСЕЛЕНИЙ(На благоустройство и развитие  территорий  поселения)</t>
  </si>
  <si>
    <t>ПРОЧИЕ МЕЖБЮДЖЕТНЫЕ ТРАНСФЕРТЫ, ПЕРЕДАВАЕМЫЕ БЮДЖЕТАМ ПОСЕЛЕНИЙ(На поощрение победителей регион. Конкурса "Лучшая муниц. практика"</t>
  </si>
  <si>
    <t>в том числе субсидии на капитальный ремонт источников водоснабжения ( раздел  "ЖКХ")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</si>
  <si>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</si>
  <si>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</si>
  <si>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 xml:space="preserve">           на поощрение победителей конкурса "Лучшая муниципальная практика" (ср-ва респ. бюдж.)       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</si>
  <si>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</si>
  <si>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 xml:space="preserve">из них: капитальный  ремонт  источников водоснабжения (ср-ва посел.)             </t>
  </si>
  <si>
    <t xml:space="preserve">из  них:  прочие выплаты по обязательствам   муниципального образования </t>
  </si>
  <si>
    <t>доходы от продажи земельных участков, находящихся в собственности сельских поселений</t>
  </si>
  <si>
    <t>доходы от продажи земельных участков, находящиеся в  собственности  сельских поселений</t>
  </si>
  <si>
    <t xml:space="preserve">В т. ч. на  строительство (реконструкция) зданий муниципальных учреждений культуры </t>
  </si>
  <si>
    <t xml:space="preserve">из них: капитальный  ремонт  источников водоснабжения (ср-ва мест. бюдж.)             </t>
  </si>
  <si>
    <t xml:space="preserve">из них: капитальный  ремонт  источников водоснабжения (ср-ва местн. бюдж.)             </t>
  </si>
  <si>
    <t>ПРОЧИЕ МЕЖБЮДЖЕТНЫЕ ТРАНСФЕРТЫ, ПЕРЕДАВАЕМЫЕ БЮДЖЕТАМ ПОСЕЛЕНИЙ  (На благоустройство и развитие  территорий  поселения)</t>
  </si>
  <si>
    <t>СУБСИДИИ БЮДЖЕТАМ  СЕЛЬСКИХ ПОСЕЛЕНИЙ  НА СОФИНАНСИРОВАНИЕ КАПИТАЛЬНЫХ ВЛОЖЕНИЙ В ОБЪЕКТЫ МУНИЦИПАЛЬНОЙ СОБСТВЕННОСТИ</t>
  </si>
  <si>
    <t>в том числе субсидии на реализацию мероприятий по благоустройству дворовых территорий и тротуаров</t>
  </si>
  <si>
    <t>в том числе субсидии на реализацию  мероприятий по благоустройству дворовых территорий и тротуаров( раздел  "ЖКХ")</t>
  </si>
  <si>
    <t>В т. ч. на  строительство СДК на 100 мест в д. Илебары (ср-ва респ. бюдж..)</t>
  </si>
  <si>
    <t>В т. ч. на  строительство СДК на 100 мест в д. Илебары (ср-ва местн. бюдж..)</t>
  </si>
  <si>
    <t>В т. ч. на  строительство (реконструкция) зданий муниципальных учреждений культуры- местн. ср-ва (ПСД на СДК)</t>
  </si>
  <si>
    <t xml:space="preserve">Реализация  мероприятий  по благоустройству  дворовых территрий и тротуаров (ср-ва респ. бюдж.)         </t>
  </si>
  <si>
    <t>ШТРАФЫ, САНКЦИИ, ВОЗМЕЩЕНИЕ УЩЕРБА</t>
  </si>
  <si>
    <t>И. о. начальника   финансового отдела</t>
  </si>
  <si>
    <t>Т.Н.Манюкова</t>
  </si>
  <si>
    <t>Уточненный план на 2021 год</t>
  </si>
  <si>
    <t>% исполне-ния к  годовому плану  на 2021 г.</t>
  </si>
  <si>
    <t>Отклонение от годового плана 2021 г ( +, - )</t>
  </si>
  <si>
    <t>% исполнения к  годовому плану  на 2021 г.</t>
  </si>
  <si>
    <t xml:space="preserve">Отклонение от годового плана 2021 г ( +, - )         </t>
  </si>
  <si>
    <t>% исполне-ния к  годовому плану  на  2021 г.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</si>
  <si>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</si>
  <si>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</si>
  <si>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</si>
  <si>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>в том числе субсидии на укрепление материально- технич. базы  музеев</t>
  </si>
  <si>
    <t>в том числе субсидии на перевод многокварт. домов с централизов. на индивид. Отопление</t>
  </si>
  <si>
    <t>в  том  числе:  перевод многоквартирных домов с централизованного на индивидуальное отопление (респ. Бюдж.)</t>
  </si>
  <si>
    <t xml:space="preserve">в  том  числе:  перевод многоквартирных домов с централизованного на индивидуальное отопление (ср-ва местн. бюдж.)               </t>
  </si>
  <si>
    <t>На  укрепление материально-технической базы муниципальных музеев - всего</t>
  </si>
  <si>
    <t xml:space="preserve">                     в том числе:  ср-ва республиканского бюджета</t>
  </si>
  <si>
    <t xml:space="preserve">                                            ср-ва поселений  (софинансирование)</t>
  </si>
  <si>
    <t xml:space="preserve">из них: реконструкция инженерно-коммуникационных сетей муниципального образования (ср-ва местн. бюдж.)                   </t>
  </si>
  <si>
    <t>Анализ  исполнения бюджета Андреево-Базарского сельского поселения за  март  2021 года</t>
  </si>
  <si>
    <t>Фактическое исполнение за  март  2021 года</t>
  </si>
  <si>
    <t>Анализ исполнения бюджета Аттиковского сельского поселения за  март  2021 года</t>
  </si>
  <si>
    <t>Анализ исполнения бюджета  Байгуловского сельского поселения за  март  2021 года</t>
  </si>
  <si>
    <t>Фактическое исполнение за   март  2021 года</t>
  </si>
  <si>
    <t>Анализ исполнения бюджета  Еметкинского сельского поселения за  март  2021 года</t>
  </si>
  <si>
    <t>Анализ исполнения бюджета  Карамышевского сельского поселения за  март  2021 года</t>
  </si>
  <si>
    <t>Анализ исполнения бюджета  Карачевского сельского поселения за  март  2021 года</t>
  </si>
  <si>
    <t>Анализ исполнения бюджета  Козловского  городского  поселения  за  март  2021 года</t>
  </si>
  <si>
    <t>Анализ исполнения бюджета  Солдыбаевского сельского поселения за   март  2021 года</t>
  </si>
  <si>
    <t>Анализ исполнения бюджета  Тюрлеминского сельского поселения за   март  2021 года</t>
  </si>
  <si>
    <t>Анализ исполнения бюджета  Янгильдинского сельского поселения за   март 2021 года</t>
  </si>
  <si>
    <t>Анализ   исполнения   бюджетов   поселений   за  март  2021 года.</t>
  </si>
  <si>
    <t>Фактическое исполнение за  март   2021 года</t>
  </si>
  <si>
    <t xml:space="preserve">доходы от  продажи  земельных участков , государственная собственность  на  которые  разграничена </t>
  </si>
  <si>
    <t>в том числе: Другие вопросы в области жилищно-коммунального хозяйства</t>
  </si>
  <si>
    <t xml:space="preserve">           капитальный  ремонт  источников водоснабжения (ср-ва посел.)    </t>
  </si>
  <si>
    <t xml:space="preserve">Реализация  мероприятий  по благоустройству  дворовых территрий и тротуаров- всего                 </t>
  </si>
  <si>
    <t xml:space="preserve">Реализация  мероприятий  по благоустройству  дворовых территрий и тротуаров (ср-ва  респ. бюдж.)                     </t>
  </si>
  <si>
    <t xml:space="preserve">Реализация  мероприятий  по благоустройству  дворовых территрий и тротуаров (ср-ва  посел.)                     </t>
  </si>
  <si>
    <t xml:space="preserve">Реализация  мероприятий  по благоустройству  дворовых территрий и тротуаров (ср-ва  насел.)                     </t>
  </si>
  <si>
    <t>доходы от сдачи в аренду имущества, составляющего  казну  городских поселений (за исключением земельных участков)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</si>
</sst>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67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" fontId="15" fillId="20" borderId="1">
      <alignment horizontal="right" vertical="top" shrinkToFit="1"/>
      <protection/>
    </xf>
    <xf numFmtId="4" fontId="15" fillId="0" borderId="1">
      <alignment horizontal="right" vertical="top" shrinkToFit="1"/>
      <protection/>
    </xf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53" fillId="28" borderId="3" applyNumberFormat="0" applyAlignment="0" applyProtection="0"/>
    <xf numFmtId="0" fontId="5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34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2" fontId="0" fillId="0" borderId="30" xfId="57" applyNumberFormat="1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0" xfId="0" applyNumberFormat="1" applyFill="1" applyBorder="1" applyAlignment="1">
      <alignment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4" fillId="0" borderId="19" xfId="0" applyFont="1" applyFill="1" applyBorder="1" applyAlignment="1">
      <alignment wrapText="1"/>
    </xf>
    <xf numFmtId="2" fontId="0" fillId="0" borderId="30" xfId="0" applyNumberFormat="1" applyFont="1" applyFill="1" applyBorder="1" applyAlignment="1">
      <alignment wrapText="1"/>
    </xf>
    <xf numFmtId="2" fontId="0" fillId="0" borderId="30" xfId="57" applyNumberFormat="1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4" fontId="16" fillId="0" borderId="1" xfId="34" applyFont="1" applyAlignment="1" applyProtection="1">
      <alignment horizontal="right" shrinkToFit="1"/>
      <protection/>
    </xf>
    <xf numFmtId="2" fontId="16" fillId="0" borderId="1" xfId="33" applyNumberFormat="1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Protection="1">
      <alignment horizontal="right" vertical="top" shrinkToFit="1"/>
      <protection/>
    </xf>
    <xf numFmtId="4" fontId="16" fillId="0" borderId="1" xfId="34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2" fontId="16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2" fontId="0" fillId="0" borderId="30" xfId="61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2" fontId="0" fillId="0" borderId="14" xfId="0" applyNumberForma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1" fontId="17" fillId="0" borderId="15" xfId="61" applyFont="1" applyFill="1" applyBorder="1" applyAlignment="1">
      <alignment horizontal="center" vertical="center" wrapText="1"/>
    </xf>
    <xf numFmtId="41" fontId="17" fillId="0" borderId="18" xfId="6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" fontId="18" fillId="0" borderId="11" xfId="61" applyNumberFormat="1" applyFont="1" applyFill="1" applyBorder="1" applyAlignment="1">
      <alignment horizontal="center" wrapText="1"/>
    </xf>
    <xf numFmtId="1" fontId="18" fillId="0" borderId="11" xfId="0" applyNumberFormat="1" applyFont="1" applyFill="1" applyBorder="1" applyAlignment="1">
      <alignment horizontal="center" wrapText="1"/>
    </xf>
    <xf numFmtId="1" fontId="18" fillId="0" borderId="13" xfId="61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right" wrapText="1"/>
    </xf>
    <xf numFmtId="41" fontId="18" fillId="0" borderId="11" xfId="61" applyFont="1" applyFill="1" applyBorder="1" applyAlignment="1">
      <alignment wrapText="1"/>
    </xf>
    <xf numFmtId="2" fontId="18" fillId="0" borderId="11" xfId="0" applyNumberFormat="1" applyFont="1" applyFill="1" applyBorder="1" applyAlignment="1">
      <alignment wrapText="1"/>
    </xf>
    <xf numFmtId="41" fontId="18" fillId="0" borderId="13" xfId="6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wrapText="1"/>
    </xf>
    <xf numFmtId="4" fontId="18" fillId="0" borderId="11" xfId="0" applyNumberFormat="1" applyFont="1" applyFill="1" applyBorder="1" applyAlignment="1">
      <alignment horizontal="right" wrapText="1"/>
    </xf>
    <xf numFmtId="2" fontId="18" fillId="0" borderId="11" xfId="57" applyNumberFormat="1" applyFont="1" applyFill="1" applyBorder="1" applyAlignment="1">
      <alignment wrapText="1"/>
    </xf>
    <xf numFmtId="2" fontId="18" fillId="0" borderId="13" xfId="61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wrapText="1"/>
    </xf>
    <xf numFmtId="4" fontId="18" fillId="0" borderId="11" xfId="61" applyNumberFormat="1" applyFont="1" applyFill="1" applyBorder="1" applyAlignment="1">
      <alignment horizontal="right" wrapText="1"/>
    </xf>
    <xf numFmtId="0" fontId="17" fillId="0" borderId="12" xfId="0" applyFont="1" applyFill="1" applyBorder="1" applyAlignment="1">
      <alignment wrapText="1"/>
    </xf>
    <xf numFmtId="2" fontId="17" fillId="0" borderId="11" xfId="57" applyNumberFormat="1" applyFont="1" applyFill="1" applyBorder="1" applyAlignment="1">
      <alignment wrapText="1"/>
    </xf>
    <xf numFmtId="2" fontId="17" fillId="0" borderId="13" xfId="61" applyNumberFormat="1" applyFont="1" applyFill="1" applyBorder="1" applyAlignment="1">
      <alignment horizontal="right" wrapText="1"/>
    </xf>
    <xf numFmtId="164" fontId="18" fillId="0" borderId="11" xfId="57" applyNumberFormat="1" applyFont="1" applyFill="1" applyBorder="1" applyAlignment="1">
      <alignment wrapText="1"/>
    </xf>
    <xf numFmtId="4" fontId="18" fillId="0" borderId="13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right" wrapText="1"/>
    </xf>
    <xf numFmtId="0" fontId="18" fillId="0" borderId="19" xfId="0" applyFont="1" applyFill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2" fontId="0" fillId="0" borderId="32" xfId="0" applyNumberFormat="1" applyFont="1" applyFill="1" applyBorder="1" applyAlignment="1">
      <alignment wrapText="1"/>
    </xf>
    <xf numFmtId="2" fontId="0" fillId="0" borderId="0" xfId="61" applyNumberFormat="1" applyFont="1" applyFill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horizontal="right" wrapText="1"/>
    </xf>
    <xf numFmtId="4" fontId="24" fillId="0" borderId="1" xfId="33" applyFont="1" applyFill="1" applyAlignment="1" applyProtection="1">
      <alignment horizontal="right" shrinkToFit="1"/>
      <protection/>
    </xf>
    <xf numFmtId="2" fontId="18" fillId="0" borderId="11" xfId="61" applyNumberFormat="1" applyFont="1" applyFill="1" applyBorder="1" applyAlignment="1">
      <alignment horizontal="right" wrapText="1"/>
    </xf>
    <xf numFmtId="0" fontId="23" fillId="0" borderId="12" xfId="0" applyFont="1" applyFill="1" applyBorder="1" applyAlignment="1">
      <alignment wrapText="1"/>
    </xf>
    <xf numFmtId="2" fontId="17" fillId="0" borderId="11" xfId="0" applyNumberFormat="1" applyFont="1" applyFill="1" applyBorder="1" applyAlignment="1">
      <alignment horizontal="right" wrapText="1"/>
    </xf>
    <xf numFmtId="2" fontId="17" fillId="0" borderId="16" xfId="0" applyNumberFormat="1" applyFont="1" applyFill="1" applyBorder="1" applyAlignment="1">
      <alignment horizontal="right" wrapText="1"/>
    </xf>
    <xf numFmtId="2" fontId="18" fillId="34" borderId="11" xfId="0" applyNumberFormat="1" applyFont="1" applyFill="1" applyBorder="1" applyAlignment="1">
      <alignment wrapText="1"/>
    </xf>
    <xf numFmtId="2" fontId="18" fillId="0" borderId="11" xfId="61" applyNumberFormat="1" applyFont="1" applyFill="1" applyBorder="1" applyAlignment="1">
      <alignment wrapText="1"/>
    </xf>
    <xf numFmtId="2" fontId="23" fillId="0" borderId="11" xfId="0" applyNumberFormat="1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41" fontId="18" fillId="0" borderId="0" xfId="61" applyFont="1" applyFill="1" applyAlignment="1">
      <alignment wrapText="1"/>
    </xf>
    <xf numFmtId="41" fontId="18" fillId="0" borderId="0" xfId="61" applyFont="1" applyFill="1" applyAlignment="1">
      <alignment horizontal="right" wrapText="1"/>
    </xf>
    <xf numFmtId="0" fontId="14" fillId="0" borderId="12" xfId="0" applyFont="1" applyFill="1" applyBorder="1" applyAlignment="1">
      <alignment wrapText="1"/>
    </xf>
    <xf numFmtId="0" fontId="14" fillId="0" borderId="0" xfId="0" applyFont="1" applyFill="1" applyAlignment="1">
      <alignment/>
    </xf>
    <xf numFmtId="41" fontId="14" fillId="0" borderId="0" xfId="61" applyFont="1" applyFill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1" fontId="25" fillId="0" borderId="15" xfId="61" applyFont="1" applyFill="1" applyBorder="1" applyAlignment="1">
      <alignment horizontal="center" vertical="center" wrapText="1"/>
    </xf>
    <xf numFmtId="41" fontId="25" fillId="0" borderId="18" xfId="6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14" fillId="0" borderId="11" xfId="61" applyNumberFormat="1" applyFont="1" applyFill="1" applyBorder="1" applyAlignment="1">
      <alignment horizontal="center" wrapText="1"/>
    </xf>
    <xf numFmtId="1" fontId="14" fillId="0" borderId="11" xfId="0" applyNumberFormat="1" applyFont="1" applyFill="1" applyBorder="1" applyAlignment="1">
      <alignment horizontal="center" wrapText="1"/>
    </xf>
    <xf numFmtId="1" fontId="14" fillId="0" borderId="13" xfId="61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right" wrapText="1"/>
    </xf>
    <xf numFmtId="41" fontId="14" fillId="0" borderId="11" xfId="61" applyFont="1" applyFill="1" applyBorder="1" applyAlignment="1">
      <alignment wrapText="1"/>
    </xf>
    <xf numFmtId="2" fontId="14" fillId="0" borderId="11" xfId="0" applyNumberFormat="1" applyFont="1" applyFill="1" applyBorder="1" applyAlignment="1">
      <alignment wrapText="1"/>
    </xf>
    <xf numFmtId="41" fontId="14" fillId="0" borderId="13" xfId="61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left" wrapText="1"/>
    </xf>
    <xf numFmtId="4" fontId="14" fillId="0" borderId="11" xfId="0" applyNumberFormat="1" applyFont="1" applyFill="1" applyBorder="1" applyAlignment="1">
      <alignment horizontal="right" wrapText="1"/>
    </xf>
    <xf numFmtId="2" fontId="14" fillId="0" borderId="11" xfId="57" applyNumberFormat="1" applyFont="1" applyFill="1" applyBorder="1" applyAlignment="1">
      <alignment wrapText="1"/>
    </xf>
    <xf numFmtId="2" fontId="14" fillId="0" borderId="13" xfId="61" applyNumberFormat="1" applyFont="1" applyFill="1" applyBorder="1" applyAlignment="1">
      <alignment horizontal="right" wrapText="1"/>
    </xf>
    <xf numFmtId="4" fontId="14" fillId="0" borderId="11" xfId="0" applyNumberFormat="1" applyFont="1" applyFill="1" applyBorder="1" applyAlignment="1">
      <alignment wrapText="1"/>
    </xf>
    <xf numFmtId="4" fontId="14" fillId="0" borderId="11" xfId="61" applyNumberFormat="1" applyFont="1" applyFill="1" applyBorder="1" applyAlignment="1">
      <alignment horizontal="right" wrapText="1"/>
    </xf>
    <xf numFmtId="0" fontId="25" fillId="0" borderId="12" xfId="0" applyFont="1" applyFill="1" applyBorder="1" applyAlignment="1">
      <alignment wrapText="1"/>
    </xf>
    <xf numFmtId="4" fontId="25" fillId="0" borderId="11" xfId="0" applyNumberFormat="1" applyFont="1" applyFill="1" applyBorder="1" applyAlignment="1">
      <alignment horizontal="right" wrapText="1"/>
    </xf>
    <xf numFmtId="2" fontId="25" fillId="0" borderId="11" xfId="57" applyNumberFormat="1" applyFont="1" applyFill="1" applyBorder="1" applyAlignment="1">
      <alignment wrapText="1"/>
    </xf>
    <xf numFmtId="2" fontId="25" fillId="0" borderId="13" xfId="61" applyNumberFormat="1" applyFont="1" applyFill="1" applyBorder="1" applyAlignment="1">
      <alignment horizontal="right" wrapText="1"/>
    </xf>
    <xf numFmtId="0" fontId="25" fillId="0" borderId="12" xfId="0" applyFont="1" applyFill="1" applyBorder="1" applyAlignment="1">
      <alignment horizontal="center" wrapText="1"/>
    </xf>
    <xf numFmtId="4" fontId="14" fillId="34" borderId="11" xfId="0" applyNumberFormat="1" applyFont="1" applyFill="1" applyBorder="1" applyAlignment="1">
      <alignment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4" fontId="28" fillId="0" borderId="11" xfId="0" applyNumberFormat="1" applyFont="1" applyFill="1" applyBorder="1" applyAlignment="1">
      <alignment wrapText="1"/>
    </xf>
    <xf numFmtId="2" fontId="28" fillId="0" borderId="11" xfId="57" applyNumberFormat="1" applyFont="1" applyFill="1" applyBorder="1" applyAlignment="1">
      <alignment wrapText="1"/>
    </xf>
    <xf numFmtId="2" fontId="28" fillId="0" borderId="13" xfId="61" applyNumberFormat="1" applyFont="1" applyFill="1" applyBorder="1" applyAlignment="1">
      <alignment horizontal="right" wrapText="1"/>
    </xf>
    <xf numFmtId="0" fontId="29" fillId="0" borderId="12" xfId="0" applyFont="1" applyFill="1" applyBorder="1" applyAlignment="1">
      <alignment horizontal="right" wrapText="1"/>
    </xf>
    <xf numFmtId="4" fontId="27" fillId="0" borderId="11" xfId="0" applyNumberFormat="1" applyFont="1" applyFill="1" applyBorder="1" applyAlignment="1">
      <alignment horizontal="right" wrapText="1"/>
    </xf>
    <xf numFmtId="4" fontId="30" fillId="0" borderId="11" xfId="61" applyNumberFormat="1" applyFont="1" applyFill="1" applyBorder="1" applyAlignment="1">
      <alignment wrapText="1"/>
    </xf>
    <xf numFmtId="0" fontId="31" fillId="0" borderId="2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4" fontId="25" fillId="0" borderId="11" xfId="0" applyNumberFormat="1" applyFont="1" applyFill="1" applyBorder="1" applyAlignment="1">
      <alignment wrapText="1"/>
    </xf>
    <xf numFmtId="2" fontId="25" fillId="0" borderId="11" xfId="61" applyNumberFormat="1" applyFont="1" applyFill="1" applyBorder="1" applyAlignment="1">
      <alignment wrapText="1"/>
    </xf>
    <xf numFmtId="41" fontId="25" fillId="0" borderId="11" xfId="6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41" fontId="9" fillId="0" borderId="11" xfId="61" applyFont="1" applyFill="1" applyBorder="1" applyAlignment="1">
      <alignment wrapText="1"/>
    </xf>
    <xf numFmtId="41" fontId="9" fillId="0" borderId="11" xfId="61" applyFont="1" applyFill="1" applyBorder="1" applyAlignment="1">
      <alignment horizontal="right" wrapText="1"/>
    </xf>
    <xf numFmtId="0" fontId="32" fillId="0" borderId="25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2" fontId="0" fillId="0" borderId="34" xfId="61" applyNumberFormat="1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41" fontId="25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zoomScaleSheetLayoutView="100" workbookViewId="0" topLeftCell="A72">
      <selection activeCell="A82" sqref="A82"/>
    </sheetView>
  </sheetViews>
  <sheetFormatPr defaultColWidth="9.125" defaultRowHeight="12.75"/>
  <cols>
    <col min="1" max="1" width="116.375" style="4" customWidth="1"/>
    <col min="2" max="2" width="12.50390625" style="4" customWidth="1"/>
    <col min="3" max="3" width="16.875" style="5" customWidth="1"/>
    <col min="4" max="4" width="13.50390625" style="4" customWidth="1"/>
    <col min="5" max="5" width="14.50390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7.25">
      <c r="A1" s="338" t="s">
        <v>322</v>
      </c>
      <c r="B1" s="338"/>
      <c r="C1" s="338"/>
      <c r="D1" s="338"/>
      <c r="E1" s="338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305</v>
      </c>
      <c r="C3" s="32" t="s">
        <v>323</v>
      </c>
      <c r="D3" s="19" t="s">
        <v>306</v>
      </c>
      <c r="E3" s="36" t="s">
        <v>307</v>
      </c>
    </row>
    <row r="4" spans="1:5" s="56" customFormat="1" ht="10.5" customHeight="1">
      <c r="A4" s="52">
        <v>1</v>
      </c>
      <c r="B4" s="234">
        <v>2</v>
      </c>
      <c r="C4" s="53">
        <v>3</v>
      </c>
      <c r="D4" s="54">
        <v>4</v>
      </c>
      <c r="E4" s="55">
        <v>5</v>
      </c>
    </row>
    <row r="5" spans="1:5" s="59" customFormat="1" ht="12.75">
      <c r="A5" s="22" t="s">
        <v>2</v>
      </c>
      <c r="B5" s="11"/>
      <c r="C5" s="57"/>
      <c r="D5" s="31"/>
      <c r="E5" s="58"/>
    </row>
    <row r="6" spans="1:5" s="9" customFormat="1" ht="12.75" customHeight="1" hidden="1">
      <c r="A6" s="60" t="s">
        <v>25</v>
      </c>
      <c r="B6" s="61"/>
      <c r="C6" s="61" t="e">
        <f>SUM(C7,C11,C16,C19,#REF!,#REF!,C10,)</f>
        <v>#REF!</v>
      </c>
      <c r="D6" s="62" t="e">
        <f>IF(#REF!=0,"   ",C6/#REF!)</f>
        <v>#REF!</v>
      </c>
      <c r="E6" s="63" t="e">
        <f>C6-#REF!</f>
        <v>#REF!</v>
      </c>
    </row>
    <row r="7" spans="1:5" s="67" customFormat="1" ht="12.75">
      <c r="A7" s="64" t="s">
        <v>45</v>
      </c>
      <c r="B7" s="194">
        <f>SUM(B9)</f>
        <v>140500</v>
      </c>
      <c r="C7" s="194">
        <f>C9</f>
        <v>32539.11</v>
      </c>
      <c r="D7" s="65">
        <f>IF(B7=0,"   ",C7/B7*100)</f>
        <v>23.159508896797153</v>
      </c>
      <c r="E7" s="66">
        <f>C7-B7</f>
        <v>-107960.89</v>
      </c>
    </row>
    <row r="8" spans="1:5" s="59" customFormat="1" ht="12.75" customHeight="1" hidden="1">
      <c r="A8" s="41" t="s">
        <v>3</v>
      </c>
      <c r="B8" s="195">
        <v>387940</v>
      </c>
      <c r="C8" s="196">
        <v>217766</v>
      </c>
      <c r="D8" s="65" t="e">
        <f>IF(#REF!=0,"   ",C8/#REF!)</f>
        <v>#REF!</v>
      </c>
      <c r="E8" s="66" t="e">
        <f>C8-#REF!</f>
        <v>#REF!</v>
      </c>
    </row>
    <row r="9" spans="1:5" s="59" customFormat="1" ht="12.75">
      <c r="A9" s="41" t="s">
        <v>111</v>
      </c>
      <c r="B9" s="195">
        <v>140500</v>
      </c>
      <c r="C9" s="223">
        <v>32539.11</v>
      </c>
      <c r="D9" s="65">
        <f>IF(B9=0,"   ",C9/B9*100)</f>
        <v>23.159508896797153</v>
      </c>
      <c r="E9" s="66">
        <f>C9-B9</f>
        <v>-107960.89</v>
      </c>
    </row>
    <row r="10" spans="1:5" s="59" customFormat="1" ht="12.75" customHeight="1" hidden="1">
      <c r="A10" s="41" t="s">
        <v>24</v>
      </c>
      <c r="B10" s="195"/>
      <c r="C10" s="196">
        <v>175</v>
      </c>
      <c r="D10" s="65"/>
      <c r="E10" s="66"/>
    </row>
    <row r="11" spans="1:5" s="67" customFormat="1" ht="12.75" customHeight="1" hidden="1">
      <c r="A11" s="41" t="s">
        <v>4</v>
      </c>
      <c r="B11" s="195">
        <f>SUM(B12:B13)</f>
        <v>1848003</v>
      </c>
      <c r="C11" s="195">
        <f>SUM(C12:C13)</f>
        <v>1704024</v>
      </c>
      <c r="D11" s="65" t="e">
        <f>IF(#REF!=0,"   ",C11/#REF!)</f>
        <v>#REF!</v>
      </c>
      <c r="E11" s="66" t="e">
        <f>C11-#REF!</f>
        <v>#REF!</v>
      </c>
    </row>
    <row r="12" spans="1:5" s="59" customFormat="1" ht="12.75" customHeight="1" hidden="1">
      <c r="A12" s="41" t="s">
        <v>5</v>
      </c>
      <c r="B12" s="195">
        <v>17853</v>
      </c>
      <c r="C12" s="196">
        <v>13730</v>
      </c>
      <c r="D12" s="65" t="e">
        <f>IF(#REF!=0,"   ",C12/#REF!)</f>
        <v>#REF!</v>
      </c>
      <c r="E12" s="66" t="e">
        <f>C12-#REF!</f>
        <v>#REF!</v>
      </c>
    </row>
    <row r="13" spans="1:5" s="59" customFormat="1" ht="12.75" customHeight="1" hidden="1">
      <c r="A13" s="41" t="s">
        <v>6</v>
      </c>
      <c r="B13" s="195">
        <v>1830150</v>
      </c>
      <c r="C13" s="196">
        <v>1690294</v>
      </c>
      <c r="D13" s="65" t="e">
        <f>IF(#REF!=0,"   ",C13/#REF!)</f>
        <v>#REF!</v>
      </c>
      <c r="E13" s="66" t="e">
        <f>C13-#REF!</f>
        <v>#REF!</v>
      </c>
    </row>
    <row r="14" spans="1:5" s="59" customFormat="1" ht="12.75" customHeight="1">
      <c r="A14" s="64" t="s">
        <v>136</v>
      </c>
      <c r="B14" s="194">
        <f>SUM(B15)</f>
        <v>608800</v>
      </c>
      <c r="C14" s="194">
        <f>SUM(C15)</f>
        <v>142999.03</v>
      </c>
      <c r="D14" s="65">
        <f>IF(B14=0,"   ",C14/B14*100)</f>
        <v>23.488671156373194</v>
      </c>
      <c r="E14" s="66">
        <f>C14-B14</f>
        <v>-465800.97</v>
      </c>
    </row>
    <row r="15" spans="1:5" s="59" customFormat="1" ht="15.75" customHeight="1">
      <c r="A15" s="41" t="s">
        <v>137</v>
      </c>
      <c r="B15" s="195">
        <v>608800</v>
      </c>
      <c r="C15" s="223">
        <v>142999.03</v>
      </c>
      <c r="D15" s="65">
        <f>IF(B15=0,"   ",C15/B15*100)</f>
        <v>23.488671156373194</v>
      </c>
      <c r="E15" s="66">
        <f>C15-B15</f>
        <v>-465800.97</v>
      </c>
    </row>
    <row r="16" spans="1:5" s="67" customFormat="1" ht="17.25" customHeight="1">
      <c r="A16" s="41" t="s">
        <v>7</v>
      </c>
      <c r="B16" s="194">
        <f>SUM(B18)</f>
        <v>40800</v>
      </c>
      <c r="C16" s="195">
        <f>SUM(C18:C18)</f>
        <v>23881.74</v>
      </c>
      <c r="D16" s="65">
        <f>IF(B16=0,"   ",C16/B16*100)</f>
        <v>58.53367647058823</v>
      </c>
      <c r="E16" s="66">
        <f>C16-B16</f>
        <v>-16918.26</v>
      </c>
    </row>
    <row r="17" spans="1:5" s="59" customFormat="1" ht="12.75" customHeight="1" hidden="1">
      <c r="A17" s="41" t="s">
        <v>8</v>
      </c>
      <c r="B17" s="195">
        <v>103725</v>
      </c>
      <c r="C17" s="196">
        <v>92515</v>
      </c>
      <c r="D17" s="65" t="e">
        <f>IF(#REF!=0,"   ",C17/#REF!)</f>
        <v>#REF!</v>
      </c>
      <c r="E17" s="66" t="e">
        <f>C17-#REF!</f>
        <v>#REF!</v>
      </c>
    </row>
    <row r="18" spans="1:5" s="59" customFormat="1" ht="17.25" customHeight="1">
      <c r="A18" s="41" t="s">
        <v>112</v>
      </c>
      <c r="B18" s="195">
        <v>40800</v>
      </c>
      <c r="C18" s="223">
        <v>23881.74</v>
      </c>
      <c r="D18" s="65">
        <f aca="true" t="shared" si="0" ref="D18:D36">IF(B18=0,"   ",C18/B18*100)</f>
        <v>58.53367647058823</v>
      </c>
      <c r="E18" s="66">
        <f aca="true" t="shared" si="1" ref="E18:E36">C18-B18</f>
        <v>-16918.26</v>
      </c>
    </row>
    <row r="19" spans="1:5" s="59" customFormat="1" ht="18" customHeight="1">
      <c r="A19" s="41" t="s">
        <v>9</v>
      </c>
      <c r="B19" s="195">
        <f>SUM(B20:B21)</f>
        <v>755000</v>
      </c>
      <c r="C19" s="195">
        <f>SUM(C20:C21)</f>
        <v>118979.06</v>
      </c>
      <c r="D19" s="65">
        <f t="shared" si="0"/>
        <v>15.758815894039735</v>
      </c>
      <c r="E19" s="66">
        <f t="shared" si="1"/>
        <v>-636020.94</v>
      </c>
    </row>
    <row r="20" spans="1:5" s="59" customFormat="1" ht="12.75">
      <c r="A20" s="41" t="s">
        <v>113</v>
      </c>
      <c r="B20" s="195">
        <v>260000</v>
      </c>
      <c r="C20" s="223">
        <v>42705.63</v>
      </c>
      <c r="D20" s="65">
        <f t="shared" si="0"/>
        <v>16.425242307692304</v>
      </c>
      <c r="E20" s="66">
        <f t="shared" si="1"/>
        <v>-217294.37</v>
      </c>
    </row>
    <row r="21" spans="1:5" s="59" customFormat="1" ht="16.5" customHeight="1">
      <c r="A21" s="41" t="s">
        <v>159</v>
      </c>
      <c r="B21" s="195">
        <f>SUM(B22:B23)</f>
        <v>495000</v>
      </c>
      <c r="C21" s="195">
        <f>SUM(C22:C23)</f>
        <v>76273.43</v>
      </c>
      <c r="D21" s="65">
        <f t="shared" si="0"/>
        <v>15.408773737373735</v>
      </c>
      <c r="E21" s="66">
        <f t="shared" si="1"/>
        <v>-418726.57</v>
      </c>
    </row>
    <row r="22" spans="1:5" s="59" customFormat="1" ht="12.75">
      <c r="A22" s="41" t="s">
        <v>160</v>
      </c>
      <c r="B22" s="195">
        <v>238600</v>
      </c>
      <c r="C22" s="223">
        <v>66794.98</v>
      </c>
      <c r="D22" s="65">
        <f t="shared" si="0"/>
        <v>27.994543168482817</v>
      </c>
      <c r="E22" s="66">
        <f t="shared" si="1"/>
        <v>-171805.02000000002</v>
      </c>
    </row>
    <row r="23" spans="1:5" s="59" customFormat="1" ht="12.75">
      <c r="A23" s="41" t="s">
        <v>161</v>
      </c>
      <c r="B23" s="195">
        <v>256400</v>
      </c>
      <c r="C23" s="223">
        <v>9478.45</v>
      </c>
      <c r="D23" s="65">
        <f t="shared" si="0"/>
        <v>3.6967433697347896</v>
      </c>
      <c r="E23" s="66">
        <f t="shared" si="1"/>
        <v>-246921.55</v>
      </c>
    </row>
    <row r="24" spans="1:5" s="59" customFormat="1" ht="12.75">
      <c r="A24" s="41" t="s">
        <v>194</v>
      </c>
      <c r="B24" s="195">
        <v>0</v>
      </c>
      <c r="C24" s="223">
        <v>0</v>
      </c>
      <c r="D24" s="65" t="str">
        <f t="shared" si="0"/>
        <v>   </v>
      </c>
      <c r="E24" s="66">
        <f t="shared" si="1"/>
        <v>0</v>
      </c>
    </row>
    <row r="25" spans="1:5" s="59" customFormat="1" ht="19.5" customHeight="1">
      <c r="A25" s="41" t="s">
        <v>88</v>
      </c>
      <c r="B25" s="195">
        <v>0</v>
      </c>
      <c r="C25" s="195">
        <v>0</v>
      </c>
      <c r="D25" s="65" t="str">
        <f t="shared" si="0"/>
        <v>   </v>
      </c>
      <c r="E25" s="66">
        <f t="shared" si="1"/>
        <v>0</v>
      </c>
    </row>
    <row r="26" spans="1:5" s="59" customFormat="1" ht="24.75" customHeight="1">
      <c r="A26" s="41" t="s">
        <v>28</v>
      </c>
      <c r="B26" s="195">
        <f>SUM(B27:B30)</f>
        <v>463600</v>
      </c>
      <c r="C26" s="195">
        <f>SUM(C27:C30)</f>
        <v>241089.48</v>
      </c>
      <c r="D26" s="65">
        <f t="shared" si="0"/>
        <v>52.00377049180328</v>
      </c>
      <c r="E26" s="66">
        <f t="shared" si="1"/>
        <v>-222510.52</v>
      </c>
    </row>
    <row r="27" spans="1:5" s="59" customFormat="1" ht="12.75">
      <c r="A27" s="41" t="s">
        <v>151</v>
      </c>
      <c r="B27" s="195">
        <v>453600</v>
      </c>
      <c r="C27" s="223">
        <v>241089.48</v>
      </c>
      <c r="D27" s="65">
        <f t="shared" si="0"/>
        <v>53.1502380952381</v>
      </c>
      <c r="E27" s="66">
        <f t="shared" si="1"/>
        <v>-212510.52</v>
      </c>
    </row>
    <row r="28" spans="1:5" s="59" customFormat="1" ht="15.75" customHeight="1">
      <c r="A28" s="41" t="s">
        <v>30</v>
      </c>
      <c r="B28" s="195">
        <v>0</v>
      </c>
      <c r="C28" s="196">
        <v>0</v>
      </c>
      <c r="D28" s="65" t="str">
        <f t="shared" si="0"/>
        <v>   </v>
      </c>
      <c r="E28" s="66">
        <f t="shared" si="1"/>
        <v>0</v>
      </c>
    </row>
    <row r="29" spans="1:5" s="59" customFormat="1" ht="24.75" customHeight="1">
      <c r="A29" s="16" t="s">
        <v>259</v>
      </c>
      <c r="B29" s="195">
        <v>0</v>
      </c>
      <c r="C29" s="268">
        <v>0</v>
      </c>
      <c r="D29" s="65"/>
      <c r="E29" s="66"/>
    </row>
    <row r="30" spans="1:5" s="59" customFormat="1" ht="44.25" customHeight="1">
      <c r="A30" s="16" t="s">
        <v>222</v>
      </c>
      <c r="B30" s="31">
        <v>10000</v>
      </c>
      <c r="C30" s="230">
        <v>0</v>
      </c>
      <c r="D30" s="65">
        <f t="shared" si="0"/>
        <v>0</v>
      </c>
      <c r="E30" s="66">
        <f t="shared" si="1"/>
        <v>-10000</v>
      </c>
    </row>
    <row r="31" spans="1:5" s="59" customFormat="1" ht="18.75" customHeight="1">
      <c r="A31" s="41" t="s">
        <v>91</v>
      </c>
      <c r="B31" s="194">
        <v>0</v>
      </c>
      <c r="C31" s="196">
        <v>13044.12</v>
      </c>
      <c r="D31" s="65" t="str">
        <f t="shared" si="0"/>
        <v>   </v>
      </c>
      <c r="E31" s="66">
        <f t="shared" si="1"/>
        <v>13044.12</v>
      </c>
    </row>
    <row r="32" spans="1:5" s="59" customFormat="1" ht="16.5" customHeight="1">
      <c r="A32" s="41" t="s">
        <v>78</v>
      </c>
      <c r="B32" s="194">
        <f>B33+B34</f>
        <v>0</v>
      </c>
      <c r="C32" s="194">
        <f>C33+C34</f>
        <v>0</v>
      </c>
      <c r="D32" s="65" t="str">
        <f t="shared" si="0"/>
        <v>   </v>
      </c>
      <c r="E32" s="66">
        <f t="shared" si="1"/>
        <v>0</v>
      </c>
    </row>
    <row r="33" spans="1:5" s="59" customFormat="1" ht="16.5" customHeight="1">
      <c r="A33" s="41" t="s">
        <v>133</v>
      </c>
      <c r="B33" s="194">
        <v>0</v>
      </c>
      <c r="C33" s="223">
        <v>0</v>
      </c>
      <c r="D33" s="65" t="str">
        <f t="shared" si="0"/>
        <v>   </v>
      </c>
      <c r="E33" s="66">
        <f t="shared" si="1"/>
        <v>0</v>
      </c>
    </row>
    <row r="34" spans="1:5" s="59" customFormat="1" ht="27.75" customHeight="1">
      <c r="A34" s="41" t="s">
        <v>202</v>
      </c>
      <c r="B34" s="195">
        <v>0</v>
      </c>
      <c r="C34" s="197">
        <v>0</v>
      </c>
      <c r="D34" s="65" t="str">
        <f t="shared" si="0"/>
        <v>   </v>
      </c>
      <c r="E34" s="66">
        <f t="shared" si="1"/>
        <v>0</v>
      </c>
    </row>
    <row r="35" spans="1:5" s="59" customFormat="1" ht="15.75" customHeight="1">
      <c r="A35" s="16" t="s">
        <v>31</v>
      </c>
      <c r="B35" s="195">
        <v>0</v>
      </c>
      <c r="C35" s="197">
        <v>0</v>
      </c>
      <c r="D35" s="65" t="str">
        <f t="shared" si="0"/>
        <v>   </v>
      </c>
      <c r="E35" s="66">
        <f t="shared" si="1"/>
        <v>0</v>
      </c>
    </row>
    <row r="36" spans="1:5" s="59" customFormat="1" ht="15" customHeight="1">
      <c r="A36" s="41" t="s">
        <v>32</v>
      </c>
      <c r="B36" s="195">
        <f>B39+B40</f>
        <v>0</v>
      </c>
      <c r="C36" s="195">
        <f>SUM(C39:C40)</f>
        <v>0</v>
      </c>
      <c r="D36" s="65" t="str">
        <f t="shared" si="0"/>
        <v>   </v>
      </c>
      <c r="E36" s="66">
        <f t="shared" si="1"/>
        <v>0</v>
      </c>
    </row>
    <row r="37" spans="1:5" s="59" customFormat="1" ht="12.75" customHeight="1" hidden="1">
      <c r="A37" s="69" t="s">
        <v>33</v>
      </c>
      <c r="B37" s="195"/>
      <c r="C37" s="198"/>
      <c r="D37" s="65" t="e">
        <f>IF(#REF!=0,"   ",C37/#REF!)</f>
        <v>#REF!</v>
      </c>
      <c r="E37" s="66" t="e">
        <f>C37-#REF!</f>
        <v>#REF!</v>
      </c>
    </row>
    <row r="38" spans="1:5" s="9" customFormat="1" ht="12.75" customHeight="1" hidden="1">
      <c r="A38" s="69" t="s">
        <v>16</v>
      </c>
      <c r="B38" s="199" t="e">
        <f>SUM(B45,#REF!,#REF!,#REF!)</f>
        <v>#REF!</v>
      </c>
      <c r="C38" s="200" t="e">
        <f>SUM(C45,#REF!,#REF!,#REF!)</f>
        <v>#REF!</v>
      </c>
      <c r="D38" s="65" t="e">
        <f>IF(#REF!=0,"   ",C38/#REF!)</f>
        <v>#REF!</v>
      </c>
      <c r="E38" s="66" t="e">
        <f>C38-#REF!</f>
        <v>#REF!</v>
      </c>
    </row>
    <row r="39" spans="1:5" s="9" customFormat="1" ht="12.75">
      <c r="A39" s="41" t="s">
        <v>132</v>
      </c>
      <c r="B39" s="201">
        <v>0</v>
      </c>
      <c r="C39" s="194">
        <v>0</v>
      </c>
      <c r="D39" s="65" t="str">
        <f>IF(B39=0,"   ",C39/B39*100)</f>
        <v>   </v>
      </c>
      <c r="E39" s="66">
        <f>C39-B39</f>
        <v>0</v>
      </c>
    </row>
    <row r="40" spans="1:5" s="9" customFormat="1" ht="15" customHeight="1">
      <c r="A40" s="41" t="s">
        <v>107</v>
      </c>
      <c r="B40" s="195">
        <v>0</v>
      </c>
      <c r="C40" s="194">
        <v>0</v>
      </c>
      <c r="D40" s="65" t="str">
        <f>IF(B40=0,"   ",C40/B40*100)</f>
        <v>   </v>
      </c>
      <c r="E40" s="66">
        <f>C40-B40</f>
        <v>0</v>
      </c>
    </row>
    <row r="41" spans="1:5" s="9" customFormat="1" ht="12.75" customHeight="1" hidden="1">
      <c r="A41" s="41" t="s">
        <v>46</v>
      </c>
      <c r="B41" s="199"/>
      <c r="C41" s="194">
        <v>0</v>
      </c>
      <c r="D41" s="65" t="e">
        <f>IF(#REF!=0,"   ",C41/#REF!)</f>
        <v>#REF!</v>
      </c>
      <c r="E41" s="66" t="e">
        <f>C41-#REF!</f>
        <v>#REF!</v>
      </c>
    </row>
    <row r="42" spans="1:5" s="9" customFormat="1" ht="0.75" customHeight="1" hidden="1">
      <c r="A42" s="87" t="s">
        <v>47</v>
      </c>
      <c r="B42" s="202">
        <v>1250</v>
      </c>
      <c r="C42" s="203"/>
      <c r="D42" s="89" t="e">
        <f>IF(#REF!=0,"   ",C42/#REF!)</f>
        <v>#REF!</v>
      </c>
      <c r="E42" s="90" t="e">
        <f>C42-#REF!</f>
        <v>#REF!</v>
      </c>
    </row>
    <row r="43" spans="1:5" s="9" customFormat="1" ht="22.5" customHeight="1">
      <c r="A43" s="183" t="s">
        <v>10</v>
      </c>
      <c r="B43" s="147">
        <f>B7+B16+B19+B25+B26+B31+B32+B36+B14+B35+B24</f>
        <v>2008700</v>
      </c>
      <c r="C43" s="43">
        <f>C7+C16+C19+C25+C26+C31+C32+C36+C14+C35+C24</f>
        <v>572532.54</v>
      </c>
      <c r="D43" s="139">
        <f aca="true" t="shared" si="2" ref="D43:D60">IF(B43=0,"   ",C43/B43*100)</f>
        <v>28.502640513765126</v>
      </c>
      <c r="E43" s="184">
        <f aca="true" t="shared" si="3" ref="E43:E60">C43-B43</f>
        <v>-1436167.46</v>
      </c>
    </row>
    <row r="44" spans="1:5" s="9" customFormat="1" ht="18.75" customHeight="1">
      <c r="A44" s="177" t="s">
        <v>139</v>
      </c>
      <c r="B44" s="205">
        <f>SUM(B45:B48,B51:B54,B60)</f>
        <v>2744632.2</v>
      </c>
      <c r="C44" s="206">
        <f>SUM(C45:C48,C51:C54,C60)</f>
        <v>604105</v>
      </c>
      <c r="D44" s="65">
        <f t="shared" si="2"/>
        <v>22.010417279225972</v>
      </c>
      <c r="E44" s="68">
        <f t="shared" si="3"/>
        <v>-2140527.2</v>
      </c>
    </row>
    <row r="45" spans="1:5" s="59" customFormat="1" ht="19.5" customHeight="1">
      <c r="A45" s="91" t="s">
        <v>34</v>
      </c>
      <c r="B45" s="206">
        <v>1561800</v>
      </c>
      <c r="C45" s="223">
        <v>390450</v>
      </c>
      <c r="D45" s="78">
        <f t="shared" si="2"/>
        <v>25</v>
      </c>
      <c r="E45" s="79">
        <f t="shared" si="3"/>
        <v>-1171350</v>
      </c>
    </row>
    <row r="46" spans="1:5" s="59" customFormat="1" ht="19.5" customHeight="1">
      <c r="A46" s="17" t="s">
        <v>225</v>
      </c>
      <c r="B46" s="206">
        <v>0</v>
      </c>
      <c r="C46" s="223">
        <v>0</v>
      </c>
      <c r="D46" s="78" t="str">
        <f>IF(B46=0,"   ",C46/B46*100)</f>
        <v>   </v>
      </c>
      <c r="E46" s="79">
        <f>C46-B46</f>
        <v>0</v>
      </c>
    </row>
    <row r="47" spans="1:5" s="59" customFormat="1" ht="30" customHeight="1">
      <c r="A47" s="108" t="s">
        <v>51</v>
      </c>
      <c r="B47" s="232">
        <v>103700</v>
      </c>
      <c r="C47" s="230">
        <v>30000</v>
      </c>
      <c r="D47" s="109">
        <f t="shared" si="2"/>
        <v>28.929604628736737</v>
      </c>
      <c r="E47" s="110">
        <f t="shared" si="3"/>
        <v>-73700</v>
      </c>
    </row>
    <row r="48" spans="1:5" s="59" customFormat="1" ht="30" customHeight="1">
      <c r="A48" s="108" t="s">
        <v>147</v>
      </c>
      <c r="B48" s="232">
        <f>SUM(B49:B50)</f>
        <v>100</v>
      </c>
      <c r="C48" s="232">
        <f>SUM(C49:C50)</f>
        <v>100</v>
      </c>
      <c r="D48" s="109">
        <f t="shared" si="2"/>
        <v>100</v>
      </c>
      <c r="E48" s="110">
        <f t="shared" si="3"/>
        <v>0</v>
      </c>
    </row>
    <row r="49" spans="1:5" s="59" customFormat="1" ht="18" customHeight="1">
      <c r="A49" s="108" t="s">
        <v>162</v>
      </c>
      <c r="B49" s="232">
        <v>100</v>
      </c>
      <c r="C49" s="232">
        <v>100</v>
      </c>
      <c r="D49" s="109">
        <f t="shared" si="2"/>
        <v>100</v>
      </c>
      <c r="E49" s="110">
        <f t="shared" si="3"/>
        <v>0</v>
      </c>
    </row>
    <row r="50" spans="1:5" s="59" customFormat="1" ht="30" customHeight="1">
      <c r="A50" s="108" t="s">
        <v>163</v>
      </c>
      <c r="B50" s="232">
        <v>0</v>
      </c>
      <c r="C50" s="232">
        <v>0</v>
      </c>
      <c r="D50" s="109" t="str">
        <f t="shared" si="2"/>
        <v>   </v>
      </c>
      <c r="E50" s="110">
        <f t="shared" si="3"/>
        <v>0</v>
      </c>
    </row>
    <row r="51" spans="1:5" s="59" customFormat="1" ht="31.5" customHeight="1">
      <c r="A51" s="16" t="s">
        <v>102</v>
      </c>
      <c r="B51" s="232">
        <v>0</v>
      </c>
      <c r="C51" s="232">
        <v>0</v>
      </c>
      <c r="D51" s="109" t="str">
        <f t="shared" si="2"/>
        <v>   </v>
      </c>
      <c r="E51" s="110">
        <f t="shared" si="3"/>
        <v>0</v>
      </c>
    </row>
    <row r="52" spans="1:5" s="59" customFormat="1" ht="30" customHeight="1">
      <c r="A52" s="16" t="s">
        <v>279</v>
      </c>
      <c r="B52" s="232">
        <v>0</v>
      </c>
      <c r="C52" s="232">
        <v>0</v>
      </c>
      <c r="D52" s="109" t="str">
        <f t="shared" si="2"/>
        <v>   </v>
      </c>
      <c r="E52" s="110">
        <f t="shared" si="3"/>
        <v>0</v>
      </c>
    </row>
    <row r="53" spans="1:5" s="59" customFormat="1" ht="41.25" customHeight="1">
      <c r="A53" s="16" t="s">
        <v>234</v>
      </c>
      <c r="B53" s="232">
        <v>570600</v>
      </c>
      <c r="C53" s="232">
        <v>0</v>
      </c>
      <c r="D53" s="109">
        <f t="shared" si="2"/>
        <v>0</v>
      </c>
      <c r="E53" s="110">
        <f t="shared" si="3"/>
        <v>-570600</v>
      </c>
    </row>
    <row r="54" spans="1:5" s="59" customFormat="1" ht="18" customHeight="1">
      <c r="A54" s="41" t="s">
        <v>54</v>
      </c>
      <c r="B54" s="31">
        <f>SUM(B55:B59)</f>
        <v>508432.2</v>
      </c>
      <c r="C54" s="31">
        <f>SUM(C55:C59)</f>
        <v>183555</v>
      </c>
      <c r="D54" s="65">
        <f t="shared" si="2"/>
        <v>36.10215875391055</v>
      </c>
      <c r="E54" s="66">
        <f t="shared" si="3"/>
        <v>-324877.2</v>
      </c>
    </row>
    <row r="55" spans="1:5" s="59" customFormat="1" ht="18" customHeight="1">
      <c r="A55" s="46" t="s">
        <v>186</v>
      </c>
      <c r="B55" s="31">
        <v>71332.2</v>
      </c>
      <c r="C55" s="31">
        <v>0</v>
      </c>
      <c r="D55" s="65">
        <f t="shared" si="2"/>
        <v>0</v>
      </c>
      <c r="E55" s="66">
        <f t="shared" si="3"/>
        <v>-71332.2</v>
      </c>
    </row>
    <row r="56" spans="1:5" s="59" customFormat="1" ht="18" customHeight="1">
      <c r="A56" s="46" t="s">
        <v>269</v>
      </c>
      <c r="B56" s="31">
        <v>0</v>
      </c>
      <c r="C56" s="31">
        <v>0</v>
      </c>
      <c r="D56" s="65" t="str">
        <f>IF(B56=0,"   ",C56/B56*100)</f>
        <v>   </v>
      </c>
      <c r="E56" s="66">
        <f>C56-B56</f>
        <v>0</v>
      </c>
    </row>
    <row r="57" spans="1:5" s="59" customFormat="1" ht="18" customHeight="1">
      <c r="A57" s="46" t="s">
        <v>311</v>
      </c>
      <c r="B57" s="31">
        <v>70300</v>
      </c>
      <c r="C57" s="31">
        <v>0</v>
      </c>
      <c r="D57" s="65">
        <f>IF(B57=0,"   ",C57/B57*100)</f>
        <v>0</v>
      </c>
      <c r="E57" s="66">
        <f>C57-B57</f>
        <v>-70300</v>
      </c>
    </row>
    <row r="58" spans="1:5" s="59" customFormat="1" ht="18" customHeight="1">
      <c r="A58" s="46" t="s">
        <v>278</v>
      </c>
      <c r="B58" s="31">
        <v>0</v>
      </c>
      <c r="C58" s="31">
        <v>0</v>
      </c>
      <c r="D58" s="65" t="str">
        <f>IF(B58=0,"   ",C58/B58*100)</f>
        <v>   </v>
      </c>
      <c r="E58" s="66">
        <f>C58-B58</f>
        <v>0</v>
      </c>
    </row>
    <row r="59" spans="1:5" s="59" customFormat="1" ht="20.25" customHeight="1">
      <c r="A59" s="46" t="s">
        <v>108</v>
      </c>
      <c r="B59" s="31">
        <v>366800</v>
      </c>
      <c r="C59" s="31">
        <v>183555</v>
      </c>
      <c r="D59" s="65">
        <f t="shared" si="2"/>
        <v>50.04225736095965</v>
      </c>
      <c r="E59" s="66">
        <f t="shared" si="3"/>
        <v>-183245</v>
      </c>
    </row>
    <row r="60" spans="1:5" s="59" customFormat="1" ht="24.75" customHeight="1">
      <c r="A60" s="16" t="s">
        <v>196</v>
      </c>
      <c r="B60" s="31">
        <v>0</v>
      </c>
      <c r="C60" s="31">
        <v>0</v>
      </c>
      <c r="D60" s="65" t="str">
        <f t="shared" si="2"/>
        <v>   </v>
      </c>
      <c r="E60" s="66">
        <f t="shared" si="3"/>
        <v>0</v>
      </c>
    </row>
    <row r="61" spans="1:5" s="59" customFormat="1" ht="27" customHeight="1">
      <c r="A61" s="30" t="s">
        <v>11</v>
      </c>
      <c r="B61" s="147">
        <f>B43+B44</f>
        <v>4753332.2</v>
      </c>
      <c r="C61" s="43">
        <f>C43+C44</f>
        <v>1176637.54</v>
      </c>
      <c r="D61" s="139">
        <f aca="true" t="shared" si="4" ref="D61:D93">IF(B61=0,"   ",C61/B61*100)</f>
        <v>24.753951343859367</v>
      </c>
      <c r="E61" s="140">
        <f aca="true" t="shared" si="5" ref="E61:E93">C61-B61</f>
        <v>-3576694.66</v>
      </c>
    </row>
    <row r="62" spans="1:5" s="8" customFormat="1" ht="13.5" thickBot="1">
      <c r="A62" s="105" t="s">
        <v>12</v>
      </c>
      <c r="B62" s="106"/>
      <c r="C62" s="107"/>
      <c r="D62" s="89"/>
      <c r="E62" s="90"/>
    </row>
    <row r="63" spans="1:5" s="59" customFormat="1" ht="18.75" customHeight="1" thickBot="1">
      <c r="A63" s="97" t="s">
        <v>35</v>
      </c>
      <c r="B63" s="98">
        <f>SUM(B64,B66:B67)</f>
        <v>1221218.83</v>
      </c>
      <c r="C63" s="98">
        <f>SUM(C64,C66:C67)</f>
        <v>213265.21</v>
      </c>
      <c r="D63" s="92">
        <f t="shared" si="4"/>
        <v>17.46330835727451</v>
      </c>
      <c r="E63" s="93">
        <f t="shared" si="5"/>
        <v>-1007953.6200000001</v>
      </c>
    </row>
    <row r="64" spans="1:5" s="59" customFormat="1" ht="17.25" customHeight="1" thickBot="1">
      <c r="A64" s="95" t="s">
        <v>36</v>
      </c>
      <c r="B64" s="96">
        <v>1205718.83</v>
      </c>
      <c r="C64" s="98">
        <v>213265.21</v>
      </c>
      <c r="D64" s="78">
        <f t="shared" si="4"/>
        <v>17.687806202711453</v>
      </c>
      <c r="E64" s="79">
        <f t="shared" si="5"/>
        <v>-992453.6200000001</v>
      </c>
    </row>
    <row r="65" spans="1:5" s="59" customFormat="1" ht="18" customHeight="1">
      <c r="A65" s="41" t="s">
        <v>119</v>
      </c>
      <c r="B65" s="31">
        <v>818755</v>
      </c>
      <c r="C65" s="70">
        <v>147848.37</v>
      </c>
      <c r="D65" s="65">
        <f t="shared" si="4"/>
        <v>18.0577059071395</v>
      </c>
      <c r="E65" s="66">
        <f t="shared" si="5"/>
        <v>-670906.63</v>
      </c>
    </row>
    <row r="66" spans="1:5" s="59" customFormat="1" ht="15.75" customHeight="1">
      <c r="A66" s="41" t="s">
        <v>94</v>
      </c>
      <c r="B66" s="31">
        <v>500</v>
      </c>
      <c r="C66" s="70">
        <v>0</v>
      </c>
      <c r="D66" s="65">
        <f t="shared" si="4"/>
        <v>0</v>
      </c>
      <c r="E66" s="66">
        <f t="shared" si="5"/>
        <v>-500</v>
      </c>
    </row>
    <row r="67" spans="1:5" s="59" customFormat="1" ht="12.75">
      <c r="A67" s="41" t="s">
        <v>52</v>
      </c>
      <c r="B67" s="31">
        <f>SUM(B68:B69)</f>
        <v>15000</v>
      </c>
      <c r="C67" s="31">
        <f>SUM(C68:C69)</f>
        <v>0</v>
      </c>
      <c r="D67" s="65">
        <f t="shared" si="4"/>
        <v>0</v>
      </c>
      <c r="E67" s="66">
        <f t="shared" si="5"/>
        <v>-15000</v>
      </c>
    </row>
    <row r="68" spans="1:5" s="59" customFormat="1" ht="28.5" customHeight="1">
      <c r="A68" s="104" t="s">
        <v>242</v>
      </c>
      <c r="B68" s="31">
        <v>15000</v>
      </c>
      <c r="C68" s="68">
        <v>0</v>
      </c>
      <c r="D68" s="65">
        <f t="shared" si="4"/>
        <v>0</v>
      </c>
      <c r="E68" s="68">
        <f t="shared" si="5"/>
        <v>-15000</v>
      </c>
    </row>
    <row r="69" spans="1:5" s="59" customFormat="1" ht="17.25" customHeight="1" thickBot="1">
      <c r="A69" s="186" t="s">
        <v>219</v>
      </c>
      <c r="B69" s="31">
        <v>0</v>
      </c>
      <c r="C69" s="68">
        <v>0</v>
      </c>
      <c r="D69" s="65" t="str">
        <f t="shared" si="4"/>
        <v>   </v>
      </c>
      <c r="E69" s="68">
        <f t="shared" si="5"/>
        <v>0</v>
      </c>
    </row>
    <row r="70" spans="1:5" s="59" customFormat="1" ht="13.5" thickBot="1">
      <c r="A70" s="97" t="s">
        <v>49</v>
      </c>
      <c r="B70" s="187">
        <f>SUM(B71)</f>
        <v>103700</v>
      </c>
      <c r="C70" s="187">
        <f>SUM(C71)</f>
        <v>13613.99</v>
      </c>
      <c r="D70" s="188">
        <f t="shared" si="4"/>
        <v>13.128244937319188</v>
      </c>
      <c r="E70" s="189">
        <f t="shared" si="5"/>
        <v>-90086.01</v>
      </c>
    </row>
    <row r="71" spans="1:5" s="59" customFormat="1" ht="20.25" customHeight="1" thickBot="1">
      <c r="A71" s="75" t="s">
        <v>106</v>
      </c>
      <c r="B71" s="99">
        <v>103700</v>
      </c>
      <c r="C71" s="77">
        <v>13613.99</v>
      </c>
      <c r="D71" s="101">
        <f t="shared" si="4"/>
        <v>13.128244937319188</v>
      </c>
      <c r="E71" s="102">
        <f t="shared" si="5"/>
        <v>-90086.01</v>
      </c>
    </row>
    <row r="72" spans="1:5" s="59" customFormat="1" ht="13.5" thickBot="1">
      <c r="A72" s="97" t="s">
        <v>37</v>
      </c>
      <c r="B72" s="98">
        <f>SUM(B73)</f>
        <v>1000</v>
      </c>
      <c r="C72" s="98">
        <f>SUM(C73)</f>
        <v>0</v>
      </c>
      <c r="D72" s="92">
        <f t="shared" si="4"/>
        <v>0</v>
      </c>
      <c r="E72" s="93">
        <f t="shared" si="5"/>
        <v>-1000</v>
      </c>
    </row>
    <row r="73" spans="1:5" s="59" customFormat="1" ht="13.5" thickBot="1">
      <c r="A73" s="75" t="s">
        <v>127</v>
      </c>
      <c r="B73" s="99">
        <v>1000</v>
      </c>
      <c r="C73" s="77">
        <v>0</v>
      </c>
      <c r="D73" s="101">
        <f t="shared" si="4"/>
        <v>0</v>
      </c>
      <c r="E73" s="102">
        <f t="shared" si="5"/>
        <v>-1000</v>
      </c>
    </row>
    <row r="74" spans="1:5" s="59" customFormat="1" ht="13.5" thickBot="1">
      <c r="A74" s="97" t="s">
        <v>38</v>
      </c>
      <c r="B74" s="98">
        <f>B75+B82+B94+B80</f>
        <v>1685573.66</v>
      </c>
      <c r="C74" s="98">
        <f>C75+C82+C94+C80</f>
        <v>280424.08</v>
      </c>
      <c r="D74" s="92">
        <f t="shared" si="4"/>
        <v>16.63671464823436</v>
      </c>
      <c r="E74" s="93">
        <f t="shared" si="5"/>
        <v>-1405149.5799999998</v>
      </c>
    </row>
    <row r="75" spans="1:5" s="59" customFormat="1" ht="19.5" customHeight="1" thickBot="1">
      <c r="A75" s="75" t="s">
        <v>164</v>
      </c>
      <c r="B75" s="98">
        <f>SUM(B76:B79)</f>
        <v>74800</v>
      </c>
      <c r="C75" s="98">
        <f>SUM(C76:C79)</f>
        <v>0</v>
      </c>
      <c r="D75" s="92">
        <f aca="true" t="shared" si="6" ref="D75:D81">IF(B75=0,"   ",C75/B75*100)</f>
        <v>0</v>
      </c>
      <c r="E75" s="93">
        <f aca="true" t="shared" si="7" ref="E75:E81">C75-B75</f>
        <v>-74800</v>
      </c>
    </row>
    <row r="76" spans="1:5" s="59" customFormat="1" ht="17.25" customHeight="1" thickBot="1">
      <c r="A76" s="145" t="s">
        <v>165</v>
      </c>
      <c r="B76" s="236">
        <v>0</v>
      </c>
      <c r="C76" s="98">
        <v>0</v>
      </c>
      <c r="D76" s="92" t="str">
        <f t="shared" si="6"/>
        <v>   </v>
      </c>
      <c r="E76" s="93">
        <f t="shared" si="7"/>
        <v>0</v>
      </c>
    </row>
    <row r="77" spans="1:5" s="59" customFormat="1" ht="17.25" customHeight="1">
      <c r="A77" s="145" t="s">
        <v>187</v>
      </c>
      <c r="B77" s="99">
        <v>0</v>
      </c>
      <c r="C77" s="267">
        <v>0</v>
      </c>
      <c r="D77" s="78" t="str">
        <f t="shared" si="6"/>
        <v>   </v>
      </c>
      <c r="E77" s="68">
        <f t="shared" si="7"/>
        <v>0</v>
      </c>
    </row>
    <row r="78" spans="1:5" s="59" customFormat="1" ht="17.25" customHeight="1">
      <c r="A78" s="145" t="s">
        <v>312</v>
      </c>
      <c r="B78" s="31">
        <v>70300</v>
      </c>
      <c r="C78" s="31">
        <v>0</v>
      </c>
      <c r="D78" s="78">
        <f t="shared" si="6"/>
        <v>0</v>
      </c>
      <c r="E78" s="68">
        <f t="shared" si="7"/>
        <v>-70300</v>
      </c>
    </row>
    <row r="79" spans="1:5" s="59" customFormat="1" ht="17.25" customHeight="1">
      <c r="A79" s="145" t="s">
        <v>313</v>
      </c>
      <c r="B79" s="31">
        <v>4500</v>
      </c>
      <c r="C79" s="31">
        <v>0</v>
      </c>
      <c r="D79" s="78">
        <f t="shared" si="6"/>
        <v>0</v>
      </c>
      <c r="E79" s="68">
        <f t="shared" si="7"/>
        <v>-4500</v>
      </c>
    </row>
    <row r="80" spans="1:5" s="59" customFormat="1" ht="17.25" customHeight="1" thickBot="1">
      <c r="A80" s="145" t="s">
        <v>227</v>
      </c>
      <c r="B80" s="187">
        <f>SUM(B81)</f>
        <v>0</v>
      </c>
      <c r="C80" s="187">
        <f>SUM(C81)</f>
        <v>0</v>
      </c>
      <c r="D80" s="78" t="str">
        <f t="shared" si="6"/>
        <v>   </v>
      </c>
      <c r="E80" s="79">
        <f t="shared" si="7"/>
        <v>0</v>
      </c>
    </row>
    <row r="81" spans="1:5" s="59" customFormat="1" ht="17.25" customHeight="1">
      <c r="A81" s="145" t="s">
        <v>228</v>
      </c>
      <c r="B81" s="99">
        <v>0</v>
      </c>
      <c r="C81" s="99">
        <v>0</v>
      </c>
      <c r="D81" s="78" t="str">
        <f t="shared" si="6"/>
        <v>   </v>
      </c>
      <c r="E81" s="79">
        <f t="shared" si="7"/>
        <v>0</v>
      </c>
    </row>
    <row r="82" spans="1:5" s="59" customFormat="1" ht="18.75" customHeight="1">
      <c r="A82" s="145" t="s">
        <v>130</v>
      </c>
      <c r="B82" s="96">
        <f>SUM(B83:B84,B88:B93)</f>
        <v>1592600</v>
      </c>
      <c r="C82" s="96">
        <f>SUM(C83:C84,C88:C93)</f>
        <v>280424.08</v>
      </c>
      <c r="D82" s="78">
        <f t="shared" si="4"/>
        <v>17.60794173050358</v>
      </c>
      <c r="E82" s="79">
        <f t="shared" si="5"/>
        <v>-1312175.92</v>
      </c>
    </row>
    <row r="83" spans="1:5" s="59" customFormat="1" ht="19.5" customHeight="1">
      <c r="A83" s="75" t="s">
        <v>148</v>
      </c>
      <c r="B83" s="31">
        <v>50000</v>
      </c>
      <c r="C83" s="31"/>
      <c r="D83" s="78">
        <f t="shared" si="4"/>
        <v>0</v>
      </c>
      <c r="E83" s="68">
        <f t="shared" si="5"/>
        <v>-50000</v>
      </c>
    </row>
    <row r="84" spans="1:5" s="59" customFormat="1" ht="19.5" customHeight="1">
      <c r="A84" s="104" t="s">
        <v>203</v>
      </c>
      <c r="B84" s="31">
        <f>SUM(B85:B87)</f>
        <v>0</v>
      </c>
      <c r="C84" s="31">
        <f>SUM(C85:C87)</f>
        <v>0</v>
      </c>
      <c r="D84" s="78" t="str">
        <f>IF(B84=0,"   ",C84/B84*100)</f>
        <v>   </v>
      </c>
      <c r="E84" s="68">
        <f>C84-B84</f>
        <v>0</v>
      </c>
    </row>
    <row r="85" spans="1:5" s="59" customFormat="1" ht="29.25" customHeight="1">
      <c r="A85" s="104" t="s">
        <v>213</v>
      </c>
      <c r="B85" s="31">
        <v>0</v>
      </c>
      <c r="C85" s="31">
        <v>0</v>
      </c>
      <c r="D85" s="78" t="str">
        <f>IF(B85=0,"   ",C85/B85*100)</f>
        <v>   </v>
      </c>
      <c r="E85" s="68">
        <f>C85-B85</f>
        <v>0</v>
      </c>
    </row>
    <row r="86" spans="1:5" s="59" customFormat="1" ht="27" customHeight="1">
      <c r="A86" s="104" t="s">
        <v>204</v>
      </c>
      <c r="B86" s="31">
        <v>0</v>
      </c>
      <c r="C86" s="31">
        <v>0</v>
      </c>
      <c r="D86" s="78" t="str">
        <f>IF(B86=0,"   ",C86/B86*100)</f>
        <v>   </v>
      </c>
      <c r="E86" s="68">
        <f>C86-B86</f>
        <v>0</v>
      </c>
    </row>
    <row r="87" spans="1:5" s="59" customFormat="1" ht="26.25" customHeight="1">
      <c r="A87" s="104" t="s">
        <v>214</v>
      </c>
      <c r="B87" s="31">
        <v>0</v>
      </c>
      <c r="C87" s="31">
        <v>0</v>
      </c>
      <c r="D87" s="78" t="str">
        <f>IF(B87=0,"   ",C87/B87*100)</f>
        <v>   </v>
      </c>
      <c r="E87" s="68">
        <f>C87-B87</f>
        <v>0</v>
      </c>
    </row>
    <row r="88" spans="1:5" s="59" customFormat="1" ht="33.75" customHeight="1">
      <c r="A88" s="71" t="s">
        <v>245</v>
      </c>
      <c r="B88" s="31">
        <v>446400</v>
      </c>
      <c r="C88" s="31">
        <v>76474.08</v>
      </c>
      <c r="D88" s="78">
        <f t="shared" si="4"/>
        <v>17.131290322580643</v>
      </c>
      <c r="E88" s="103">
        <f t="shared" si="5"/>
        <v>-369925.92</v>
      </c>
    </row>
    <row r="89" spans="1:5" s="59" customFormat="1" ht="27" customHeight="1">
      <c r="A89" s="71" t="s">
        <v>246</v>
      </c>
      <c r="B89" s="31">
        <v>54600</v>
      </c>
      <c r="C89" s="31">
        <v>0</v>
      </c>
      <c r="D89" s="78">
        <f t="shared" si="4"/>
        <v>0</v>
      </c>
      <c r="E89" s="103">
        <f t="shared" si="5"/>
        <v>-54600</v>
      </c>
    </row>
    <row r="90" spans="1:5" s="59" customFormat="1" ht="27" customHeight="1">
      <c r="A90" s="71" t="s">
        <v>247</v>
      </c>
      <c r="B90" s="31">
        <v>570600</v>
      </c>
      <c r="C90" s="31">
        <v>0</v>
      </c>
      <c r="D90" s="78">
        <f t="shared" si="4"/>
        <v>0</v>
      </c>
      <c r="E90" s="103">
        <f t="shared" si="5"/>
        <v>-570600</v>
      </c>
    </row>
    <row r="91" spans="1:5" s="59" customFormat="1" ht="27" customHeight="1">
      <c r="A91" s="71" t="s">
        <v>248</v>
      </c>
      <c r="B91" s="31">
        <v>63400</v>
      </c>
      <c r="C91" s="31">
        <v>0</v>
      </c>
      <c r="D91" s="78">
        <f t="shared" si="4"/>
        <v>0</v>
      </c>
      <c r="E91" s="103">
        <f t="shared" si="5"/>
        <v>-63400</v>
      </c>
    </row>
    <row r="92" spans="1:5" s="59" customFormat="1" ht="27" customHeight="1">
      <c r="A92" s="71" t="s">
        <v>249</v>
      </c>
      <c r="B92" s="31">
        <v>366800</v>
      </c>
      <c r="C92" s="31">
        <v>183555</v>
      </c>
      <c r="D92" s="78">
        <f t="shared" si="4"/>
        <v>50.04225736095965</v>
      </c>
      <c r="E92" s="103">
        <f t="shared" si="5"/>
        <v>-183245</v>
      </c>
    </row>
    <row r="93" spans="1:5" s="59" customFormat="1" ht="26.25">
      <c r="A93" s="71" t="s">
        <v>250</v>
      </c>
      <c r="B93" s="31">
        <v>40800</v>
      </c>
      <c r="C93" s="31">
        <v>20395</v>
      </c>
      <c r="D93" s="65">
        <f t="shared" si="4"/>
        <v>49.98774509803921</v>
      </c>
      <c r="E93" s="68">
        <f t="shared" si="5"/>
        <v>-20405</v>
      </c>
    </row>
    <row r="94" spans="1:5" s="59" customFormat="1" ht="12.75">
      <c r="A94" s="95" t="s">
        <v>175</v>
      </c>
      <c r="B94" s="31">
        <f>SUM(B95+B96)</f>
        <v>18173.66</v>
      </c>
      <c r="C94" s="31">
        <f>SUM(C95+C96)</f>
        <v>0</v>
      </c>
      <c r="D94" s="65">
        <f>IF(B94=0,"   ",C94/B94*100)</f>
        <v>0</v>
      </c>
      <c r="E94" s="68">
        <f>C94-B94</f>
        <v>-18173.66</v>
      </c>
    </row>
    <row r="95" spans="1:5" s="59" customFormat="1" ht="26.25">
      <c r="A95" s="104" t="s">
        <v>154</v>
      </c>
      <c r="B95" s="31">
        <v>0</v>
      </c>
      <c r="C95" s="31">
        <v>0</v>
      </c>
      <c r="D95" s="65" t="str">
        <f>IF(B95=0,"   ",C95/B95*100)</f>
        <v>   </v>
      </c>
      <c r="E95" s="68">
        <f>C95-B95</f>
        <v>0</v>
      </c>
    </row>
    <row r="96" spans="1:5" s="59" customFormat="1" ht="27" thickBot="1">
      <c r="A96" s="75" t="s">
        <v>176</v>
      </c>
      <c r="B96" s="31">
        <v>18173.66</v>
      </c>
      <c r="C96" s="31">
        <v>0</v>
      </c>
      <c r="D96" s="65">
        <f>IF(B96=0,"   ",C96/B96*100)</f>
        <v>0</v>
      </c>
      <c r="E96" s="68">
        <f>C96-B96</f>
        <v>-18173.66</v>
      </c>
    </row>
    <row r="97" spans="1:5" s="59" customFormat="1" ht="13.5" thickBot="1">
      <c r="A97" s="97" t="s">
        <v>13</v>
      </c>
      <c r="B97" s="31">
        <f>B112+B100+B102+B121</f>
        <v>1081839.71</v>
      </c>
      <c r="C97" s="31">
        <f>C112+C100+C102+C121</f>
        <v>670519.99</v>
      </c>
      <c r="D97" s="65">
        <f>IF(B97=0,"   ",C97/B97*100)</f>
        <v>61.97960601760496</v>
      </c>
      <c r="E97" s="68">
        <f>C97-B97</f>
        <v>-411319.72</v>
      </c>
    </row>
    <row r="98" spans="1:5" s="59" customFormat="1" ht="12.75" customHeight="1" hidden="1">
      <c r="A98" s="95" t="s">
        <v>40</v>
      </c>
      <c r="B98" s="96" t="e">
        <f>SUM(#REF!,B112,#REF!)</f>
        <v>#REF!</v>
      </c>
      <c r="C98" s="96" t="e">
        <f>SUM(#REF!,C112,#REF!)</f>
        <v>#REF!</v>
      </c>
      <c r="D98" s="78" t="e">
        <f>IF(#REF!=0,"   ",C98/#REF!)</f>
        <v>#REF!</v>
      </c>
      <c r="E98" s="79" t="e">
        <f>C98-#REF!</f>
        <v>#REF!</v>
      </c>
    </row>
    <row r="99" spans="1:5" s="59" customFormat="1" ht="12.75" customHeight="1" hidden="1">
      <c r="A99" s="41" t="s">
        <v>18</v>
      </c>
      <c r="B99" s="31">
        <v>851563</v>
      </c>
      <c r="C99" s="68">
        <v>851563</v>
      </c>
      <c r="D99" s="65" t="e">
        <f>IF(#REF!=0,"   ",C99/#REF!)</f>
        <v>#REF!</v>
      </c>
      <c r="E99" s="66" t="e">
        <f>C99-#REF!</f>
        <v>#REF!</v>
      </c>
    </row>
    <row r="100" spans="1:5" s="59" customFormat="1" ht="12.75" customHeight="1">
      <c r="A100" s="41" t="s">
        <v>155</v>
      </c>
      <c r="B100" s="31">
        <f>SUM(B101)</f>
        <v>0</v>
      </c>
      <c r="C100" s="31">
        <f>SUM(C101)</f>
        <v>0</v>
      </c>
      <c r="D100" s="65" t="str">
        <f aca="true" t="shared" si="8" ref="D100:D109">IF(B100=0,"   ",C100/B100*100)</f>
        <v>   </v>
      </c>
      <c r="E100" s="68">
        <f aca="true" t="shared" si="9" ref="E100:E111">C100-B100</f>
        <v>0</v>
      </c>
    </row>
    <row r="101" spans="1:5" s="59" customFormat="1" ht="12.75" customHeight="1">
      <c r="A101" s="41" t="s">
        <v>156</v>
      </c>
      <c r="B101" s="31">
        <v>0</v>
      </c>
      <c r="C101" s="31">
        <v>0</v>
      </c>
      <c r="D101" s="65" t="str">
        <f t="shared" si="8"/>
        <v>   </v>
      </c>
      <c r="E101" s="68">
        <f t="shared" si="9"/>
        <v>0</v>
      </c>
    </row>
    <row r="102" spans="1:5" s="59" customFormat="1" ht="12.75" customHeight="1">
      <c r="A102" s="41" t="s">
        <v>149</v>
      </c>
      <c r="B102" s="31">
        <f>SUM(B103:B107,B111)</f>
        <v>795407.51</v>
      </c>
      <c r="C102" s="31">
        <f>SUM(C103:C107,C111)</f>
        <v>590526.34</v>
      </c>
      <c r="D102" s="65">
        <f t="shared" si="8"/>
        <v>74.24198697847346</v>
      </c>
      <c r="E102" s="68">
        <f t="shared" si="9"/>
        <v>-204881.17000000004</v>
      </c>
    </row>
    <row r="103" spans="1:5" s="59" customFormat="1" ht="26.25" customHeight="1">
      <c r="A103" s="16" t="s">
        <v>193</v>
      </c>
      <c r="B103" s="31">
        <v>0</v>
      </c>
      <c r="C103" s="31">
        <v>0</v>
      </c>
      <c r="D103" s="65" t="str">
        <f>IF(B103=0,"   ",C103/B103*100)</f>
        <v>   </v>
      </c>
      <c r="E103" s="68">
        <f>C103-B103</f>
        <v>0</v>
      </c>
    </row>
    <row r="104" spans="1:5" s="59" customFormat="1" ht="12.75" customHeight="1">
      <c r="A104" s="298" t="s">
        <v>158</v>
      </c>
      <c r="B104" s="31">
        <v>0</v>
      </c>
      <c r="C104" s="31">
        <v>0</v>
      </c>
      <c r="D104" s="65" t="str">
        <f>IF(B104=0,"   ",C104/B104*100)</f>
        <v>   </v>
      </c>
      <c r="E104" s="68">
        <f>C104-B104</f>
        <v>0</v>
      </c>
    </row>
    <row r="105" spans="1:5" s="59" customFormat="1" ht="12.75" customHeight="1">
      <c r="A105" s="16" t="s">
        <v>283</v>
      </c>
      <c r="B105" s="31">
        <v>0</v>
      </c>
      <c r="C105" s="31">
        <v>0</v>
      </c>
      <c r="D105" s="65" t="str">
        <f t="shared" si="8"/>
        <v>   </v>
      </c>
      <c r="E105" s="68">
        <f t="shared" si="9"/>
        <v>0</v>
      </c>
    </row>
    <row r="106" spans="1:5" s="59" customFormat="1" ht="12.75" customHeight="1">
      <c r="A106" s="16" t="s">
        <v>292</v>
      </c>
      <c r="B106" s="96">
        <v>0</v>
      </c>
      <c r="C106" s="96">
        <v>0</v>
      </c>
      <c r="D106" s="65" t="str">
        <f t="shared" si="8"/>
        <v>   </v>
      </c>
      <c r="E106" s="68">
        <f t="shared" si="9"/>
        <v>0</v>
      </c>
    </row>
    <row r="107" spans="1:5" s="59" customFormat="1" ht="18.75" customHeight="1">
      <c r="A107" s="104" t="s">
        <v>203</v>
      </c>
      <c r="B107" s="117">
        <f>SUM(B108+B109+B110)</f>
        <v>0</v>
      </c>
      <c r="C107" s="117">
        <f>SUM(C108+C109+C110)</f>
        <v>0</v>
      </c>
      <c r="D107" s="65" t="str">
        <f t="shared" si="8"/>
        <v>   </v>
      </c>
      <c r="E107" s="68">
        <f t="shared" si="9"/>
        <v>0</v>
      </c>
    </row>
    <row r="108" spans="1:5" s="59" customFormat="1" ht="22.5" customHeight="1">
      <c r="A108" s="104" t="s">
        <v>185</v>
      </c>
      <c r="B108" s="31">
        <v>0</v>
      </c>
      <c r="C108" s="31">
        <v>0</v>
      </c>
      <c r="D108" s="65" t="str">
        <f t="shared" si="8"/>
        <v>   </v>
      </c>
      <c r="E108" s="68">
        <f t="shared" si="9"/>
        <v>0</v>
      </c>
    </row>
    <row r="109" spans="1:5" s="59" customFormat="1" ht="27" customHeight="1">
      <c r="A109" s="104" t="s">
        <v>204</v>
      </c>
      <c r="B109" s="31">
        <v>0</v>
      </c>
      <c r="C109" s="31">
        <v>0</v>
      </c>
      <c r="D109" s="65" t="str">
        <f t="shared" si="8"/>
        <v>   </v>
      </c>
      <c r="E109" s="68">
        <f t="shared" si="9"/>
        <v>0</v>
      </c>
    </row>
    <row r="110" spans="1:5" s="59" customFormat="1" ht="28.5" customHeight="1">
      <c r="A110" s="104" t="s">
        <v>214</v>
      </c>
      <c r="B110" s="31">
        <v>0</v>
      </c>
      <c r="C110" s="31">
        <v>0</v>
      </c>
      <c r="D110" s="65" t="str">
        <f>IF(B110=0,"   ",C110/B110*100)</f>
        <v>   </v>
      </c>
      <c r="E110" s="68">
        <f t="shared" si="9"/>
        <v>0</v>
      </c>
    </row>
    <row r="111" spans="1:5" s="59" customFormat="1" ht="12.75" customHeight="1">
      <c r="A111" s="16" t="s">
        <v>321</v>
      </c>
      <c r="B111" s="31">
        <v>795407.51</v>
      </c>
      <c r="C111" s="31">
        <v>590526.34</v>
      </c>
      <c r="D111" s="65">
        <f>IF(B111=0,"   ",C111/B111*100)</f>
        <v>74.24198697847346</v>
      </c>
      <c r="E111" s="68">
        <f t="shared" si="9"/>
        <v>-204881.17000000004</v>
      </c>
    </row>
    <row r="112" spans="1:5" s="59" customFormat="1" ht="12.75">
      <c r="A112" s="41" t="s">
        <v>58</v>
      </c>
      <c r="B112" s="31">
        <f>SUM(B113:B117)</f>
        <v>286332.2</v>
      </c>
      <c r="C112" s="31">
        <f>SUM(C113:C117)</f>
        <v>79993.65</v>
      </c>
      <c r="D112" s="65">
        <f aca="true" t="shared" si="10" ref="D112:D127">IF(B112=0,"   ",C112/B112*100)</f>
        <v>27.93735737720033</v>
      </c>
      <c r="E112" s="66">
        <f aca="true" t="shared" si="11" ref="E112:E127">C112-B112</f>
        <v>-206338.55000000002</v>
      </c>
    </row>
    <row r="113" spans="1:5" s="59" customFormat="1" ht="15" customHeight="1">
      <c r="A113" s="41" t="s">
        <v>56</v>
      </c>
      <c r="B113" s="31">
        <v>215000</v>
      </c>
      <c r="C113" s="68">
        <v>79993.65</v>
      </c>
      <c r="D113" s="65">
        <f t="shared" si="10"/>
        <v>37.206348837209305</v>
      </c>
      <c r="E113" s="66">
        <f t="shared" si="11"/>
        <v>-135006.35</v>
      </c>
    </row>
    <row r="114" spans="1:5" s="59" customFormat="1" ht="32.25" customHeight="1">
      <c r="A114" s="104" t="s">
        <v>166</v>
      </c>
      <c r="B114" s="88">
        <v>0</v>
      </c>
      <c r="C114" s="73">
        <v>0</v>
      </c>
      <c r="D114" s="89" t="str">
        <f t="shared" si="10"/>
        <v>   </v>
      </c>
      <c r="E114" s="90">
        <f t="shared" si="11"/>
        <v>0</v>
      </c>
    </row>
    <row r="115" spans="1:5" s="59" customFormat="1" ht="17.25" customHeight="1">
      <c r="A115" s="71" t="s">
        <v>57</v>
      </c>
      <c r="B115" s="31">
        <v>0</v>
      </c>
      <c r="C115" s="70">
        <v>0</v>
      </c>
      <c r="D115" s="89" t="str">
        <f t="shared" si="10"/>
        <v>   </v>
      </c>
      <c r="E115" s="90">
        <f t="shared" si="11"/>
        <v>0</v>
      </c>
    </row>
    <row r="116" spans="1:5" s="59" customFormat="1" ht="17.25" customHeight="1">
      <c r="A116" s="104" t="s">
        <v>284</v>
      </c>
      <c r="B116" s="31">
        <v>0</v>
      </c>
      <c r="C116" s="70">
        <v>0</v>
      </c>
      <c r="D116" s="89" t="str">
        <f t="shared" si="10"/>
        <v>   </v>
      </c>
      <c r="E116" s="68">
        <f t="shared" si="11"/>
        <v>0</v>
      </c>
    </row>
    <row r="117" spans="1:5" s="59" customFormat="1" ht="17.25" customHeight="1">
      <c r="A117" s="104" t="s">
        <v>203</v>
      </c>
      <c r="B117" s="25">
        <f>SUM(B118+B119+B120)</f>
        <v>71332.2</v>
      </c>
      <c r="C117" s="25">
        <f>SUM(C118+C119+C120)</f>
        <v>0</v>
      </c>
      <c r="D117" s="65">
        <f t="shared" si="10"/>
        <v>0</v>
      </c>
      <c r="E117" s="68">
        <f t="shared" si="11"/>
        <v>-71332.2</v>
      </c>
    </row>
    <row r="118" spans="1:5" s="59" customFormat="1" ht="15.75" customHeight="1">
      <c r="A118" s="104" t="s">
        <v>185</v>
      </c>
      <c r="B118" s="31">
        <v>71332.2</v>
      </c>
      <c r="C118" s="70">
        <v>0</v>
      </c>
      <c r="D118" s="65">
        <f t="shared" si="10"/>
        <v>0</v>
      </c>
      <c r="E118" s="68">
        <f t="shared" si="11"/>
        <v>-71332.2</v>
      </c>
    </row>
    <row r="119" spans="1:5" s="59" customFormat="1" ht="27.75" customHeight="1">
      <c r="A119" s="104" t="s">
        <v>204</v>
      </c>
      <c r="B119" s="31">
        <v>0</v>
      </c>
      <c r="C119" s="70">
        <v>0</v>
      </c>
      <c r="D119" s="65" t="str">
        <f>IF(B119=0,"   ",C119/B119*100)</f>
        <v>   </v>
      </c>
      <c r="E119" s="68">
        <f>C119-B119</f>
        <v>0</v>
      </c>
    </row>
    <row r="120" spans="1:5" s="59" customFormat="1" ht="27" customHeight="1" thickBot="1">
      <c r="A120" s="104" t="s">
        <v>214</v>
      </c>
      <c r="B120" s="31">
        <v>0</v>
      </c>
      <c r="C120" s="70">
        <v>0</v>
      </c>
      <c r="D120" s="65" t="str">
        <f t="shared" si="10"/>
        <v>   </v>
      </c>
      <c r="E120" s="68">
        <f t="shared" si="11"/>
        <v>0</v>
      </c>
    </row>
    <row r="121" spans="1:5" s="59" customFormat="1" ht="18" customHeight="1" thickBot="1">
      <c r="A121" s="145" t="s">
        <v>337</v>
      </c>
      <c r="B121" s="178">
        <f>SUM(B122)</f>
        <v>100</v>
      </c>
      <c r="C121" s="178">
        <f>SUM(C122)</f>
        <v>0</v>
      </c>
      <c r="D121" s="65">
        <f>IF(B121=0,"   ",C121/B121*100)</f>
        <v>0</v>
      </c>
      <c r="E121" s="68">
        <f>C121-B121</f>
        <v>-100</v>
      </c>
    </row>
    <row r="122" spans="1:5" s="59" customFormat="1" ht="15" customHeight="1">
      <c r="A122" s="145" t="s">
        <v>270</v>
      </c>
      <c r="B122" s="31">
        <v>100</v>
      </c>
      <c r="C122" s="70">
        <v>0</v>
      </c>
      <c r="D122" s="65">
        <f>IF(B122=0,"   ",C122/B122*100)</f>
        <v>0</v>
      </c>
      <c r="E122" s="68">
        <f>C122-B122</f>
        <v>-100</v>
      </c>
    </row>
    <row r="123" spans="1:5" s="59" customFormat="1" ht="15" customHeight="1" thickBot="1">
      <c r="A123" s="333" t="s">
        <v>17</v>
      </c>
      <c r="B123" s="187">
        <v>0</v>
      </c>
      <c r="C123" s="187">
        <v>0</v>
      </c>
      <c r="D123" s="188" t="str">
        <f t="shared" si="10"/>
        <v>   </v>
      </c>
      <c r="E123" s="189">
        <f t="shared" si="11"/>
        <v>0</v>
      </c>
    </row>
    <row r="124" spans="1:5" s="59" customFormat="1" ht="13.5" thickBot="1">
      <c r="A124" s="97" t="s">
        <v>41</v>
      </c>
      <c r="B124" s="178">
        <f>SUM(B125)</f>
        <v>839400</v>
      </c>
      <c r="C124" s="98">
        <f>SUM(C125)</f>
        <v>0</v>
      </c>
      <c r="D124" s="92">
        <f t="shared" si="10"/>
        <v>0</v>
      </c>
      <c r="E124" s="93">
        <f t="shared" si="11"/>
        <v>-839400</v>
      </c>
    </row>
    <row r="125" spans="1:5" s="59" customFormat="1" ht="13.5" thickBot="1">
      <c r="A125" s="95" t="s">
        <v>42</v>
      </c>
      <c r="B125" s="96">
        <v>839400</v>
      </c>
      <c r="C125" s="103">
        <v>0</v>
      </c>
      <c r="D125" s="78">
        <f t="shared" si="10"/>
        <v>0</v>
      </c>
      <c r="E125" s="79">
        <f t="shared" si="11"/>
        <v>-839400</v>
      </c>
    </row>
    <row r="126" spans="1:5" s="59" customFormat="1" ht="19.5" customHeight="1" thickBot="1">
      <c r="A126" s="97" t="s">
        <v>123</v>
      </c>
      <c r="B126" s="178">
        <f>SUM(B127)</f>
        <v>0</v>
      </c>
      <c r="C126" s="178">
        <f>SUM(C127)</f>
        <v>0</v>
      </c>
      <c r="D126" s="92" t="str">
        <f t="shared" si="10"/>
        <v>   </v>
      </c>
      <c r="E126" s="93">
        <f t="shared" si="11"/>
        <v>0</v>
      </c>
    </row>
    <row r="127" spans="1:5" s="59" customFormat="1" ht="16.5" customHeight="1">
      <c r="A127" s="75" t="s">
        <v>43</v>
      </c>
      <c r="B127" s="99">
        <v>0</v>
      </c>
      <c r="C127" s="100">
        <v>0</v>
      </c>
      <c r="D127" s="101" t="str">
        <f t="shared" si="10"/>
        <v>   </v>
      </c>
      <c r="E127" s="102">
        <f t="shared" si="11"/>
        <v>0</v>
      </c>
    </row>
    <row r="128" spans="1:5" s="59" customFormat="1" ht="16.5" customHeight="1">
      <c r="A128" s="30" t="s">
        <v>15</v>
      </c>
      <c r="B128" s="147">
        <f>SUM(B63,B70,B72,B74,B97,B123,B124,B126,)</f>
        <v>4932732.2</v>
      </c>
      <c r="C128" s="147">
        <f>SUM(C63,C70,C72,C74,C97,C123,C124,C126,)</f>
        <v>1177823.27</v>
      </c>
      <c r="D128" s="139">
        <f>IF(B128=0,"   ",C128/B128*100)</f>
        <v>23.877705544201245</v>
      </c>
      <c r="E128" s="140">
        <f>C128-B128</f>
        <v>-3754908.93</v>
      </c>
    </row>
    <row r="129" spans="1:5" s="59" customFormat="1" ht="12.75" customHeight="1" hidden="1">
      <c r="A129" s="75" t="s">
        <v>21</v>
      </c>
      <c r="B129" s="76"/>
      <c r="C129" s="77"/>
      <c r="D129" s="78" t="e">
        <f>IF(#REF!=0,"   ",C129/#REF!)</f>
        <v>#REF!</v>
      </c>
      <c r="E129" s="79" t="e">
        <f>C129-#REF!</f>
        <v>#REF!</v>
      </c>
    </row>
    <row r="130" spans="1:5" s="59" customFormat="1" ht="12.75" customHeight="1" hidden="1">
      <c r="A130" s="71" t="s">
        <v>22</v>
      </c>
      <c r="B130" s="72">
        <v>1122919</v>
      </c>
      <c r="C130" s="73">
        <v>815256</v>
      </c>
      <c r="D130" s="65" t="e">
        <f>IF(#REF!=0,"   ",C130/#REF!)</f>
        <v>#REF!</v>
      </c>
      <c r="E130" s="66" t="e">
        <f>C130-#REF!</f>
        <v>#REF!</v>
      </c>
    </row>
    <row r="131" spans="1:5" s="59" customFormat="1" ht="13.5" customHeight="1" hidden="1" thickBot="1">
      <c r="A131" s="71" t="s">
        <v>23</v>
      </c>
      <c r="B131" s="72">
        <v>1700000</v>
      </c>
      <c r="C131" s="94">
        <v>1700000</v>
      </c>
      <c r="D131" s="89" t="e">
        <f>IF(#REF!=0,"   ",C131/#REF!)</f>
        <v>#REF!</v>
      </c>
      <c r="E131" s="90" t="e">
        <f>C131-#REF!</f>
        <v>#REF!</v>
      </c>
    </row>
    <row r="132" spans="1:5" s="59" customFormat="1" ht="33" customHeight="1">
      <c r="A132" s="80" t="s">
        <v>303</v>
      </c>
      <c r="B132" s="80"/>
      <c r="C132" s="337"/>
      <c r="D132" s="337"/>
      <c r="E132" s="337"/>
    </row>
    <row r="133" spans="1:5" s="59" customFormat="1" ht="15.75" customHeight="1">
      <c r="A133" s="80" t="s">
        <v>153</v>
      </c>
      <c r="B133" s="80"/>
      <c r="C133" s="81" t="s">
        <v>304</v>
      </c>
      <c r="D133" s="82"/>
      <c r="E133" s="83"/>
    </row>
    <row r="134" spans="3:5" s="7" customFormat="1" ht="12.75">
      <c r="C134" s="6"/>
      <c r="E134" s="2"/>
    </row>
    <row r="135" spans="3:5" s="7" customFormat="1" ht="12.75">
      <c r="C135" s="6"/>
      <c r="E135" s="2"/>
    </row>
    <row r="136" spans="3:5" s="7" customFormat="1" ht="12.75">
      <c r="C136" s="6"/>
      <c r="E136" s="2"/>
    </row>
    <row r="137" spans="3:5" s="7" customFormat="1" ht="12.75">
      <c r="C137" s="6"/>
      <c r="E137" s="2"/>
    </row>
    <row r="138" spans="3:5" s="7" customFormat="1" ht="12.75">
      <c r="C138" s="6"/>
      <c r="E138" s="2"/>
    </row>
    <row r="139" spans="3:5" s="7" customFormat="1" ht="12.75">
      <c r="C139" s="6"/>
      <c r="E139" s="2"/>
    </row>
    <row r="140" spans="3:5" s="7" customFormat="1" ht="12.75">
      <c r="C140" s="6"/>
      <c r="E140" s="2"/>
    </row>
    <row r="141" spans="3:5" s="7" customFormat="1" ht="12.75">
      <c r="C141" s="6"/>
      <c r="E141" s="2"/>
    </row>
    <row r="142" spans="3:5" s="7" customFormat="1" ht="12.75">
      <c r="C142" s="6"/>
      <c r="E142" s="2"/>
    </row>
    <row r="143" spans="3:5" s="7" customFormat="1" ht="12.75">
      <c r="C143" s="6"/>
      <c r="E143" s="2"/>
    </row>
  </sheetData>
  <sheetProtection/>
  <mergeCells count="2">
    <mergeCell ref="C132:E132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7.25">
      <c r="A1" s="339" t="s">
        <v>333</v>
      </c>
      <c r="B1" s="339"/>
      <c r="C1" s="339"/>
      <c r="D1" s="339"/>
      <c r="E1" s="339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305</v>
      </c>
      <c r="C4" s="32" t="s">
        <v>323</v>
      </c>
      <c r="D4" s="19" t="s">
        <v>310</v>
      </c>
      <c r="E4" s="36" t="s">
        <v>307</v>
      </c>
    </row>
    <row r="5" spans="1:5" ht="12.75">
      <c r="A5" s="13">
        <v>1</v>
      </c>
      <c r="B5" s="74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46">
        <f>SUM(B8)</f>
        <v>11800</v>
      </c>
      <c r="C7" s="146">
        <f>SUM(C8)</f>
        <v>1927.27</v>
      </c>
      <c r="D7" s="26">
        <f aca="true" t="shared" si="0" ref="D7:D96">IF(B7=0,"   ",C7/B7*100)</f>
        <v>16.332796610169492</v>
      </c>
      <c r="E7" s="42">
        <f aca="true" t="shared" si="1" ref="E7:E97">C7-B7</f>
        <v>-9872.73</v>
      </c>
    </row>
    <row r="8" spans="1:5" ht="12.75">
      <c r="A8" s="16" t="s">
        <v>44</v>
      </c>
      <c r="B8" s="84">
        <v>11800</v>
      </c>
      <c r="C8" s="228">
        <v>1927.27</v>
      </c>
      <c r="D8" s="26">
        <f t="shared" si="0"/>
        <v>16.332796610169492</v>
      </c>
      <c r="E8" s="42">
        <f t="shared" si="1"/>
        <v>-9872.73</v>
      </c>
    </row>
    <row r="9" spans="1:5" ht="16.5" customHeight="1">
      <c r="A9" s="64" t="s">
        <v>136</v>
      </c>
      <c r="B9" s="191">
        <f>SUM(B10)</f>
        <v>525500</v>
      </c>
      <c r="C9" s="191">
        <f>SUM(C10)</f>
        <v>123443.64</v>
      </c>
      <c r="D9" s="26">
        <f t="shared" si="0"/>
        <v>23.490702188392007</v>
      </c>
      <c r="E9" s="42">
        <f t="shared" si="1"/>
        <v>-402056.36</v>
      </c>
    </row>
    <row r="10" spans="1:5" ht="12.75">
      <c r="A10" s="41" t="s">
        <v>137</v>
      </c>
      <c r="B10" s="192">
        <v>525500</v>
      </c>
      <c r="C10" s="228">
        <v>123443.64</v>
      </c>
      <c r="D10" s="26">
        <f t="shared" si="0"/>
        <v>23.490702188392007</v>
      </c>
      <c r="E10" s="42">
        <f t="shared" si="1"/>
        <v>-402056.36</v>
      </c>
    </row>
    <row r="11" spans="1:5" ht="16.5" customHeight="1">
      <c r="A11" s="16" t="s">
        <v>7</v>
      </c>
      <c r="B11" s="192">
        <f>SUM(B12:B12)</f>
        <v>0</v>
      </c>
      <c r="C11" s="192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192">
        <v>0</v>
      </c>
      <c r="C12" s="193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192">
        <f>SUM(B14:B15)</f>
        <v>239000</v>
      </c>
      <c r="C13" s="192">
        <f>SUM(C14:C15)</f>
        <v>31597.93</v>
      </c>
      <c r="D13" s="26">
        <f t="shared" si="0"/>
        <v>13.220891213389121</v>
      </c>
      <c r="E13" s="42">
        <f t="shared" si="1"/>
        <v>-207402.07</v>
      </c>
    </row>
    <row r="14" spans="1:5" ht="15" customHeight="1">
      <c r="A14" s="16" t="s">
        <v>110</v>
      </c>
      <c r="B14" s="192">
        <v>28000</v>
      </c>
      <c r="C14" s="228">
        <v>224.06</v>
      </c>
      <c r="D14" s="26">
        <f t="shared" si="0"/>
        <v>0.8002142857142857</v>
      </c>
      <c r="E14" s="42">
        <f t="shared" si="1"/>
        <v>-27775.94</v>
      </c>
    </row>
    <row r="15" spans="1:5" ht="15.75" customHeight="1">
      <c r="A15" s="41" t="s">
        <v>159</v>
      </c>
      <c r="B15" s="192">
        <f>SUM(B16:B17)</f>
        <v>211000</v>
      </c>
      <c r="C15" s="192">
        <f>SUM(C16:C17)</f>
        <v>31373.87</v>
      </c>
      <c r="D15" s="26">
        <f t="shared" si="0"/>
        <v>14.8691327014218</v>
      </c>
      <c r="E15" s="42">
        <f t="shared" si="1"/>
        <v>-179626.13</v>
      </c>
    </row>
    <row r="16" spans="1:5" ht="15.75" customHeight="1">
      <c r="A16" s="41" t="s">
        <v>160</v>
      </c>
      <c r="B16" s="192">
        <v>92000</v>
      </c>
      <c r="C16" s="228">
        <v>23348</v>
      </c>
      <c r="D16" s="26">
        <f t="shared" si="0"/>
        <v>25.378260869565217</v>
      </c>
      <c r="E16" s="42">
        <f t="shared" si="1"/>
        <v>-68652</v>
      </c>
    </row>
    <row r="17" spans="1:5" ht="15.75" customHeight="1">
      <c r="A17" s="41" t="s">
        <v>161</v>
      </c>
      <c r="B17" s="192">
        <v>119000</v>
      </c>
      <c r="C17" s="228">
        <v>8025.87</v>
      </c>
      <c r="D17" s="26">
        <f t="shared" si="0"/>
        <v>6.74442857142857</v>
      </c>
      <c r="E17" s="42">
        <f t="shared" si="1"/>
        <v>-110974.13</v>
      </c>
    </row>
    <row r="18" spans="1:5" ht="15.75" customHeight="1">
      <c r="A18" s="41" t="s">
        <v>194</v>
      </c>
      <c r="B18" s="192">
        <v>0</v>
      </c>
      <c r="C18" s="193">
        <v>0</v>
      </c>
      <c r="D18" s="26" t="str">
        <f t="shared" si="0"/>
        <v>   </v>
      </c>
      <c r="E18" s="42">
        <f t="shared" si="1"/>
        <v>0</v>
      </c>
    </row>
    <row r="19" spans="1:5" ht="28.5" customHeight="1">
      <c r="A19" s="16" t="s">
        <v>89</v>
      </c>
      <c r="B19" s="192">
        <v>0</v>
      </c>
      <c r="C19" s="192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192">
        <f>SUM(B21:B23)</f>
        <v>215800</v>
      </c>
      <c r="C20" s="192">
        <f>SUM(C21:C23)</f>
        <v>0.15</v>
      </c>
      <c r="D20" s="26">
        <f t="shared" si="0"/>
        <v>6.950880444856348E-05</v>
      </c>
      <c r="E20" s="42">
        <f t="shared" si="1"/>
        <v>-215799.85</v>
      </c>
    </row>
    <row r="21" spans="1:5" ht="12.75">
      <c r="A21" s="16" t="s">
        <v>150</v>
      </c>
      <c r="B21" s="192">
        <v>0</v>
      </c>
      <c r="C21" s="193">
        <v>0</v>
      </c>
      <c r="D21" s="26" t="str">
        <f t="shared" si="0"/>
        <v>   </v>
      </c>
      <c r="E21" s="42">
        <f t="shared" si="1"/>
        <v>0</v>
      </c>
    </row>
    <row r="22" spans="1:5" ht="26.25">
      <c r="A22" s="16" t="s">
        <v>259</v>
      </c>
      <c r="B22" s="192">
        <v>0</v>
      </c>
      <c r="C22" s="193">
        <v>0</v>
      </c>
      <c r="D22" s="26" t="str">
        <f>IF(B22=0,"   ",C22/B22*100)</f>
        <v>   </v>
      </c>
      <c r="E22" s="42">
        <f>C22-B22</f>
        <v>0</v>
      </c>
    </row>
    <row r="23" spans="1:5" ht="16.5" customHeight="1">
      <c r="A23" s="41" t="s">
        <v>151</v>
      </c>
      <c r="B23" s="192">
        <v>215800</v>
      </c>
      <c r="C23" s="193">
        <v>0.15</v>
      </c>
      <c r="D23" s="26">
        <f t="shared" si="0"/>
        <v>6.950880444856348E-05</v>
      </c>
      <c r="E23" s="42">
        <f t="shared" si="1"/>
        <v>-215799.85</v>
      </c>
    </row>
    <row r="24" spans="1:5" ht="17.25" customHeight="1">
      <c r="A24" s="39" t="s">
        <v>91</v>
      </c>
      <c r="B24" s="192">
        <v>0</v>
      </c>
      <c r="C24" s="193">
        <v>0</v>
      </c>
      <c r="D24" s="26" t="str">
        <f t="shared" si="0"/>
        <v>   </v>
      </c>
      <c r="E24" s="42">
        <f t="shared" si="1"/>
        <v>0</v>
      </c>
    </row>
    <row r="25" spans="1:5" ht="14.25" customHeight="1">
      <c r="A25" s="16" t="s">
        <v>78</v>
      </c>
      <c r="B25" s="192">
        <f>SUM(B26)</f>
        <v>0</v>
      </c>
      <c r="C25" s="192">
        <f>SUM(C26)</f>
        <v>0</v>
      </c>
      <c r="D25" s="26" t="str">
        <f t="shared" si="0"/>
        <v>   </v>
      </c>
      <c r="E25" s="42">
        <f t="shared" si="1"/>
        <v>0</v>
      </c>
    </row>
    <row r="26" spans="1:5" ht="27" customHeight="1">
      <c r="A26" s="16" t="s">
        <v>167</v>
      </c>
      <c r="B26" s="191">
        <v>0</v>
      </c>
      <c r="C26" s="193"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32</v>
      </c>
      <c r="B27" s="192">
        <f>SUM(B29)</f>
        <v>0</v>
      </c>
      <c r="C27" s="192">
        <f>C29+C28</f>
        <v>0</v>
      </c>
      <c r="D27" s="26" t="str">
        <f t="shared" si="0"/>
        <v>   </v>
      </c>
      <c r="E27" s="42">
        <f t="shared" si="1"/>
        <v>0</v>
      </c>
    </row>
    <row r="28" spans="1:5" ht="15.75" customHeight="1">
      <c r="A28" s="16" t="s">
        <v>125</v>
      </c>
      <c r="B28" s="192">
        <v>0</v>
      </c>
      <c r="C28" s="192">
        <v>0</v>
      </c>
      <c r="D28" s="26"/>
      <c r="E28" s="42">
        <f t="shared" si="1"/>
        <v>0</v>
      </c>
    </row>
    <row r="29" spans="1:5" ht="17.25" customHeight="1">
      <c r="A29" s="16" t="s">
        <v>50</v>
      </c>
      <c r="B29" s="192">
        <v>0</v>
      </c>
      <c r="C29" s="193">
        <v>0</v>
      </c>
      <c r="D29" s="26" t="str">
        <f t="shared" si="0"/>
        <v>   </v>
      </c>
      <c r="E29" s="42">
        <f t="shared" si="1"/>
        <v>0</v>
      </c>
    </row>
    <row r="30" spans="1:5" ht="24" customHeight="1">
      <c r="A30" s="169" t="s">
        <v>10</v>
      </c>
      <c r="B30" s="171">
        <f>B7+B11+B13+B20+B24+B25+B27+B9+B19+B18</f>
        <v>992100</v>
      </c>
      <c r="C30" s="171">
        <f>C7+C11+C13+C20+C24+C25+C27+C9+C19+C18</f>
        <v>156968.99</v>
      </c>
      <c r="D30" s="139">
        <f t="shared" si="0"/>
        <v>15.821891946376374</v>
      </c>
      <c r="E30" s="140">
        <f t="shared" si="1"/>
        <v>-835131.01</v>
      </c>
    </row>
    <row r="31" spans="1:5" ht="21" customHeight="1">
      <c r="A31" s="177" t="s">
        <v>139</v>
      </c>
      <c r="B31" s="182">
        <f>SUM(B32:B35,B38,B39,B44+B45+B46)</f>
        <v>2385600</v>
      </c>
      <c r="C31" s="182">
        <f>SUM(C32:C35,C38,C39,C44+C45+C46)</f>
        <v>496060</v>
      </c>
      <c r="D31" s="139">
        <f t="shared" si="0"/>
        <v>20.7939302481556</v>
      </c>
      <c r="E31" s="140">
        <f t="shared" si="1"/>
        <v>-1889540</v>
      </c>
    </row>
    <row r="32" spans="1:5" ht="15.75" customHeight="1">
      <c r="A32" s="17" t="s">
        <v>34</v>
      </c>
      <c r="B32" s="157">
        <v>1436300</v>
      </c>
      <c r="C32" s="228">
        <v>359060</v>
      </c>
      <c r="D32" s="26">
        <f t="shared" si="0"/>
        <v>24.99895564993386</v>
      </c>
      <c r="E32" s="42">
        <f t="shared" si="1"/>
        <v>-1077240</v>
      </c>
    </row>
    <row r="33" spans="1:5" ht="15.75" customHeight="1">
      <c r="A33" s="17" t="s">
        <v>225</v>
      </c>
      <c r="B33" s="157">
        <v>0</v>
      </c>
      <c r="C33" s="228">
        <v>0</v>
      </c>
      <c r="D33" s="26" t="str">
        <f>IF(B33=0,"   ",C33/B33*100)</f>
        <v>   </v>
      </c>
      <c r="E33" s="42">
        <f>C33-B33</f>
        <v>0</v>
      </c>
    </row>
    <row r="34" spans="1:5" ht="26.25" customHeight="1">
      <c r="A34" s="132" t="s">
        <v>51</v>
      </c>
      <c r="B34" s="133">
        <v>103600</v>
      </c>
      <c r="C34" s="222">
        <v>29000</v>
      </c>
      <c r="D34" s="134">
        <f t="shared" si="0"/>
        <v>27.99227799227799</v>
      </c>
      <c r="E34" s="135">
        <f t="shared" si="1"/>
        <v>-74600</v>
      </c>
    </row>
    <row r="35" spans="1:5" ht="29.25" customHeight="1">
      <c r="A35" s="108" t="s">
        <v>147</v>
      </c>
      <c r="B35" s="192">
        <f>SUM(B36:B37)</f>
        <v>0</v>
      </c>
      <c r="C35" s="192">
        <f>SUM(C36:C37)</f>
        <v>0</v>
      </c>
      <c r="D35" s="26" t="str">
        <f t="shared" si="0"/>
        <v>   </v>
      </c>
      <c r="E35" s="42">
        <f t="shared" si="1"/>
        <v>0</v>
      </c>
    </row>
    <row r="36" spans="1:5" ht="14.25" customHeight="1">
      <c r="A36" s="108" t="s">
        <v>162</v>
      </c>
      <c r="B36" s="192">
        <v>0</v>
      </c>
      <c r="C36" s="193">
        <v>0</v>
      </c>
      <c r="D36" s="26" t="str">
        <f>IF(B36=0,"   ",C36/B36*100)</f>
        <v>   </v>
      </c>
      <c r="E36" s="42">
        <f>C36-B36</f>
        <v>0</v>
      </c>
    </row>
    <row r="37" spans="1:5" ht="29.25" customHeight="1">
      <c r="A37" s="108" t="s">
        <v>163</v>
      </c>
      <c r="B37" s="192">
        <v>0</v>
      </c>
      <c r="C37" s="193">
        <v>0</v>
      </c>
      <c r="D37" s="26" t="str">
        <f>IF(B37=0,"   ",C37/B37*100)</f>
        <v>   </v>
      </c>
      <c r="E37" s="42">
        <f>C37-B37</f>
        <v>0</v>
      </c>
    </row>
    <row r="38" spans="1:5" ht="54.75" customHeight="1">
      <c r="A38" s="16" t="s">
        <v>234</v>
      </c>
      <c r="B38" s="192">
        <v>498700</v>
      </c>
      <c r="C38" s="193">
        <v>0</v>
      </c>
      <c r="D38" s="26">
        <f>IF(B38=0,"   ",C38/B38*100)</f>
        <v>0</v>
      </c>
      <c r="E38" s="42">
        <f>C38-B38</f>
        <v>-498700</v>
      </c>
    </row>
    <row r="39" spans="1:5" ht="18" customHeight="1">
      <c r="A39" s="16" t="s">
        <v>82</v>
      </c>
      <c r="B39" s="192">
        <f>SUM(B40:B43)</f>
        <v>347000</v>
      </c>
      <c r="C39" s="192">
        <f>SUM(C40:C43)</f>
        <v>108000</v>
      </c>
      <c r="D39" s="26">
        <f t="shared" si="0"/>
        <v>31.12391930835735</v>
      </c>
      <c r="E39" s="42">
        <f t="shared" si="1"/>
        <v>-239000</v>
      </c>
    </row>
    <row r="40" spans="1:5" ht="27" customHeight="1">
      <c r="A40" s="46" t="s">
        <v>186</v>
      </c>
      <c r="B40" s="192">
        <v>0</v>
      </c>
      <c r="C40" s="192">
        <v>0</v>
      </c>
      <c r="D40" s="26" t="str">
        <f>IF(B40=0,"   ",C40/B40*100)</f>
        <v>   </v>
      </c>
      <c r="E40" s="42">
        <f>C40-B40</f>
        <v>0</v>
      </c>
    </row>
    <row r="41" spans="1:5" ht="18.75" customHeight="1">
      <c r="A41" s="46" t="s">
        <v>311</v>
      </c>
      <c r="B41" s="192">
        <v>30000</v>
      </c>
      <c r="C41" s="192">
        <v>0</v>
      </c>
      <c r="D41" s="26">
        <f>IF(B41=0,"   ",C41/B41*100)</f>
        <v>0</v>
      </c>
      <c r="E41" s="42">
        <f>C41-B41</f>
        <v>-30000</v>
      </c>
    </row>
    <row r="42" spans="1:5" ht="17.25" customHeight="1">
      <c r="A42" s="46" t="s">
        <v>278</v>
      </c>
      <c r="B42" s="192">
        <v>0</v>
      </c>
      <c r="C42" s="192">
        <v>0</v>
      </c>
      <c r="D42" s="26" t="str">
        <f>IF(B42=0,"   ",C42/B42*100)</f>
        <v>   </v>
      </c>
      <c r="E42" s="42">
        <f>C42-B42</f>
        <v>0</v>
      </c>
    </row>
    <row r="43" spans="1:5" ht="17.25" customHeight="1">
      <c r="A43" s="16" t="s">
        <v>108</v>
      </c>
      <c r="B43" s="192">
        <v>317000</v>
      </c>
      <c r="C43" s="192">
        <v>108000</v>
      </c>
      <c r="D43" s="26">
        <f t="shared" si="0"/>
        <v>34.06940063091483</v>
      </c>
      <c r="E43" s="42">
        <f t="shared" si="1"/>
        <v>-209000</v>
      </c>
    </row>
    <row r="44" spans="1:5" ht="30.75" customHeight="1">
      <c r="A44" s="16" t="s">
        <v>280</v>
      </c>
      <c r="B44" s="192">
        <v>0</v>
      </c>
      <c r="C44" s="192">
        <v>0</v>
      </c>
      <c r="D44" s="26" t="str">
        <f t="shared" si="0"/>
        <v>   </v>
      </c>
      <c r="E44" s="42">
        <f t="shared" si="1"/>
        <v>0</v>
      </c>
    </row>
    <row r="45" spans="1:5" s="7" customFormat="1" ht="42" customHeight="1">
      <c r="A45" s="16" t="s">
        <v>102</v>
      </c>
      <c r="B45" s="192">
        <v>0</v>
      </c>
      <c r="C45" s="193">
        <v>0</v>
      </c>
      <c r="D45" s="26" t="str">
        <f t="shared" si="0"/>
        <v>   </v>
      </c>
      <c r="E45" s="40">
        <f t="shared" si="1"/>
        <v>0</v>
      </c>
    </row>
    <row r="46" spans="1:5" s="7" customFormat="1" ht="21" customHeight="1">
      <c r="A46" s="16" t="s">
        <v>196</v>
      </c>
      <c r="B46" s="192">
        <v>0</v>
      </c>
      <c r="C46" s="193">
        <v>0</v>
      </c>
      <c r="D46" s="26" t="str">
        <f t="shared" si="0"/>
        <v>   </v>
      </c>
      <c r="E46" s="40">
        <f t="shared" si="1"/>
        <v>0</v>
      </c>
    </row>
    <row r="47" spans="1:5" ht="26.25" customHeight="1">
      <c r="A47" s="169" t="s">
        <v>11</v>
      </c>
      <c r="B47" s="147">
        <f>SUM(B30,B31,)</f>
        <v>3377700</v>
      </c>
      <c r="C47" s="147">
        <f>SUM(C30,C31,)</f>
        <v>653028.99</v>
      </c>
      <c r="D47" s="139">
        <f t="shared" si="0"/>
        <v>19.333540278888</v>
      </c>
      <c r="E47" s="140">
        <f t="shared" si="1"/>
        <v>-2724671.01</v>
      </c>
    </row>
    <row r="48" spans="1:5" ht="14.25" customHeight="1">
      <c r="A48" s="30"/>
      <c r="B48" s="157"/>
      <c r="C48" s="149"/>
      <c r="D48" s="26" t="str">
        <f t="shared" si="0"/>
        <v>   </v>
      </c>
      <c r="E48" s="42"/>
    </row>
    <row r="49" spans="1:5" ht="12.75">
      <c r="A49" s="22" t="s">
        <v>12</v>
      </c>
      <c r="B49" s="44"/>
      <c r="C49" s="45"/>
      <c r="D49" s="26" t="str">
        <f t="shared" si="0"/>
        <v>   </v>
      </c>
      <c r="E49" s="42"/>
    </row>
    <row r="50" spans="1:5" ht="18.75" customHeight="1">
      <c r="A50" s="16" t="s">
        <v>35</v>
      </c>
      <c r="B50" s="27">
        <f>SUM(B51,B53,B54)</f>
        <v>1196800</v>
      </c>
      <c r="C50" s="27">
        <f>SUM(C51,C54)</f>
        <v>239053.71</v>
      </c>
      <c r="D50" s="26">
        <f t="shared" si="0"/>
        <v>19.974407586898398</v>
      </c>
      <c r="E50" s="42">
        <f t="shared" si="1"/>
        <v>-957746.29</v>
      </c>
    </row>
    <row r="51" spans="1:5" ht="16.5" customHeight="1">
      <c r="A51" s="16" t="s">
        <v>36</v>
      </c>
      <c r="B51" s="25">
        <v>1186300</v>
      </c>
      <c r="C51" s="25">
        <v>239053.71</v>
      </c>
      <c r="D51" s="26">
        <f t="shared" si="0"/>
        <v>20.151202056815308</v>
      </c>
      <c r="E51" s="42">
        <f t="shared" si="1"/>
        <v>-947246.29</v>
      </c>
    </row>
    <row r="52" spans="1:5" ht="12.75">
      <c r="A52" s="85" t="s">
        <v>121</v>
      </c>
      <c r="B52" s="25">
        <v>790400</v>
      </c>
      <c r="C52" s="28">
        <v>145533.4</v>
      </c>
      <c r="D52" s="26">
        <f t="shared" si="0"/>
        <v>18.412626518218623</v>
      </c>
      <c r="E52" s="42">
        <f t="shared" si="1"/>
        <v>-644866.6</v>
      </c>
    </row>
    <row r="53" spans="1:5" ht="12.75">
      <c r="A53" s="16" t="s">
        <v>101</v>
      </c>
      <c r="B53" s="25">
        <v>500</v>
      </c>
      <c r="C53" s="27">
        <v>0</v>
      </c>
      <c r="D53" s="26">
        <f t="shared" si="0"/>
        <v>0</v>
      </c>
      <c r="E53" s="42">
        <f t="shared" si="1"/>
        <v>-500</v>
      </c>
    </row>
    <row r="54" spans="1:5" ht="12.75">
      <c r="A54" s="16" t="s">
        <v>52</v>
      </c>
      <c r="B54" s="27">
        <f>SUM(B55)</f>
        <v>10000</v>
      </c>
      <c r="C54" s="27">
        <f>SUM(C55)</f>
        <v>0</v>
      </c>
      <c r="D54" s="26">
        <f t="shared" si="0"/>
        <v>0</v>
      </c>
      <c r="E54" s="42">
        <f t="shared" si="1"/>
        <v>-10000</v>
      </c>
    </row>
    <row r="55" spans="1:5" ht="26.25">
      <c r="A55" s="104" t="s">
        <v>240</v>
      </c>
      <c r="B55" s="25">
        <v>10000</v>
      </c>
      <c r="C55" s="27">
        <v>0</v>
      </c>
      <c r="D55" s="26">
        <f t="shared" si="0"/>
        <v>0</v>
      </c>
      <c r="E55" s="42">
        <f t="shared" si="1"/>
        <v>-10000</v>
      </c>
    </row>
    <row r="56" spans="1:5" ht="19.5" customHeight="1">
      <c r="A56" s="16" t="s">
        <v>49</v>
      </c>
      <c r="B56" s="27">
        <f>SUM(B57)</f>
        <v>103600</v>
      </c>
      <c r="C56" s="27">
        <f>SUM(C57)</f>
        <v>15111.09</v>
      </c>
      <c r="D56" s="26">
        <f t="shared" si="0"/>
        <v>14.585994208494208</v>
      </c>
      <c r="E56" s="42">
        <f t="shared" si="1"/>
        <v>-88488.91</v>
      </c>
    </row>
    <row r="57" spans="1:5" ht="19.5" customHeight="1">
      <c r="A57" s="16" t="s">
        <v>106</v>
      </c>
      <c r="B57" s="25">
        <v>103600</v>
      </c>
      <c r="C57" s="27">
        <v>15111.09</v>
      </c>
      <c r="D57" s="26">
        <f t="shared" si="0"/>
        <v>14.585994208494208</v>
      </c>
      <c r="E57" s="42">
        <f t="shared" si="1"/>
        <v>-88488.91</v>
      </c>
    </row>
    <row r="58" spans="1:5" ht="16.5" customHeight="1">
      <c r="A58" s="16" t="s">
        <v>37</v>
      </c>
      <c r="B58" s="25">
        <f>SUM(B59)</f>
        <v>2000</v>
      </c>
      <c r="C58" s="27">
        <f>SUM(C59)</f>
        <v>0</v>
      </c>
      <c r="D58" s="26">
        <f t="shared" si="0"/>
        <v>0</v>
      </c>
      <c r="E58" s="42">
        <f t="shared" si="1"/>
        <v>-2000</v>
      </c>
    </row>
    <row r="59" spans="1:5" ht="15" customHeight="1">
      <c r="A59" s="41" t="s">
        <v>127</v>
      </c>
      <c r="B59" s="25">
        <v>2000</v>
      </c>
      <c r="C59" s="27">
        <v>0</v>
      </c>
      <c r="D59" s="26">
        <f t="shared" si="0"/>
        <v>0</v>
      </c>
      <c r="E59" s="42">
        <f t="shared" si="1"/>
        <v>-2000</v>
      </c>
    </row>
    <row r="60" spans="1:5" ht="19.5" customHeight="1">
      <c r="A60" s="16" t="s">
        <v>38</v>
      </c>
      <c r="B60" s="25">
        <f>B66+B61+B74</f>
        <v>1509754.99</v>
      </c>
      <c r="C60" s="25">
        <f>C66+C61+C74</f>
        <v>123000</v>
      </c>
      <c r="D60" s="26">
        <f t="shared" si="0"/>
        <v>8.147017285235137</v>
      </c>
      <c r="E60" s="42">
        <f t="shared" si="1"/>
        <v>-1386754.99</v>
      </c>
    </row>
    <row r="61" spans="1:5" ht="19.5" customHeight="1">
      <c r="A61" s="145" t="s">
        <v>164</v>
      </c>
      <c r="B61" s="25">
        <f>SUM(B62:B65)</f>
        <v>32000</v>
      </c>
      <c r="C61" s="25">
        <f>SUM(C62:C65)</f>
        <v>0</v>
      </c>
      <c r="D61" s="26">
        <f>IF(B61=0,"   ",C61/B61*100)</f>
        <v>0</v>
      </c>
      <c r="E61" s="42">
        <f>C61-B61</f>
        <v>-32000</v>
      </c>
    </row>
    <row r="62" spans="1:5" ht="15" customHeight="1">
      <c r="A62" s="145" t="s">
        <v>168</v>
      </c>
      <c r="B62" s="25">
        <v>0</v>
      </c>
      <c r="C62" s="25">
        <v>0</v>
      </c>
      <c r="D62" s="26" t="str">
        <f>IF(B62=0,"   ",C62/B62*100)</f>
        <v>   </v>
      </c>
      <c r="E62" s="42">
        <f>C62-B62</f>
        <v>0</v>
      </c>
    </row>
    <row r="63" spans="1:5" ht="13.5" customHeight="1">
      <c r="A63" s="145" t="s">
        <v>165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3.5" customHeight="1">
      <c r="A64" s="75" t="s">
        <v>312</v>
      </c>
      <c r="B64" s="25">
        <v>30000</v>
      </c>
      <c r="C64" s="25">
        <v>0</v>
      </c>
      <c r="D64" s="26">
        <f>IF(B64=0,"   ",C64/B64*100)</f>
        <v>0</v>
      </c>
      <c r="E64" s="42">
        <f>C64-B64</f>
        <v>-30000</v>
      </c>
    </row>
    <row r="65" spans="1:5" ht="13.5" customHeight="1">
      <c r="A65" s="75" t="s">
        <v>313</v>
      </c>
      <c r="B65" s="25">
        <v>2000</v>
      </c>
      <c r="C65" s="25">
        <v>0</v>
      </c>
      <c r="D65" s="26">
        <f>IF(B65=0,"   ",C65/B65*100)</f>
        <v>0</v>
      </c>
      <c r="E65" s="42">
        <f>C65-B65</f>
        <v>-2000</v>
      </c>
    </row>
    <row r="66" spans="1:5" ht="12.75">
      <c r="A66" s="145" t="s">
        <v>130</v>
      </c>
      <c r="B66" s="25">
        <f>SUM(B67:B73)</f>
        <v>1384260.34</v>
      </c>
      <c r="C66" s="25">
        <f>SUM(C67:C73)</f>
        <v>123000</v>
      </c>
      <c r="D66" s="26">
        <f t="shared" si="0"/>
        <v>8.885611791781884</v>
      </c>
      <c r="E66" s="42">
        <f t="shared" si="1"/>
        <v>-1261260.34</v>
      </c>
    </row>
    <row r="67" spans="1:5" ht="19.5" customHeight="1">
      <c r="A67" s="75" t="s">
        <v>148</v>
      </c>
      <c r="B67" s="25">
        <v>0</v>
      </c>
      <c r="C67" s="25">
        <v>0</v>
      </c>
      <c r="D67" s="26" t="str">
        <f t="shared" si="0"/>
        <v>   </v>
      </c>
      <c r="E67" s="42">
        <f t="shared" si="1"/>
        <v>0</v>
      </c>
    </row>
    <row r="68" spans="1:5" ht="25.5" customHeight="1">
      <c r="A68" s="71" t="s">
        <v>245</v>
      </c>
      <c r="B68" s="25">
        <v>477760.34</v>
      </c>
      <c r="C68" s="25">
        <v>0</v>
      </c>
      <c r="D68" s="26">
        <f t="shared" si="0"/>
        <v>0</v>
      </c>
      <c r="E68" s="42">
        <f t="shared" si="1"/>
        <v>-477760.34</v>
      </c>
    </row>
    <row r="69" spans="1:5" ht="27.75" customHeight="1">
      <c r="A69" s="71" t="s">
        <v>246</v>
      </c>
      <c r="B69" s="25">
        <v>0</v>
      </c>
      <c r="C69" s="25">
        <v>0</v>
      </c>
      <c r="D69" s="26" t="str">
        <f t="shared" si="0"/>
        <v>   </v>
      </c>
      <c r="E69" s="42">
        <f t="shared" si="1"/>
        <v>0</v>
      </c>
    </row>
    <row r="70" spans="1:5" ht="31.5" customHeight="1">
      <c r="A70" s="71" t="s">
        <v>247</v>
      </c>
      <c r="B70" s="25">
        <v>498700</v>
      </c>
      <c r="C70" s="25">
        <v>0</v>
      </c>
      <c r="D70" s="26">
        <f t="shared" si="0"/>
        <v>0</v>
      </c>
      <c r="E70" s="42">
        <f t="shared" si="1"/>
        <v>-498700</v>
      </c>
    </row>
    <row r="71" spans="1:5" ht="27.75" customHeight="1">
      <c r="A71" s="71" t="s">
        <v>248</v>
      </c>
      <c r="B71" s="25">
        <v>55500</v>
      </c>
      <c r="C71" s="25">
        <v>0</v>
      </c>
      <c r="D71" s="26">
        <f t="shared" si="0"/>
        <v>0</v>
      </c>
      <c r="E71" s="42">
        <f t="shared" si="1"/>
        <v>-55500</v>
      </c>
    </row>
    <row r="72" spans="1:5" ht="28.5" customHeight="1">
      <c r="A72" s="71" t="s">
        <v>249</v>
      </c>
      <c r="B72" s="25">
        <v>317000</v>
      </c>
      <c r="C72" s="25">
        <v>108000</v>
      </c>
      <c r="D72" s="26">
        <f t="shared" si="0"/>
        <v>34.06940063091483</v>
      </c>
      <c r="E72" s="42">
        <f t="shared" si="1"/>
        <v>-209000</v>
      </c>
    </row>
    <row r="73" spans="1:5" ht="30" customHeight="1">
      <c r="A73" s="71" t="s">
        <v>250</v>
      </c>
      <c r="B73" s="25">
        <v>35300</v>
      </c>
      <c r="C73" s="25">
        <v>15000</v>
      </c>
      <c r="D73" s="26">
        <f t="shared" si="0"/>
        <v>42.492917847025495</v>
      </c>
      <c r="E73" s="42">
        <f t="shared" si="1"/>
        <v>-20300</v>
      </c>
    </row>
    <row r="74" spans="1:5" ht="24" customHeight="1">
      <c r="A74" s="95" t="s">
        <v>175</v>
      </c>
      <c r="B74" s="25">
        <f>SUM(B75+B76)</f>
        <v>93494.65</v>
      </c>
      <c r="C74" s="25">
        <f>SUM(C75+C76)</f>
        <v>0</v>
      </c>
      <c r="D74" s="26">
        <f>IF(B74=0,"   ",C74/B74*100)</f>
        <v>0</v>
      </c>
      <c r="E74" s="42">
        <f>C74-B74</f>
        <v>-93494.65</v>
      </c>
    </row>
    <row r="75" spans="1:5" ht="24" customHeight="1">
      <c r="A75" s="144" t="s">
        <v>154</v>
      </c>
      <c r="B75" s="25">
        <v>53594.65</v>
      </c>
      <c r="C75" s="25">
        <v>0</v>
      </c>
      <c r="D75" s="26">
        <f>IF(B75=0,"   ",C75/B75*100)</f>
        <v>0</v>
      </c>
      <c r="E75" s="42">
        <f>C75-B75</f>
        <v>-53594.65</v>
      </c>
    </row>
    <row r="76" spans="1:5" ht="30" customHeight="1">
      <c r="A76" s="75" t="s">
        <v>176</v>
      </c>
      <c r="B76" s="25">
        <v>39900</v>
      </c>
      <c r="C76" s="25">
        <v>0</v>
      </c>
      <c r="D76" s="26">
        <f>IF(B76=0,"   ",C76/B76*100)</f>
        <v>0</v>
      </c>
      <c r="E76" s="42">
        <f>C76-B76</f>
        <v>-39900</v>
      </c>
    </row>
    <row r="77" spans="1:5" ht="15" customHeight="1">
      <c r="A77" s="16" t="s">
        <v>13</v>
      </c>
      <c r="B77" s="25">
        <f>SUM(B82,B78)</f>
        <v>457908.25</v>
      </c>
      <c r="C77" s="25">
        <f>SUM(C82,C78)</f>
        <v>41112.18</v>
      </c>
      <c r="D77" s="26">
        <f t="shared" si="0"/>
        <v>8.978257107182499</v>
      </c>
      <c r="E77" s="42">
        <f t="shared" si="1"/>
        <v>-416796.07</v>
      </c>
    </row>
    <row r="78" spans="1:5" ht="15.75" customHeight="1">
      <c r="A78" s="16" t="s">
        <v>90</v>
      </c>
      <c r="B78" s="25">
        <f>SUM(B79:B81)</f>
        <v>77695.4</v>
      </c>
      <c r="C78" s="25">
        <f>SUM(C79:C81)</f>
        <v>0</v>
      </c>
      <c r="D78" s="26">
        <f>IF(B78=0,"   ",C78/B78*100)</f>
        <v>0</v>
      </c>
      <c r="E78" s="42">
        <f>C78-B78</f>
        <v>-77695.4</v>
      </c>
    </row>
    <row r="79" spans="1:5" ht="25.5" customHeight="1">
      <c r="A79" s="16" t="s">
        <v>283</v>
      </c>
      <c r="B79" s="25">
        <v>0</v>
      </c>
      <c r="C79" s="25">
        <v>0</v>
      </c>
      <c r="D79" s="26" t="str">
        <f>IF(B79=0,"   ",C79/B79*100)</f>
        <v>   </v>
      </c>
      <c r="E79" s="42">
        <f>C79-B79</f>
        <v>0</v>
      </c>
    </row>
    <row r="80" spans="1:5" ht="16.5" customHeight="1">
      <c r="A80" s="16" t="s">
        <v>293</v>
      </c>
      <c r="B80" s="25">
        <v>57695.4</v>
      </c>
      <c r="C80" s="25">
        <v>0</v>
      </c>
      <c r="D80" s="26">
        <f>IF(B80=0,"   ",C80/B80*100)</f>
        <v>0</v>
      </c>
      <c r="E80" s="42">
        <f>C80-B80</f>
        <v>-57695.4</v>
      </c>
    </row>
    <row r="81" spans="1:5" ht="16.5" customHeight="1">
      <c r="A81" s="298" t="s">
        <v>158</v>
      </c>
      <c r="B81" s="25">
        <v>20000</v>
      </c>
      <c r="C81" s="25">
        <v>0</v>
      </c>
      <c r="D81" s="26">
        <f>IF(B81=0,"   ",C81/B81*100)</f>
        <v>0</v>
      </c>
      <c r="E81" s="42">
        <f>C81-B81</f>
        <v>-20000</v>
      </c>
    </row>
    <row r="82" spans="1:5" ht="12.75">
      <c r="A82" s="16" t="s">
        <v>58</v>
      </c>
      <c r="B82" s="25">
        <f>B83+B85+B84+B86</f>
        <v>380212.85</v>
      </c>
      <c r="C82" s="25">
        <f>C83+C85+C84+C86</f>
        <v>41112.18</v>
      </c>
      <c r="D82" s="26">
        <f t="shared" si="0"/>
        <v>10.812938068768586</v>
      </c>
      <c r="E82" s="42">
        <f t="shared" si="1"/>
        <v>-339100.67</v>
      </c>
    </row>
    <row r="83" spans="1:5" ht="12.75">
      <c r="A83" s="16" t="s">
        <v>60</v>
      </c>
      <c r="B83" s="25">
        <v>220000</v>
      </c>
      <c r="C83" s="27">
        <v>41112.18</v>
      </c>
      <c r="D83" s="26">
        <f t="shared" si="0"/>
        <v>18.687354545454546</v>
      </c>
      <c r="E83" s="42">
        <f t="shared" si="1"/>
        <v>-178887.82</v>
      </c>
    </row>
    <row r="84" spans="1:5" ht="26.25">
      <c r="A84" s="104" t="s">
        <v>284</v>
      </c>
      <c r="B84" s="25">
        <v>0</v>
      </c>
      <c r="C84" s="27">
        <v>0</v>
      </c>
      <c r="D84" s="26" t="str">
        <f t="shared" si="0"/>
        <v>   </v>
      </c>
      <c r="E84" s="42">
        <f t="shared" si="1"/>
        <v>0</v>
      </c>
    </row>
    <row r="85" spans="1:5" ht="12.75">
      <c r="A85" s="16" t="s">
        <v>59</v>
      </c>
      <c r="B85" s="25">
        <v>160212.85</v>
      </c>
      <c r="C85" s="27">
        <v>0</v>
      </c>
      <c r="D85" s="26">
        <f t="shared" si="0"/>
        <v>0</v>
      </c>
      <c r="E85" s="42">
        <f t="shared" si="1"/>
        <v>-160212.85</v>
      </c>
    </row>
    <row r="86" spans="1:5" ht="26.25">
      <c r="A86" s="104" t="s">
        <v>203</v>
      </c>
      <c r="B86" s="25">
        <f>B87+B88+B89</f>
        <v>0</v>
      </c>
      <c r="C86" s="25">
        <f>C87+C88+C89</f>
        <v>0</v>
      </c>
      <c r="D86" s="26" t="str">
        <f>IF(B86=0,"   ",C86/B86*100)</f>
        <v>   </v>
      </c>
      <c r="E86" s="42">
        <f>C86-B86</f>
        <v>0</v>
      </c>
    </row>
    <row r="87" spans="1:5" ht="26.25">
      <c r="A87" s="104" t="s">
        <v>185</v>
      </c>
      <c r="B87" s="25">
        <v>0</v>
      </c>
      <c r="C87" s="27">
        <v>0</v>
      </c>
      <c r="D87" s="26" t="str">
        <f>IF(B87=0,"   ",C87/B87*100)</f>
        <v>   </v>
      </c>
      <c r="E87" s="42">
        <f>C87-B87</f>
        <v>0</v>
      </c>
    </row>
    <row r="88" spans="1:5" ht="26.25">
      <c r="A88" s="104" t="s">
        <v>197</v>
      </c>
      <c r="B88" s="25">
        <v>0</v>
      </c>
      <c r="C88" s="27">
        <v>0</v>
      </c>
      <c r="D88" s="26" t="str">
        <f>IF(B88=0,"   ",C88/B88*100)</f>
        <v>   </v>
      </c>
      <c r="E88" s="42">
        <f>C88-B88</f>
        <v>0</v>
      </c>
    </row>
    <row r="89" spans="1:5" ht="24.75" customHeight="1">
      <c r="A89" s="104" t="s">
        <v>209</v>
      </c>
      <c r="B89" s="31">
        <v>0</v>
      </c>
      <c r="C89" s="31">
        <v>0</v>
      </c>
      <c r="D89" s="26" t="str">
        <f t="shared" si="0"/>
        <v>   </v>
      </c>
      <c r="E89" s="42">
        <f t="shared" si="1"/>
        <v>0</v>
      </c>
    </row>
    <row r="90" spans="1:5" ht="24.75" customHeight="1">
      <c r="A90" s="18" t="s">
        <v>17</v>
      </c>
      <c r="B90" s="31">
        <v>8000</v>
      </c>
      <c r="C90" s="31">
        <v>0</v>
      </c>
      <c r="D90" s="26">
        <f t="shared" si="0"/>
        <v>0</v>
      </c>
      <c r="E90" s="42">
        <f t="shared" si="1"/>
        <v>-8000</v>
      </c>
    </row>
    <row r="91" spans="1:5" ht="15" customHeight="1">
      <c r="A91" s="16" t="s">
        <v>41</v>
      </c>
      <c r="B91" s="24">
        <f>SUM(B92,)</f>
        <v>103100</v>
      </c>
      <c r="C91" s="24">
        <f>SUM(C92,)</f>
        <v>95770</v>
      </c>
      <c r="D91" s="26">
        <f t="shared" si="0"/>
        <v>92.89039767216295</v>
      </c>
      <c r="E91" s="42">
        <f t="shared" si="1"/>
        <v>-7330</v>
      </c>
    </row>
    <row r="92" spans="1:5" ht="12.75">
      <c r="A92" s="16" t="s">
        <v>42</v>
      </c>
      <c r="B92" s="25">
        <v>103100</v>
      </c>
      <c r="C92" s="27">
        <v>95770</v>
      </c>
      <c r="D92" s="26">
        <f t="shared" si="0"/>
        <v>92.89039767216295</v>
      </c>
      <c r="E92" s="42">
        <f t="shared" si="1"/>
        <v>-7330</v>
      </c>
    </row>
    <row r="93" spans="1:5" ht="12.75">
      <c r="A93" s="16" t="s">
        <v>229</v>
      </c>
      <c r="B93" s="24">
        <f>SUM(B94,)</f>
        <v>6000</v>
      </c>
      <c r="C93" s="24">
        <f>SUM(C94,)</f>
        <v>0</v>
      </c>
      <c r="D93" s="26">
        <f>IF(B93=0,"   ",C93/B93*100)</f>
        <v>0</v>
      </c>
      <c r="E93" s="42">
        <f>C93-B93</f>
        <v>-6000</v>
      </c>
    </row>
    <row r="94" spans="1:5" ht="12.75">
      <c r="A94" s="16" t="s">
        <v>230</v>
      </c>
      <c r="B94" s="25">
        <v>6000</v>
      </c>
      <c r="C94" s="27">
        <v>0</v>
      </c>
      <c r="D94" s="26">
        <f>IF(B94=0,"   ",C94/B94*100)</f>
        <v>0</v>
      </c>
      <c r="E94" s="42">
        <f>C94-B94</f>
        <v>-6000</v>
      </c>
    </row>
    <row r="95" spans="1:5" ht="18" customHeight="1">
      <c r="A95" s="16" t="s">
        <v>123</v>
      </c>
      <c r="B95" s="24">
        <f>SUM(B96,)</f>
        <v>50000</v>
      </c>
      <c r="C95" s="24">
        <f>SUM(C96,)</f>
        <v>0</v>
      </c>
      <c r="D95" s="26">
        <f t="shared" si="0"/>
        <v>0</v>
      </c>
      <c r="E95" s="42">
        <f t="shared" si="1"/>
        <v>-50000</v>
      </c>
    </row>
    <row r="96" spans="1:5" ht="12.75">
      <c r="A96" s="16" t="s">
        <v>43</v>
      </c>
      <c r="B96" s="190">
        <v>50000</v>
      </c>
      <c r="C96" s="28">
        <v>0</v>
      </c>
      <c r="D96" s="26">
        <f t="shared" si="0"/>
        <v>0</v>
      </c>
      <c r="E96" s="42">
        <f t="shared" si="1"/>
        <v>-50000</v>
      </c>
    </row>
    <row r="97" spans="1:5" ht="21" customHeight="1">
      <c r="A97" s="169" t="s">
        <v>15</v>
      </c>
      <c r="B97" s="147">
        <f>SUM(B50,B56,B58,B60,B77,B90,B91,B93,B95,)</f>
        <v>3437163.24</v>
      </c>
      <c r="C97" s="147">
        <f>SUM(C50,C56,C58,C60,C77,C90,C91,C93,C95,)</f>
        <v>514046.98</v>
      </c>
      <c r="D97" s="139">
        <f>IF(B97=0,"   ",C97/B97*100)</f>
        <v>14.955559108097525</v>
      </c>
      <c r="E97" s="140">
        <f t="shared" si="1"/>
        <v>-2923116.2600000002</v>
      </c>
    </row>
    <row r="98" spans="1:5" s="59" customFormat="1" ht="31.5" customHeight="1">
      <c r="A98" s="80" t="s">
        <v>303</v>
      </c>
      <c r="B98" s="80"/>
      <c r="C98" s="337"/>
      <c r="D98" s="337"/>
      <c r="E98" s="337"/>
    </row>
    <row r="99" spans="1:5" s="59" customFormat="1" ht="12" customHeight="1">
      <c r="A99" s="80" t="s">
        <v>153</v>
      </c>
      <c r="B99" s="80"/>
      <c r="C99" s="81" t="s">
        <v>304</v>
      </c>
      <c r="D99" s="82"/>
      <c r="E99" s="83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7"/>
      <c r="B103" s="7"/>
      <c r="C103" s="6"/>
      <c r="D103" s="7"/>
      <c r="E103" s="2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</sheetData>
  <sheetProtection/>
  <mergeCells count="2">
    <mergeCell ref="A1:E1"/>
    <mergeCell ref="C98:E98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9"/>
  <sheetViews>
    <sheetView zoomScalePageLayoutView="0" workbookViewId="0" topLeftCell="A71">
      <selection activeCell="G25" sqref="G25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3.5">
      <c r="A1" s="340" t="s">
        <v>334</v>
      </c>
      <c r="B1" s="340"/>
      <c r="C1" s="340"/>
      <c r="D1" s="340"/>
      <c r="E1" s="340"/>
    </row>
    <row r="2" spans="1:5" ht="9.75" customHeight="1" thickBot="1">
      <c r="A2" s="282"/>
      <c r="B2" s="282"/>
      <c r="C2" s="283"/>
      <c r="D2" s="282"/>
      <c r="E2" s="282" t="s">
        <v>0</v>
      </c>
    </row>
    <row r="3" spans="1:5" ht="108" customHeight="1">
      <c r="A3" s="284" t="s">
        <v>1</v>
      </c>
      <c r="B3" s="285" t="s">
        <v>305</v>
      </c>
      <c r="C3" s="286" t="s">
        <v>335</v>
      </c>
      <c r="D3" s="285" t="s">
        <v>306</v>
      </c>
      <c r="E3" s="287" t="s">
        <v>307</v>
      </c>
    </row>
    <row r="4" spans="1:5" ht="13.5">
      <c r="A4" s="288">
        <v>1</v>
      </c>
      <c r="B4" s="289">
        <v>2</v>
      </c>
      <c r="C4" s="290">
        <v>3</v>
      </c>
      <c r="D4" s="291">
        <v>4</v>
      </c>
      <c r="E4" s="292">
        <v>5</v>
      </c>
    </row>
    <row r="5" spans="1:5" ht="15.75" customHeight="1">
      <c r="A5" s="293" t="s">
        <v>2</v>
      </c>
      <c r="B5" s="294"/>
      <c r="C5" s="295"/>
      <c r="D5" s="296"/>
      <c r="E5" s="297"/>
    </row>
    <row r="6" spans="1:5" ht="13.5">
      <c r="A6" s="298" t="s">
        <v>45</v>
      </c>
      <c r="B6" s="299">
        <f>SUM(B7)</f>
        <v>11584500</v>
      </c>
      <c r="C6" s="299">
        <f>SUM(C7)</f>
        <v>2277392.71</v>
      </c>
      <c r="D6" s="300">
        <f aca="true" t="shared" si="0" ref="D6:D34">IF(B6=0,"   ",C6/B6*100)</f>
        <v>19.658964219431134</v>
      </c>
      <c r="E6" s="301">
        <f aca="true" t="shared" si="1" ref="E6:E66">C6-B6</f>
        <v>-9307107.29</v>
      </c>
    </row>
    <row r="7" spans="1:5" ht="13.5">
      <c r="A7" s="281" t="s">
        <v>44</v>
      </c>
      <c r="B7" s="302">
        <f>Лист1!B9+Лист2!B7+Лист3!B7+Лист4!B8+Лист5!B8+Лист6!B8+Лист7!B8+Лист8!B8+Лист9!B8+Лист10!B8</f>
        <v>11584500</v>
      </c>
      <c r="C7" s="302">
        <f>Лист1!C9+Лист2!C7+Лист3!C7+Лист4!C8+Лист5!C8+Лист6!C8+Лист7!C8+Лист8!C8+Лист9!C8+Лист10!C8</f>
        <v>2277392.71</v>
      </c>
      <c r="D7" s="300">
        <f t="shared" si="0"/>
        <v>19.658964219431134</v>
      </c>
      <c r="E7" s="301">
        <f t="shared" si="1"/>
        <v>-9307107.29</v>
      </c>
    </row>
    <row r="8" spans="1:5" ht="31.5" customHeight="1">
      <c r="A8" s="298" t="s">
        <v>136</v>
      </c>
      <c r="B8" s="299">
        <f>SUM(B9)</f>
        <v>7612100</v>
      </c>
      <c r="C8" s="299">
        <f>SUM(C9)</f>
        <v>1788099.0399999998</v>
      </c>
      <c r="D8" s="300">
        <f t="shared" si="0"/>
        <v>23.49022004440299</v>
      </c>
      <c r="E8" s="301">
        <f t="shared" si="1"/>
        <v>-5824000.96</v>
      </c>
    </row>
    <row r="9" spans="1:5" ht="27">
      <c r="A9" s="281" t="s">
        <v>137</v>
      </c>
      <c r="B9" s="302">
        <f>Лист1!B15+Лист2!B9+Лист3!B9+Лист4!B10+Лист5!B10+Лист6!B10+Лист7!B10+Лист8!B10+Лист9!B10+Лист10!B10</f>
        <v>7612100</v>
      </c>
      <c r="C9" s="302">
        <f>Лист1!C15+Лист2!C9+Лист3!C9+Лист4!C10+Лист5!C10+Лист6!C10+Лист7!C10+Лист8!C10+Лист9!C10+Лист10!C10</f>
        <v>1788099.0399999998</v>
      </c>
      <c r="D9" s="300">
        <f t="shared" si="0"/>
        <v>23.49022004440299</v>
      </c>
      <c r="E9" s="301">
        <f t="shared" si="1"/>
        <v>-5824000.96</v>
      </c>
    </row>
    <row r="10" spans="1:5" ht="13.5">
      <c r="A10" s="281" t="s">
        <v>7</v>
      </c>
      <c r="B10" s="302">
        <f>B11</f>
        <v>319800</v>
      </c>
      <c r="C10" s="302">
        <f>SUM(C11:C11)</f>
        <v>350094.93</v>
      </c>
      <c r="D10" s="300">
        <f t="shared" si="0"/>
        <v>109.47308630393997</v>
      </c>
      <c r="E10" s="301">
        <f t="shared" si="1"/>
        <v>30294.929999999993</v>
      </c>
    </row>
    <row r="11" spans="1:5" ht="13.5">
      <c r="A11" s="281" t="s">
        <v>26</v>
      </c>
      <c r="B11" s="302">
        <f>Лист1!B18+Лист2!B11+Лист3!B11+Лист4!B12+Лист5!B12+Лист6!B12+Лист7!B12+Лист8!B12+Лист9!B12+Лист10!B12</f>
        <v>319800</v>
      </c>
      <c r="C11" s="302">
        <f>Лист1!C18+Лист2!C11+Лист3!C11+Лист4!C12+Лист5!C12+Лист6!C12+Лист7!C12+Лист8!C12+Лист9!C12+Лист10!C12</f>
        <v>350094.93</v>
      </c>
      <c r="D11" s="300">
        <f t="shared" si="0"/>
        <v>109.47308630393997</v>
      </c>
      <c r="E11" s="301">
        <f t="shared" si="1"/>
        <v>30294.929999999993</v>
      </c>
    </row>
    <row r="12" spans="1:5" ht="13.5">
      <c r="A12" s="281" t="s">
        <v>9</v>
      </c>
      <c r="B12" s="302">
        <f>SUM(B13:B14)</f>
        <v>10731000</v>
      </c>
      <c r="C12" s="302">
        <f>SUM(C13:C14)</f>
        <v>1244850.46</v>
      </c>
      <c r="D12" s="300">
        <f t="shared" si="0"/>
        <v>11.600507501630789</v>
      </c>
      <c r="E12" s="301">
        <f t="shared" si="1"/>
        <v>-9486149.54</v>
      </c>
    </row>
    <row r="13" spans="1:5" ht="13.5">
      <c r="A13" s="281" t="s">
        <v>27</v>
      </c>
      <c r="B13" s="302">
        <f>Лист1!B20+Лист2!B13+Лист3!B13+Лист4!B14+Лист5!B14+Лист6!B14+Лист7!B14+Лист8!B14+Лист9!B14+Лист10!B14</f>
        <v>5963000</v>
      </c>
      <c r="C13" s="302">
        <f>Лист1!C20+Лист2!C13+Лист3!C13+Лист4!C14+Лист5!C14+Лист6!C14+Лист7!C14+Лист8!C14+Лист9!C14+Лист10!C14</f>
        <v>518138.55000000005</v>
      </c>
      <c r="D13" s="300">
        <f t="shared" si="0"/>
        <v>8.689226060707698</v>
      </c>
      <c r="E13" s="301">
        <f t="shared" si="1"/>
        <v>-5444861.45</v>
      </c>
    </row>
    <row r="14" spans="1:5" ht="13.5">
      <c r="A14" s="281" t="s">
        <v>159</v>
      </c>
      <c r="B14" s="302">
        <f>Лист1!B21+Лист2!B14+Лист3!B14+Лист4!B15+Лист5!B15+Лист6!B15+Лист7!B15+Лист8!B15+Лист9!B15+Лист10!B15</f>
        <v>4768000</v>
      </c>
      <c r="C14" s="302">
        <f>Лист1!C21+Лист2!C14+Лист3!C14+Лист4!C15+Лист5!C15+Лист6!C15+Лист7!C15+Лист8!C15+Лист9!C15+Лист10!C15</f>
        <v>726711.9099999999</v>
      </c>
      <c r="D14" s="300">
        <f t="shared" si="0"/>
        <v>15.24144106543624</v>
      </c>
      <c r="E14" s="301">
        <f t="shared" si="1"/>
        <v>-4041288.09</v>
      </c>
    </row>
    <row r="15" spans="1:5" ht="13.5">
      <c r="A15" s="281" t="s">
        <v>160</v>
      </c>
      <c r="B15" s="302">
        <f>Лист1!B22+Лист2!B15+Лист3!B15+Лист4!B16+Лист5!B16+Лист6!B16+Лист7!B16+Лист8!B16+Лист9!B16+Лист10!B16</f>
        <v>1664400</v>
      </c>
      <c r="C15" s="302">
        <f>Лист1!C22+Лист2!C15+Лист3!C15+Лист4!C16+Лист5!C16+Лист6!C16+Лист7!C16+Лист8!C16+Лист9!C16+Лист10!C16</f>
        <v>488316.36</v>
      </c>
      <c r="D15" s="300">
        <f t="shared" si="0"/>
        <v>29.338882480173034</v>
      </c>
      <c r="E15" s="301">
        <f t="shared" si="1"/>
        <v>-1176083.6400000001</v>
      </c>
    </row>
    <row r="16" spans="1:5" ht="13.5">
      <c r="A16" s="281" t="s">
        <v>161</v>
      </c>
      <c r="B16" s="302">
        <f>Лист1!B23+Лист2!B16+Лист3!B16+Лист4!B17+Лист5!B17+Лист6!B17+Лист7!B17+Лист8!B17+Лист9!B17+Лист10!B17</f>
        <v>3103600</v>
      </c>
      <c r="C16" s="302">
        <f>Лист1!C23+Лист2!C16+Лист3!C16+Лист4!C17+Лист5!C17+Лист6!C17+Лист7!C17+Лист8!C17+Лист9!C17+Лист10!C17</f>
        <v>238395.55</v>
      </c>
      <c r="D16" s="300">
        <f t="shared" si="0"/>
        <v>7.681258860677922</v>
      </c>
      <c r="E16" s="301">
        <f t="shared" si="1"/>
        <v>-2865204.45</v>
      </c>
    </row>
    <row r="17" spans="1:5" ht="13.5">
      <c r="A17" s="281" t="s">
        <v>194</v>
      </c>
      <c r="B17" s="303">
        <f>Лист8!B18+Лист5!B18+Лист9!B18+Лист3!B17+Лист4!B18+Лист2!B17+Лист10!B18+Лист1!B24+Лист6!B18</f>
        <v>0</v>
      </c>
      <c r="C17" s="303">
        <f>Лист8!C18+Лист5!C18+Лист9!C18+Лист3!C17+Лист4!C18+Лист2!C17+Лист10!C18+Лист1!C24+Лист6!C18</f>
        <v>1700</v>
      </c>
      <c r="D17" s="300" t="str">
        <f>IF(B17=0,"   ",C17/B17*100)</f>
        <v>   </v>
      </c>
      <c r="E17" s="301">
        <f>C17-B17</f>
        <v>1700</v>
      </c>
    </row>
    <row r="18" spans="1:5" ht="28.5" customHeight="1">
      <c r="A18" s="281" t="s">
        <v>93</v>
      </c>
      <c r="B18" s="303">
        <f>Лист1!B25+Лист2!B18+Лист3!B18+Лист4!B19+Лист5!B19+Лист6!B19+Лист7!B18+Лист8!B19+Лист9!B19+Лист10!B19</f>
        <v>0</v>
      </c>
      <c r="C18" s="303">
        <f>Лист1!C25+Лист2!C18+Лист3!C18+Лист4!C19+Лист5!C19+Лист6!C19+Лист7!C18+Лист8!C19+Лист9!C19+Лист10!C19</f>
        <v>0</v>
      </c>
      <c r="D18" s="300" t="str">
        <f t="shared" si="0"/>
        <v>   </v>
      </c>
      <c r="E18" s="301">
        <f t="shared" si="1"/>
        <v>0</v>
      </c>
    </row>
    <row r="19" spans="1:5" ht="30" customHeight="1">
      <c r="A19" s="281" t="s">
        <v>28</v>
      </c>
      <c r="B19" s="302">
        <f>SUM(B20:B25)</f>
        <v>2546200</v>
      </c>
      <c r="C19" s="302">
        <f>SUM(C20:C25)</f>
        <v>743513.59</v>
      </c>
      <c r="D19" s="300">
        <f t="shared" si="0"/>
        <v>29.20091076898908</v>
      </c>
      <c r="E19" s="301">
        <f t="shared" si="1"/>
        <v>-1802686.4100000001</v>
      </c>
    </row>
    <row r="20" spans="1:5" ht="13.5">
      <c r="A20" s="281" t="s">
        <v>152</v>
      </c>
      <c r="B20" s="302">
        <f>Лист7!B20</f>
        <v>872000</v>
      </c>
      <c r="C20" s="302">
        <f>Лист7!C20</f>
        <v>249623.17</v>
      </c>
      <c r="D20" s="300">
        <f t="shared" si="0"/>
        <v>28.626510321100916</v>
      </c>
      <c r="E20" s="301">
        <f t="shared" si="1"/>
        <v>-622376.83</v>
      </c>
    </row>
    <row r="21" spans="1:5" ht="13.5">
      <c r="A21" s="281" t="s">
        <v>138</v>
      </c>
      <c r="B21" s="302">
        <f>Лист1!B27+Лист2!B23+Лист3!B20+Лист4!B21+Лист5!B21+Лист6!B21+Лист7!B21+Лист8!B21+Лист9!B22+Лист10!B23</f>
        <v>1237400</v>
      </c>
      <c r="C21" s="302">
        <f>Лист1!C27+Лист2!C23+Лист3!C20+Лист4!C21+Лист5!C21+Лист6!C21+Лист7!C21+Лист8!C21+Лист9!C22+Лист10!C23</f>
        <v>289481.5</v>
      </c>
      <c r="D21" s="300">
        <f t="shared" si="0"/>
        <v>23.394334895749154</v>
      </c>
      <c r="E21" s="301">
        <f t="shared" si="1"/>
        <v>-947918.5</v>
      </c>
    </row>
    <row r="22" spans="1:5" ht="33" customHeight="1">
      <c r="A22" s="281" t="s">
        <v>30</v>
      </c>
      <c r="B22" s="302">
        <f>Лист1!B28+Лист2!B24+Лист3!B21+Лист4!B22+Лист5!B22+Лист6!B22+Лист7!B22+Лист8!B22+Лист9!B23+Лист10!B21</f>
        <v>156800</v>
      </c>
      <c r="C22" s="302">
        <f>Лист1!C28+Лист2!C24+Лист3!C21+Лист4!C22+Лист5!C22+Лист6!C22+Лист7!C22+Лист8!C22+Лист9!C23+Лист10!C21</f>
        <v>32071.590000000004</v>
      </c>
      <c r="D22" s="300">
        <f t="shared" si="0"/>
        <v>20.453820153061226</v>
      </c>
      <c r="E22" s="301">
        <f t="shared" si="1"/>
        <v>-124728.41</v>
      </c>
    </row>
    <row r="23" spans="1:5" ht="33" customHeight="1">
      <c r="A23" s="281" t="s">
        <v>259</v>
      </c>
      <c r="B23" s="302">
        <f>Лист8!B23+Лист10!B22+Лист1!B29+Лист7!B23</f>
        <v>0</v>
      </c>
      <c r="C23" s="302">
        <f>Лист8!C23+Лист10!C22+Лист1!C29+Лист7!C23</f>
        <v>2292.95</v>
      </c>
      <c r="D23" s="300" t="str">
        <f>IF(B23=0,"   ",C23/B23*100)</f>
        <v>   </v>
      </c>
      <c r="E23" s="301">
        <f>C23-B23</f>
        <v>2292.95</v>
      </c>
    </row>
    <row r="24" spans="1:5" ht="73.5" customHeight="1">
      <c r="A24" s="281" t="s">
        <v>198</v>
      </c>
      <c r="B24" s="302">
        <f>Лист7!B24</f>
        <v>250000</v>
      </c>
      <c r="C24" s="302">
        <f>Лист7!C24</f>
        <v>160236.98</v>
      </c>
      <c r="D24" s="300">
        <f>IF(B24=0,"   ",C24/B24*100)</f>
        <v>64.094792</v>
      </c>
      <c r="E24" s="301">
        <f>C24-B24</f>
        <v>-89763.01999999999</v>
      </c>
    </row>
    <row r="25" spans="1:5" ht="72" customHeight="1">
      <c r="A25" s="281" t="s">
        <v>222</v>
      </c>
      <c r="B25" s="302">
        <f>Лист1!B30+Лист9!B24</f>
        <v>30000</v>
      </c>
      <c r="C25" s="302">
        <f>Лист1!C30+Лист9!C24</f>
        <v>9807.4</v>
      </c>
      <c r="D25" s="300">
        <f>IF(B25=0,"   ",C25/B25*100)</f>
        <v>32.69133333333333</v>
      </c>
      <c r="E25" s="301">
        <f>C25-B25</f>
        <v>-20192.6</v>
      </c>
    </row>
    <row r="26" spans="1:5" ht="30.75" customHeight="1">
      <c r="A26" s="281" t="s">
        <v>83</v>
      </c>
      <c r="B26" s="302">
        <f>SUM(B28,B27)</f>
        <v>0</v>
      </c>
      <c r="C26" s="302">
        <f>SUM(C28,C27)</f>
        <v>14150.300000000001</v>
      </c>
      <c r="D26" s="300" t="str">
        <f t="shared" si="0"/>
        <v>   </v>
      </c>
      <c r="E26" s="301">
        <f t="shared" si="1"/>
        <v>14150.300000000001</v>
      </c>
    </row>
    <row r="27" spans="1:5" ht="16.5" customHeight="1">
      <c r="A27" s="281" t="s">
        <v>173</v>
      </c>
      <c r="B27" s="302">
        <f>Лист2!B26</f>
        <v>0</v>
      </c>
      <c r="C27" s="302">
        <f>Лист2!C26</f>
        <v>0</v>
      </c>
      <c r="D27" s="300"/>
      <c r="E27" s="301">
        <f t="shared" si="1"/>
        <v>0</v>
      </c>
    </row>
    <row r="28" spans="1:5" ht="44.25" customHeight="1">
      <c r="A28" s="281" t="s">
        <v>84</v>
      </c>
      <c r="B28" s="302">
        <f>Лист4!B23+Лист9!B25+Лист7!B25+Лист1!B31</f>
        <v>0</v>
      </c>
      <c r="C28" s="302">
        <f>Лист4!C23+Лист9!C25+Лист7!C25+Лист1!C31</f>
        <v>14150.300000000001</v>
      </c>
      <c r="D28" s="300" t="str">
        <f t="shared" si="0"/>
        <v>   </v>
      </c>
      <c r="E28" s="301">
        <f t="shared" si="1"/>
        <v>14150.300000000001</v>
      </c>
    </row>
    <row r="29" spans="1:5" ht="31.5" customHeight="1">
      <c r="A29" s="281" t="s">
        <v>76</v>
      </c>
      <c r="B29" s="302">
        <f>SUM(B31+B30+B32)</f>
        <v>225000</v>
      </c>
      <c r="C29" s="302">
        <f>SUM(C31+C30+C32)</f>
        <v>4029350.25</v>
      </c>
      <c r="D29" s="300">
        <f t="shared" si="0"/>
        <v>1790.8223333333333</v>
      </c>
      <c r="E29" s="301">
        <f t="shared" si="1"/>
        <v>3804350.25</v>
      </c>
    </row>
    <row r="30" spans="1:5" ht="30.75" customHeight="1">
      <c r="A30" s="281" t="s">
        <v>133</v>
      </c>
      <c r="B30" s="302">
        <f>Лист7!B27+Лист1!B33+Лист9!B27+Лист4!B25</f>
        <v>119000</v>
      </c>
      <c r="C30" s="302">
        <f>Лист7!C27+Лист1!C33+Лист9!C27+Лист4!C25</f>
        <v>133190</v>
      </c>
      <c r="D30" s="300">
        <f t="shared" si="0"/>
        <v>111.92436974789916</v>
      </c>
      <c r="E30" s="301">
        <f t="shared" si="1"/>
        <v>14190</v>
      </c>
    </row>
    <row r="31" spans="1:5" ht="42" customHeight="1">
      <c r="A31" s="281" t="s">
        <v>223</v>
      </c>
      <c r="B31" s="302">
        <f>Лист7!B28</f>
        <v>0</v>
      </c>
      <c r="C31" s="302">
        <f>Лист7!C28</f>
        <v>162547.25</v>
      </c>
      <c r="D31" s="300" t="str">
        <f t="shared" si="0"/>
        <v>   </v>
      </c>
      <c r="E31" s="301">
        <f t="shared" si="1"/>
        <v>162547.25</v>
      </c>
    </row>
    <row r="32" spans="1:5" ht="39" customHeight="1">
      <c r="A32" s="281" t="s">
        <v>224</v>
      </c>
      <c r="B32" s="302">
        <f>Лист2!B21+Лист8!B26</f>
        <v>106000</v>
      </c>
      <c r="C32" s="302">
        <f>Лист1!C34+Лист2!C21+Лист3!C24+Лист4!C26+Лист6!C25+Лист8!C26+Лист9!C28+Лист10!C26</f>
        <v>3733613</v>
      </c>
      <c r="D32" s="300">
        <f t="shared" si="0"/>
        <v>3522.27641509434</v>
      </c>
      <c r="E32" s="301">
        <f t="shared" si="1"/>
        <v>3627613</v>
      </c>
    </row>
    <row r="33" spans="1:5" ht="13.5">
      <c r="A33" s="281" t="s">
        <v>31</v>
      </c>
      <c r="B33" s="302">
        <f>Лист1!B35+Лист2!B27+Лист5!B28+Лист7!B29+Лист6!B26+Лист3!B26</f>
        <v>0</v>
      </c>
      <c r="C33" s="302">
        <f>Лист1!C35+Лист2!C27+Лист5!C28+Лист7!C29+Лист6!C26+Лист3!C26</f>
        <v>0</v>
      </c>
      <c r="D33" s="300" t="str">
        <f t="shared" si="0"/>
        <v>   </v>
      </c>
      <c r="E33" s="301">
        <f t="shared" si="1"/>
        <v>0</v>
      </c>
    </row>
    <row r="34" spans="1:5" ht="13.5">
      <c r="A34" s="281" t="s">
        <v>32</v>
      </c>
      <c r="B34" s="302">
        <f>B35+B36</f>
        <v>0</v>
      </c>
      <c r="C34" s="302">
        <f>C35+C36</f>
        <v>541.08</v>
      </c>
      <c r="D34" s="300" t="str">
        <f t="shared" si="0"/>
        <v>   </v>
      </c>
      <c r="E34" s="301">
        <f t="shared" si="1"/>
        <v>541.08</v>
      </c>
    </row>
    <row r="35" spans="1:5" ht="13.5">
      <c r="A35" s="281" t="s">
        <v>46</v>
      </c>
      <c r="B35" s="302">
        <v>0</v>
      </c>
      <c r="C35" s="302">
        <f>Лист1!C39+Лист2!C29+Лист4!C28+Лист6!C28+Лист7!C31+Лист8!C28+Лист9!C31+Лист3!C28+Лист10!C28+Лист5!C27</f>
        <v>541.08</v>
      </c>
      <c r="D35" s="300"/>
      <c r="E35" s="301">
        <f t="shared" si="1"/>
        <v>541.08</v>
      </c>
    </row>
    <row r="36" spans="1:5" ht="13.5">
      <c r="A36" s="281" t="s">
        <v>50</v>
      </c>
      <c r="B36" s="302">
        <f>Лист1!B40+Лист2!B30+Лист3!B29+Лист4!B29+Лист5!B27+Лист6!B29+Лист7!B32+Лист8!B29+Лист9!B32+Лист10!B29</f>
        <v>0</v>
      </c>
      <c r="C36" s="302">
        <f>Лист1!C40+Лист2!C30+Лист3!C29+Лист4!C29+Лист6!C29+Лист7!C32+Лист8!C29+Лист9!C32+Лист10!C29</f>
        <v>0</v>
      </c>
      <c r="D36" s="300" t="str">
        <f>IF(B36=0,"   ",C36/B36*100)</f>
        <v>   </v>
      </c>
      <c r="E36" s="301">
        <f t="shared" si="1"/>
        <v>0</v>
      </c>
    </row>
    <row r="37" spans="1:5" ht="18" customHeight="1">
      <c r="A37" s="304" t="s">
        <v>10</v>
      </c>
      <c r="B37" s="305">
        <f>SUM(B6,B8,B10,B12,B18,B19,B26,B29,B34,+B33+B17)</f>
        <v>33018600</v>
      </c>
      <c r="C37" s="305">
        <f>SUM(C6,C8,C10,C12,C18,C19,C26,C29,C34,+C33+C17)</f>
        <v>10449692.36</v>
      </c>
      <c r="D37" s="306">
        <f>IF(B37=0,"   ",C37/B37*100)</f>
        <v>31.647896518931752</v>
      </c>
      <c r="E37" s="307">
        <f t="shared" si="1"/>
        <v>-22568907.64</v>
      </c>
    </row>
    <row r="38" spans="1:5" ht="33" customHeight="1">
      <c r="A38" s="298" t="s">
        <v>34</v>
      </c>
      <c r="B38" s="299">
        <f>Лист1!B45+Лист2!B33+Лист3!B33+Лист4!B33+Лист5!B31+Лист6!B32+Лист7!B35+Лист8!B33+Лист9!B35+Лист10!B32</f>
        <v>30569300</v>
      </c>
      <c r="C38" s="299">
        <f>Лист1!C45+Лист2!C33+Лист3!C33+Лист4!C33+Лист5!C31+Лист6!C32+Лист7!C35+Лист8!C33+Лист9!C35+Лист10!C32</f>
        <v>7642250</v>
      </c>
      <c r="D38" s="300">
        <f>IF(B38=0,"   ",C38/B38*100)</f>
        <v>24.999754655814822</v>
      </c>
      <c r="E38" s="301">
        <f t="shared" si="1"/>
        <v>-22927050</v>
      </c>
    </row>
    <row r="39" spans="1:5" ht="33" customHeight="1">
      <c r="A39" s="298" t="s">
        <v>225</v>
      </c>
      <c r="B39" s="299">
        <f>Лист1!B46+Лист2!B34+Лист3!B34+Лист4!B34+Лист5!B32+Лист6!B33+Лист7!B36+Лист8!B34+Лист9!B36+Лист10!B33</f>
        <v>0</v>
      </c>
      <c r="C39" s="299">
        <f>Лист1!C46+Лист2!C34+Лист3!C34+Лист4!C34+Лист5!C32+Лист6!C33+Лист7!C36+Лист8!C34+Лист9!C36+Лист10!C33</f>
        <v>0</v>
      </c>
      <c r="D39" s="300" t="str">
        <f>IF(B39=0,"   ",C39/B39*100)</f>
        <v>   </v>
      </c>
      <c r="E39" s="301">
        <f>C39-B39</f>
        <v>0</v>
      </c>
    </row>
    <row r="40" spans="1:5" ht="13.5">
      <c r="A40" s="308" t="s">
        <v>114</v>
      </c>
      <c r="B40" s="299">
        <f>SUM(B42:B49)</f>
        <v>54895740</v>
      </c>
      <c r="C40" s="299">
        <f>SUM(C42:C49)</f>
        <v>2153734.8</v>
      </c>
      <c r="D40" s="300">
        <f>IF(B40=0,"   ",C40/B40*100)</f>
        <v>3.9233186400256193</v>
      </c>
      <c r="E40" s="301">
        <f t="shared" si="1"/>
        <v>-52742005.2</v>
      </c>
    </row>
    <row r="41" spans="1:5" ht="13.5">
      <c r="A41" s="298" t="s">
        <v>115</v>
      </c>
      <c r="B41" s="299"/>
      <c r="C41" s="299"/>
      <c r="D41" s="300"/>
      <c r="E41" s="301"/>
    </row>
    <row r="42" spans="1:5" ht="33" customHeight="1">
      <c r="A42" s="281" t="s">
        <v>235</v>
      </c>
      <c r="B42" s="302">
        <v>0</v>
      </c>
      <c r="C42" s="302">
        <f>Лист2!C43</f>
        <v>0</v>
      </c>
      <c r="D42" s="300" t="str">
        <f>IF(B42=0,"   ",C42/B42*100)</f>
        <v>   </v>
      </c>
      <c r="E42" s="301">
        <f aca="true" t="shared" si="2" ref="E42:E49">C42-B42</f>
        <v>0</v>
      </c>
    </row>
    <row r="43" spans="1:5" ht="45" customHeight="1">
      <c r="A43" s="281" t="s">
        <v>177</v>
      </c>
      <c r="B43" s="309">
        <v>0</v>
      </c>
      <c r="C43" s="309">
        <v>0</v>
      </c>
      <c r="D43" s="310" t="str">
        <f>IF(B43=0,"   ",C43/B43)</f>
        <v>   </v>
      </c>
      <c r="E43" s="311">
        <f t="shared" si="2"/>
        <v>0</v>
      </c>
    </row>
    <row r="44" spans="1:5" ht="90" customHeight="1">
      <c r="A44" s="281" t="s">
        <v>234</v>
      </c>
      <c r="B44" s="302">
        <f>Лист1!B53+Лист2!B42+Лист3!B41+Лист4!B41+Лист5!B37+Лист6!B38+Лист7!B45+Лист8!B41+Лист9!B41+Лист10!B38</f>
        <v>6658400</v>
      </c>
      <c r="C44" s="302">
        <f>Лист1!C53+Лист2!C42+Лист3!C41+Лист4!C41+Лист5!C37+Лист6!C38+Лист7!C45+Лист8!C41+Лист9!C41+Лист10!C38</f>
        <v>0</v>
      </c>
      <c r="D44" s="300">
        <f aca="true" t="shared" si="3" ref="D44:D49">IF(B44=0,"   ",C44/B44*100)</f>
        <v>0</v>
      </c>
      <c r="E44" s="301">
        <f t="shared" si="2"/>
        <v>-6658400</v>
      </c>
    </row>
    <row r="45" spans="1:5" ht="96" customHeight="1">
      <c r="A45" s="281" t="s">
        <v>236</v>
      </c>
      <c r="B45" s="302">
        <f>Лист7!B46</f>
        <v>1567100</v>
      </c>
      <c r="C45" s="302">
        <f>Лист7!C46</f>
        <v>0</v>
      </c>
      <c r="D45" s="300">
        <f t="shared" si="3"/>
        <v>0</v>
      </c>
      <c r="E45" s="301">
        <f t="shared" si="2"/>
        <v>-1567100</v>
      </c>
    </row>
    <row r="46" spans="1:5" ht="60" customHeight="1">
      <c r="A46" s="281" t="s">
        <v>254</v>
      </c>
      <c r="B46" s="302">
        <v>0</v>
      </c>
      <c r="C46" s="302">
        <v>0</v>
      </c>
      <c r="D46" s="300" t="str">
        <f t="shared" si="3"/>
        <v>   </v>
      </c>
      <c r="E46" s="301">
        <f t="shared" si="2"/>
        <v>0</v>
      </c>
    </row>
    <row r="47" spans="1:5" ht="49.5" customHeight="1">
      <c r="A47" s="281" t="s">
        <v>261</v>
      </c>
      <c r="B47" s="302">
        <f>Лист2!B43+Лист4!B42+Лист9!B42</f>
        <v>0</v>
      </c>
      <c r="C47" s="302">
        <f>Лист2!C43+Лист4!C42+Лист9!C42</f>
        <v>0</v>
      </c>
      <c r="D47" s="300" t="str">
        <f t="shared" si="3"/>
        <v>   </v>
      </c>
      <c r="E47" s="301">
        <f t="shared" si="2"/>
        <v>0</v>
      </c>
    </row>
    <row r="48" spans="1:5" ht="49.5" customHeight="1">
      <c r="A48" s="281" t="s">
        <v>295</v>
      </c>
      <c r="B48" s="302">
        <f>Лист6!B39</f>
        <v>0</v>
      </c>
      <c r="C48" s="302">
        <f>Лист6!C39</f>
        <v>0</v>
      </c>
      <c r="D48" s="300" t="str">
        <f t="shared" si="3"/>
        <v>   </v>
      </c>
      <c r="E48" s="301">
        <f>C48-B48</f>
        <v>0</v>
      </c>
    </row>
    <row r="49" spans="1:5" ht="13.5">
      <c r="A49" s="281" t="s">
        <v>105</v>
      </c>
      <c r="B49" s="302">
        <f>SUM(B51:B59)</f>
        <v>46670240</v>
      </c>
      <c r="C49" s="302">
        <f>SUM(C51:C59)</f>
        <v>2153734.8</v>
      </c>
      <c r="D49" s="300">
        <f t="shared" si="3"/>
        <v>4.614792638735091</v>
      </c>
      <c r="E49" s="301">
        <f t="shared" si="2"/>
        <v>-44516505.2</v>
      </c>
    </row>
    <row r="50" spans="1:5" ht="13.5">
      <c r="A50" s="281" t="s">
        <v>116</v>
      </c>
      <c r="B50" s="302"/>
      <c r="C50" s="302"/>
      <c r="D50" s="300"/>
      <c r="E50" s="301"/>
    </row>
    <row r="51" spans="1:5" ht="27">
      <c r="A51" s="281" t="s">
        <v>218</v>
      </c>
      <c r="B51" s="302">
        <f>Лист1!B56</f>
        <v>0</v>
      </c>
      <c r="C51" s="302">
        <f>Лист1!C56</f>
        <v>0</v>
      </c>
      <c r="D51" s="300" t="str">
        <f>IF(B51=0,"   ",C51/B51*100)</f>
        <v>   </v>
      </c>
      <c r="E51" s="301">
        <f>C51-B51</f>
        <v>0</v>
      </c>
    </row>
    <row r="52" spans="1:5" ht="27" customHeight="1">
      <c r="A52" s="281" t="s">
        <v>217</v>
      </c>
      <c r="B52" s="302">
        <f>Лист1!B55+Лист2!B45+Лист3!B43+Лист4!B44+Лист5!B42+Лист6!B44+Лист7!B49+Лист8!B43+Лист9!B44+Лист10!B40</f>
        <v>2400800</v>
      </c>
      <c r="C52" s="302">
        <f>Лист1!C55+Лист2!C45+Лист3!C43+Лист4!C44+Лист5!C42+Лист6!C44+Лист7!C49+Лист8!C43+Лист9!C44+Лист10!C40</f>
        <v>0</v>
      </c>
      <c r="D52" s="302">
        <f>Лист7!D49</f>
        <v>0</v>
      </c>
      <c r="E52" s="301">
        <f>C52-B52</f>
        <v>-2400800</v>
      </c>
    </row>
    <row r="53" spans="1:5" ht="23.25" customHeight="1">
      <c r="A53" s="281" t="s">
        <v>263</v>
      </c>
      <c r="B53" s="302">
        <f>Лист7!B50</f>
        <v>0</v>
      </c>
      <c r="C53" s="302">
        <f>Лист7!C50</f>
        <v>0</v>
      </c>
      <c r="D53" s="302" t="str">
        <f>Лист7!D50</f>
        <v>   </v>
      </c>
      <c r="E53" s="302">
        <f>Лист7!E50</f>
        <v>0</v>
      </c>
    </row>
    <row r="54" spans="1:5" ht="23.25" customHeight="1">
      <c r="A54" s="281" t="s">
        <v>297</v>
      </c>
      <c r="B54" s="302">
        <f>Лист7!B51</f>
        <v>26191000</v>
      </c>
      <c r="C54" s="302">
        <f>Лист7!C51</f>
        <v>0</v>
      </c>
      <c r="D54" s="302">
        <f>Лист7!D51</f>
        <v>0</v>
      </c>
      <c r="E54" s="302">
        <f>Лист7!E51</f>
        <v>-26191000</v>
      </c>
    </row>
    <row r="55" spans="1:5" ht="28.5" customHeight="1">
      <c r="A55" s="255" t="s">
        <v>314</v>
      </c>
      <c r="B55" s="302">
        <f>Лист7!B52</f>
        <v>8969440</v>
      </c>
      <c r="C55" s="302">
        <f>Лист7!C52</f>
        <v>0</v>
      </c>
      <c r="D55" s="300">
        <f>IF(B55=0,"   ",C55/B55*100)</f>
        <v>0</v>
      </c>
      <c r="E55" s="301">
        <f aca="true" t="shared" si="4" ref="E55:E60">C55-B55</f>
        <v>-8969440</v>
      </c>
    </row>
    <row r="56" spans="1:5" ht="32.25" customHeight="1">
      <c r="A56" s="255" t="s">
        <v>315</v>
      </c>
      <c r="B56" s="302">
        <f>Лист7!B53</f>
        <v>3421600</v>
      </c>
      <c r="C56" s="302">
        <f>Лист7!C53</f>
        <v>0</v>
      </c>
      <c r="D56" s="300">
        <f>IF(B56=0,"   ",C56/B56*100)</f>
        <v>0</v>
      </c>
      <c r="E56" s="301">
        <f t="shared" si="4"/>
        <v>-3421600</v>
      </c>
    </row>
    <row r="57" spans="1:5" ht="32.25" customHeight="1">
      <c r="A57" s="281" t="s">
        <v>282</v>
      </c>
      <c r="B57" s="302">
        <f>Лист1!B58+Лист2!B47+Лист3!B45+Лист5!B41+Лист6!B43+Лист7!B54+Лист8!B45+Лист9!B46+Лист10!B42</f>
        <v>0</v>
      </c>
      <c r="C57" s="302">
        <f>Лист1!C58+Лист2!C47+Лист3!C45+Лист5!C41+Лист6!C43+Лист7!C54+Лист8!C45+Лист9!C46+Лист10!C42</f>
        <v>0</v>
      </c>
      <c r="D57" s="302" t="str">
        <f>Лист7!D54</f>
        <v>   </v>
      </c>
      <c r="E57" s="301">
        <f t="shared" si="4"/>
        <v>0</v>
      </c>
    </row>
    <row r="58" spans="1:5" ht="32.25" customHeight="1">
      <c r="A58" s="46" t="s">
        <v>311</v>
      </c>
      <c r="B58" s="302">
        <f>Лист2!B46+Лист3!B44+Лист5!B40+Лист6!B42+Лист7!B55+Лист8!B44+Лист1!B57+Лист4!B45+Лист9!B45+Лист10!B41</f>
        <v>1097600</v>
      </c>
      <c r="C58" s="302">
        <f>Лист2!C46+Лист3!C44+Лист5!C40+Лист6!C42+Лист7!C55+Лист8!C44+Лист1!C57+Лист4!C45+Лист9!C45+Лист10!C41</f>
        <v>0</v>
      </c>
      <c r="D58" s="300">
        <f>IF(B58=0,"   ",C58/B58*100)</f>
        <v>0</v>
      </c>
      <c r="E58" s="301">
        <f t="shared" si="4"/>
        <v>-1097600</v>
      </c>
    </row>
    <row r="59" spans="1:5" s="59" customFormat="1" ht="48" customHeight="1">
      <c r="A59" s="281" t="s">
        <v>117</v>
      </c>
      <c r="B59" s="302">
        <f>Лист1!B59+Лист2!B48+Лист3!B46+Лист4!B46+Лист5!B39+Лист6!B41+Лист7!B56+Лист8!B46+Лист9!B47+Лист10!B43</f>
        <v>4589800</v>
      </c>
      <c r="C59" s="302">
        <f>Лист1!C59+Лист2!C48+Лист3!C46+Лист4!C46+Лист5!C39+Лист6!C41+Лист7!C56+Лист8!C46+Лист9!C47+Лист10!C43</f>
        <v>2153734.8</v>
      </c>
      <c r="D59" s="300">
        <f>IF(B59=0,"   ",C59/B59*100)</f>
        <v>46.924371432306415</v>
      </c>
      <c r="E59" s="301">
        <f t="shared" si="4"/>
        <v>-2436065.2</v>
      </c>
    </row>
    <row r="60" spans="1:5" s="59" customFormat="1" ht="13.5">
      <c r="A60" s="308" t="s">
        <v>19</v>
      </c>
      <c r="B60" s="302">
        <f>B62+B63</f>
        <v>1483700</v>
      </c>
      <c r="C60" s="302">
        <f>C62+C63</f>
        <v>361970</v>
      </c>
      <c r="D60" s="300">
        <f>IF(B60=0,"   ",C60/B60*100)</f>
        <v>24.39644132910966</v>
      </c>
      <c r="E60" s="301">
        <f t="shared" si="4"/>
        <v>-1121730</v>
      </c>
    </row>
    <row r="61" spans="1:5" ht="13.5">
      <c r="A61" s="298" t="s">
        <v>115</v>
      </c>
      <c r="B61" s="299"/>
      <c r="C61" s="299"/>
      <c r="D61" s="300"/>
      <c r="E61" s="301"/>
    </row>
    <row r="62" spans="1:5" ht="48.75" customHeight="1">
      <c r="A62" s="312" t="s">
        <v>51</v>
      </c>
      <c r="B62" s="313">
        <f>Лист1!B47+Лист2!B36+Лист3!B35+Лист4!B35+Лист5!B33+Лист6!B34+Лист7!B37+Лист8!B35+Лист9!B37+Лист10!B34</f>
        <v>1451500</v>
      </c>
      <c r="C62" s="313">
        <f>Лист1!C47+Лист2!C36+Лист3!C35+Лист4!C35+Лист5!C33+Лист6!C34+Лист7!C37+Лист8!C35+Лист9!C37+Лист10!C34</f>
        <v>361800</v>
      </c>
      <c r="D62" s="314">
        <f>IF(B62=0,"   ",C62/B62*100)</f>
        <v>24.925938684119874</v>
      </c>
      <c r="E62" s="315">
        <f>C62-B62</f>
        <v>-1089700</v>
      </c>
    </row>
    <row r="63" spans="1:5" ht="45" customHeight="1">
      <c r="A63" s="312" t="s">
        <v>147</v>
      </c>
      <c r="B63" s="313">
        <f>Лист1!B48+Лист2!B37+Лист3!B36+Лист4!B36+Лист5!B34+Лист6!B35+Лист7!B38+Лист8!B36+Лист9!B38+Лист10!B35</f>
        <v>32200</v>
      </c>
      <c r="C63" s="313">
        <f>Лист1!C48+Лист2!C37+Лист3!C36+Лист4!C36+Лист5!C34+Лист6!C35+Лист7!C38+Лист8!C36+Лист9!C38+Лист10!C35</f>
        <v>170</v>
      </c>
      <c r="D63" s="314">
        <f>IF(B63=0,"   ",C63/B63*100)</f>
        <v>0.5279503105590062</v>
      </c>
      <c r="E63" s="315">
        <f>C63-B63</f>
        <v>-32030</v>
      </c>
    </row>
    <row r="64" spans="1:5" ht="27.75" customHeight="1">
      <c r="A64" s="312" t="s">
        <v>162</v>
      </c>
      <c r="B64" s="313">
        <f>Лист1!B49+Лист2!B38+Лист3!B37+Лист4!B37+Лист5!B35+Лист6!B36+Лист7!B39+Лист8!B37+Лист9!B39+Лист10!B36</f>
        <v>1700</v>
      </c>
      <c r="C64" s="313">
        <f>Лист1!C49+Лист2!C38+Лист3!C37+Лист4!C37+Лист5!C35+Лист6!C36+Лист7!C39+Лист8!C37+Лист9!C39+Лист10!C36</f>
        <v>170</v>
      </c>
      <c r="D64" s="314">
        <f>IF(B64=0,"   ",C64/B64*100)</f>
        <v>10</v>
      </c>
      <c r="E64" s="315">
        <f>C64-B64</f>
        <v>-1530</v>
      </c>
    </row>
    <row r="65" spans="1:5" ht="47.25" customHeight="1">
      <c r="A65" s="312" t="s">
        <v>163</v>
      </c>
      <c r="B65" s="313">
        <f>Лист1!B50+Лист2!B39+Лист3!B38+Лист4!B38+Лист5!B36+Лист6!B37+Лист7!B40+Лист8!B38+Лист9!B40+Лист10!B37</f>
        <v>30500</v>
      </c>
      <c r="C65" s="313">
        <f>Лист1!C50+Лист2!C39+Лист3!C38+Лист4!C38+Лист5!C36+Лист6!C37+Лист7!C40+Лист8!C38+Лист9!C40+Лист10!C37</f>
        <v>0</v>
      </c>
      <c r="D65" s="314">
        <f>IF(B65=0,"   ",C65/B65*100)</f>
        <v>0</v>
      </c>
      <c r="E65" s="315">
        <f>C65-B65</f>
        <v>-30500</v>
      </c>
    </row>
    <row r="66" spans="1:5" ht="13.5">
      <c r="A66" s="308" t="s">
        <v>118</v>
      </c>
      <c r="B66" s="302">
        <f>B68+B72+B69+B71+B70</f>
        <v>5885076.76</v>
      </c>
      <c r="C66" s="302">
        <f>C68+C72+C69+C71+C70</f>
        <v>0</v>
      </c>
      <c r="D66" s="300">
        <f>IF(B66=0,"   ",C66/B66*100)</f>
        <v>0</v>
      </c>
      <c r="E66" s="301">
        <f t="shared" si="1"/>
        <v>-5885076.76</v>
      </c>
    </row>
    <row r="67" spans="1:5" ht="13.5">
      <c r="A67" s="298" t="s">
        <v>115</v>
      </c>
      <c r="B67" s="299"/>
      <c r="C67" s="299"/>
      <c r="D67" s="300"/>
      <c r="E67" s="301"/>
    </row>
    <row r="68" spans="1:5" ht="89.25" customHeight="1">
      <c r="A68" s="281" t="s">
        <v>258</v>
      </c>
      <c r="B68" s="302">
        <f>Лист7!B47</f>
        <v>0</v>
      </c>
      <c r="C68" s="302">
        <f>Лист7!C47</f>
        <v>0</v>
      </c>
      <c r="D68" s="300" t="str">
        <f aca="true" t="shared" si="5" ref="D68:D101">IF(B68=0,"   ",C68/B68*100)</f>
        <v>   </v>
      </c>
      <c r="E68" s="301">
        <f aca="true" t="shared" si="6" ref="E68:E73">C68-B68</f>
        <v>0</v>
      </c>
    </row>
    <row r="69" spans="1:5" ht="85.5" customHeight="1">
      <c r="A69" s="281" t="s">
        <v>257</v>
      </c>
      <c r="B69" s="309">
        <f>Лист7!B44</f>
        <v>5885076.76</v>
      </c>
      <c r="C69" s="309">
        <f>Лист7!C44</f>
        <v>0</v>
      </c>
      <c r="D69" s="300">
        <f>IF(B69=0,"   ",C69/B69*100)</f>
        <v>0</v>
      </c>
      <c r="E69" s="301">
        <f t="shared" si="6"/>
        <v>-5885076.76</v>
      </c>
    </row>
    <row r="70" spans="1:5" ht="63" customHeight="1">
      <c r="A70" s="281" t="s">
        <v>286</v>
      </c>
      <c r="B70" s="313">
        <f>Лист2!B40+Лист4!B39+Лист9!B48</f>
        <v>0</v>
      </c>
      <c r="C70" s="313">
        <f>Лист2!C40+Лист4!C39+Лист9!C48</f>
        <v>0</v>
      </c>
      <c r="D70" s="300" t="str">
        <f>IF(B70=0,"   ",C70/B70*100)</f>
        <v>   </v>
      </c>
      <c r="E70" s="301">
        <f t="shared" si="6"/>
        <v>0</v>
      </c>
    </row>
    <row r="71" spans="1:5" ht="50.25" customHeight="1">
      <c r="A71" s="281" t="s">
        <v>281</v>
      </c>
      <c r="B71" s="309">
        <f>Лист7!B43</f>
        <v>0</v>
      </c>
      <c r="C71" s="309">
        <f>Лист7!C43</f>
        <v>0</v>
      </c>
      <c r="D71" s="300" t="str">
        <f>IF(B71=0,"   ",C71/B71*100)</f>
        <v>   </v>
      </c>
      <c r="E71" s="301">
        <f t="shared" si="6"/>
        <v>0</v>
      </c>
    </row>
    <row r="72" spans="1:5" ht="33" customHeight="1">
      <c r="A72" s="281" t="s">
        <v>169</v>
      </c>
      <c r="B72" s="313">
        <f>Лист1!B52+Лист2!B41+Лист3!B40+Лист6!B45+Лист8!B40+Лист10!B44+Лист4!B40+Лист5!B44+Лист7!B42+Лист9!B49</f>
        <v>0</v>
      </c>
      <c r="C72" s="313">
        <f>Лист1!C52+Лист2!C41+Лист3!C40+Лист6!C45+Лист8!C40+Лист10!C44+Лист4!C40+Лист5!C44+Лист7!C42+Лист9!C49</f>
        <v>0</v>
      </c>
      <c r="D72" s="300" t="str">
        <f t="shared" si="5"/>
        <v>   </v>
      </c>
      <c r="E72" s="301">
        <f t="shared" si="6"/>
        <v>0</v>
      </c>
    </row>
    <row r="73" spans="1:5" ht="21" customHeight="1">
      <c r="A73" s="304" t="s">
        <v>184</v>
      </c>
      <c r="B73" s="302">
        <f>Лист1!B60+Лист2!B49+Лист3!B47+Лист4!B47+Лист5!B45+Лист6!B47+Лист7!B57+Лист8!B47+Лист9!B50+Лист10!B46</f>
        <v>299948.09</v>
      </c>
      <c r="C73" s="302">
        <f>Лист1!C60+Лист2!C49+Лист3!C47+Лист4!C47+Лист5!C45+Лист6!C47+Лист7!C57+Лист8!C47+Лист9!C50+Лист10!C46</f>
        <v>-23059.71</v>
      </c>
      <c r="D73" s="300">
        <f>IF(B73=0,"   ",C73/B73*100)</f>
        <v>-7.687900263008841</v>
      </c>
      <c r="E73" s="301">
        <f t="shared" si="6"/>
        <v>-323007.80000000005</v>
      </c>
    </row>
    <row r="74" spans="1:5" ht="13.5">
      <c r="A74" s="304" t="s">
        <v>103</v>
      </c>
      <c r="B74" s="305">
        <f>B38+B40+B60+B66+B73+B39</f>
        <v>93133764.85000001</v>
      </c>
      <c r="C74" s="305">
        <f>C38+C40+C60+C66+C73+C39</f>
        <v>10134895.09</v>
      </c>
      <c r="D74" s="306">
        <f t="shared" si="5"/>
        <v>10.882084608437257</v>
      </c>
      <c r="E74" s="307">
        <f aca="true" t="shared" si="7" ref="E74:E119">C74-B74</f>
        <v>-82998869.76</v>
      </c>
    </row>
    <row r="75" spans="1:5" ht="23.25" customHeight="1">
      <c r="A75" s="304" t="s">
        <v>11</v>
      </c>
      <c r="B75" s="305">
        <f>B37+B74</f>
        <v>126152364.85000001</v>
      </c>
      <c r="C75" s="305">
        <f>C37+C74</f>
        <v>20584587.45</v>
      </c>
      <c r="D75" s="306">
        <f t="shared" si="5"/>
        <v>16.317242625198393</v>
      </c>
      <c r="E75" s="307">
        <f t="shared" si="7"/>
        <v>-105567777.4</v>
      </c>
    </row>
    <row r="76" spans="1:5" ht="13.5" hidden="1">
      <c r="A76" s="304" t="s">
        <v>48</v>
      </c>
      <c r="B76" s="302"/>
      <c r="C76" s="302"/>
      <c r="D76" s="300" t="str">
        <f t="shared" si="5"/>
        <v>   </v>
      </c>
      <c r="E76" s="301">
        <f t="shared" si="7"/>
        <v>0</v>
      </c>
    </row>
    <row r="77" spans="1:5" ht="14.25">
      <c r="A77" s="316" t="s">
        <v>12</v>
      </c>
      <c r="B77" s="317"/>
      <c r="C77" s="318"/>
      <c r="D77" s="300" t="str">
        <f t="shared" si="5"/>
        <v>   </v>
      </c>
      <c r="E77" s="301"/>
    </row>
    <row r="78" spans="1:5" ht="13.5">
      <c r="A78" s="281" t="s">
        <v>35</v>
      </c>
      <c r="B78" s="302">
        <f>Лист1!B63+Лист2!B53+Лист3!B50+Лист4!B50+Лист5!B49+Лист6!B50+Лист7!B61+Лист8!B50+Лист9!B53+Лист10!B50</f>
        <v>15517384.74</v>
      </c>
      <c r="C78" s="302">
        <f>Лист1!C63+Лист2!C53+Лист3!C50+Лист4!C50+Лист5!C49+Лист6!C50+Лист7!C61+Лист8!C50+Лист9!C53+Лист10!C50</f>
        <v>2919654.6</v>
      </c>
      <c r="D78" s="300">
        <f t="shared" si="5"/>
        <v>18.815378035152076</v>
      </c>
      <c r="E78" s="301">
        <f t="shared" si="7"/>
        <v>-12597730.14</v>
      </c>
    </row>
    <row r="79" spans="1:5" ht="13.5" customHeight="1">
      <c r="A79" s="281" t="s">
        <v>36</v>
      </c>
      <c r="B79" s="302">
        <f>Лист1!B64+Лист2!B54+Лист3!B51+Лист4!B51+Лист5!B50+Лист6!B51+Лист7!B62+Лист8!B51+Лист9!B54+Лист10!B51</f>
        <v>15141884.74</v>
      </c>
      <c r="C79" s="302">
        <f>Лист1!C64+Лист2!C54+Лист3!C51+Лист4!C51+Лист5!C50+Лист6!C51+Лист7!C62+Лист8!C51+Лист9!C54+Лист10!C51</f>
        <v>2866654.6</v>
      </c>
      <c r="D79" s="300">
        <f t="shared" si="5"/>
        <v>18.931953645289735</v>
      </c>
      <c r="E79" s="301">
        <f t="shared" si="7"/>
        <v>-12275230.14</v>
      </c>
    </row>
    <row r="80" spans="1:5" ht="13.5">
      <c r="A80" s="281" t="s">
        <v>120</v>
      </c>
      <c r="B80" s="302">
        <f>Лист1!B65+Лист2!B55+Лист3!B52+Лист4!B52+Лист5!B51+Лист6!B52+Лист7!B63+Лист8!B52+Лист9!B55+Лист10!B52</f>
        <v>9269523</v>
      </c>
      <c r="C80" s="302">
        <f>Лист1!C65+Лист2!C55+Лист3!C52+Лист4!C52+Лист5!C51+Лист6!C52+Лист7!C63+Лист8!C52+Лист9!C55+Лист10!C52</f>
        <v>1673613.05</v>
      </c>
      <c r="D80" s="300">
        <f t="shared" si="5"/>
        <v>18.055007253339788</v>
      </c>
      <c r="E80" s="301">
        <f t="shared" si="7"/>
        <v>-7595909.95</v>
      </c>
    </row>
    <row r="81" spans="1:5" ht="13.5">
      <c r="A81" s="281" t="s">
        <v>270</v>
      </c>
      <c r="B81" s="302">
        <f>Лист7!B64</f>
        <v>800</v>
      </c>
      <c r="C81" s="302">
        <f>Лист7!C64</f>
        <v>0</v>
      </c>
      <c r="D81" s="300">
        <f>IF(B81=0,"   ",C81/B81*100)</f>
        <v>0</v>
      </c>
      <c r="E81" s="301">
        <f>C81-B81</f>
        <v>-800</v>
      </c>
    </row>
    <row r="82" spans="1:5" ht="13.5">
      <c r="A82" s="281" t="s">
        <v>94</v>
      </c>
      <c r="B82" s="302">
        <f>Лист1!B66+Лист2!B56+Лист3!B53+Лист4!B53+Лист5!B52+Лист6!B53+Лист7!B65+Лист8!B53+Лист9!B56+Лист10!B53</f>
        <v>14500</v>
      </c>
      <c r="C82" s="302">
        <f>Лист1!C66+Лист2!C56+Лист3!C53+Лист4!C53+Лист5!C52+Лист6!C53+Лист7!C65+Лист8!C53+Лист9!C56+Лист10!C53</f>
        <v>0</v>
      </c>
      <c r="D82" s="300">
        <f t="shared" si="5"/>
        <v>0</v>
      </c>
      <c r="E82" s="301">
        <f t="shared" si="7"/>
        <v>-14500</v>
      </c>
    </row>
    <row r="83" spans="1:5" ht="13.5">
      <c r="A83" s="281" t="s">
        <v>52</v>
      </c>
      <c r="B83" s="303">
        <f>SUM(B84:B88)</f>
        <v>361000</v>
      </c>
      <c r="C83" s="303">
        <f>SUM(C84:C88)</f>
        <v>53000</v>
      </c>
      <c r="D83" s="300">
        <f t="shared" si="5"/>
        <v>14.681440443213297</v>
      </c>
      <c r="E83" s="301">
        <f t="shared" si="7"/>
        <v>-308000</v>
      </c>
    </row>
    <row r="84" spans="1:5" ht="27">
      <c r="A84" s="186" t="s">
        <v>239</v>
      </c>
      <c r="B84" s="302">
        <f>Лист7!B68+Лист8!B56</f>
        <v>6000</v>
      </c>
      <c r="C84" s="302">
        <f>Лист7!C68+Лист8!C56</f>
        <v>0</v>
      </c>
      <c r="D84" s="300">
        <f>IF(B84=0,"   ",C84/B84*100)</f>
        <v>0</v>
      </c>
      <c r="E84" s="301">
        <f>C84-B84</f>
        <v>-6000</v>
      </c>
    </row>
    <row r="85" spans="1:5" ht="47.25" customHeight="1">
      <c r="A85" s="186" t="s">
        <v>240</v>
      </c>
      <c r="B85" s="302">
        <f>Лист3!B55+Лист7!B67+Лист1!B68+Лист2!B58+Лист4!B56+Лист5!B54+Лист6!B55+Лист8!B55+Лист9!B58+Лист10!B55</f>
        <v>205000</v>
      </c>
      <c r="C85" s="302">
        <f>Лист3!C55+Лист7!C67+Лист1!C68+Лист2!C58+Лист4!C56+Лист5!C54+Лист6!C55+Лист8!C55+Лист9!C58+Лист10!C55</f>
        <v>53000</v>
      </c>
      <c r="D85" s="300">
        <f>IF(B85=0,"   ",C85/B85*100)</f>
        <v>25.853658536585368</v>
      </c>
      <c r="E85" s="301">
        <f>C85-B85</f>
        <v>-152000</v>
      </c>
    </row>
    <row r="86" spans="1:5" ht="26.25" customHeight="1">
      <c r="A86" s="186" t="s">
        <v>288</v>
      </c>
      <c r="B86" s="302">
        <f>Лист3!B56</f>
        <v>0</v>
      </c>
      <c r="C86" s="302">
        <f>Лист3!C56</f>
        <v>0</v>
      </c>
      <c r="D86" s="300" t="str">
        <f t="shared" si="5"/>
        <v>   </v>
      </c>
      <c r="E86" s="301">
        <f>C86-B86</f>
        <v>0</v>
      </c>
    </row>
    <row r="87" spans="1:5" ht="22.5" customHeight="1">
      <c r="A87" s="186" t="s">
        <v>220</v>
      </c>
      <c r="B87" s="302">
        <f>Лист4!B55+Лист7!B70+Лист5!B55+Лист1!B69</f>
        <v>150000</v>
      </c>
      <c r="C87" s="302">
        <f>Лист4!C55+Лист7!C70+Лист5!C55+Лист1!C69</f>
        <v>0</v>
      </c>
      <c r="D87" s="300">
        <f>IF(B87=0,"   ",C87/B87*100)</f>
        <v>0</v>
      </c>
      <c r="E87" s="301">
        <f>C87-B87</f>
        <v>-150000</v>
      </c>
    </row>
    <row r="88" spans="1:5" ht="33" customHeight="1">
      <c r="A88" s="186" t="s">
        <v>243</v>
      </c>
      <c r="B88" s="302">
        <f>Лист7!B69</f>
        <v>0</v>
      </c>
      <c r="C88" s="302">
        <f>Лист7!C69</f>
        <v>0</v>
      </c>
      <c r="D88" s="302" t="str">
        <f>Лист7!D69</f>
        <v>   </v>
      </c>
      <c r="E88" s="302">
        <f>Лист7!E69</f>
        <v>0</v>
      </c>
    </row>
    <row r="89" spans="1:5" ht="13.5">
      <c r="A89" s="281" t="s">
        <v>49</v>
      </c>
      <c r="B89" s="303">
        <f>SUM(B90)</f>
        <v>1451500</v>
      </c>
      <c r="C89" s="303">
        <f>SUM(C90)</f>
        <v>254587.31999999998</v>
      </c>
      <c r="D89" s="300">
        <f t="shared" si="5"/>
        <v>17.53960179125043</v>
      </c>
      <c r="E89" s="301">
        <f t="shared" si="7"/>
        <v>-1196912.68</v>
      </c>
    </row>
    <row r="90" spans="1:5" ht="33" customHeight="1">
      <c r="A90" s="281" t="s">
        <v>106</v>
      </c>
      <c r="B90" s="302">
        <f>Лист1!B71+Лист2!B60+Лист3!B58+Лист4!B58+Лист5!B57+Лист6!B57+Лист7!B72+Лист8!B58+Лист9!B60+Лист10!B57</f>
        <v>1451500</v>
      </c>
      <c r="C90" s="302">
        <f>Лист1!C71+Лист2!C60+Лист3!C58+Лист4!C58+Лист5!C57+Лист6!C57+Лист7!C72+Лист8!C58+Лист9!C60+Лист10!C57</f>
        <v>254587.31999999998</v>
      </c>
      <c r="D90" s="300">
        <f t="shared" si="5"/>
        <v>17.53960179125043</v>
      </c>
      <c r="E90" s="301">
        <f t="shared" si="7"/>
        <v>-1196912.68</v>
      </c>
    </row>
    <row r="91" spans="1:5" ht="27">
      <c r="A91" s="281" t="s">
        <v>37</v>
      </c>
      <c r="B91" s="302">
        <f>Лист1!B72+Лист2!B61+Лист3!B59+Лист4!B59+Лист5!B58+Лист6!B58+Лист7!B73+Лист8!B59+Лист9!B61+Лист10!B58</f>
        <v>990400</v>
      </c>
      <c r="C91" s="302">
        <f>Лист1!C72+Лист2!C61+Лист3!C59+Лист4!C59+Лист5!C58+Лист6!C58+Лист7!C73+Лист8!C59+Лист9!C61+Лист10!C58</f>
        <v>87748.31</v>
      </c>
      <c r="D91" s="300">
        <f t="shared" si="5"/>
        <v>8.859885904684976</v>
      </c>
      <c r="E91" s="301">
        <f t="shared" si="7"/>
        <v>-902651.69</v>
      </c>
    </row>
    <row r="92" spans="1:5" ht="45" customHeight="1">
      <c r="A92" s="281" t="s">
        <v>87</v>
      </c>
      <c r="B92" s="303">
        <f>Лист7!B74</f>
        <v>913400</v>
      </c>
      <c r="C92" s="303">
        <f>Лист7!C74</f>
        <v>87748.31</v>
      </c>
      <c r="D92" s="300">
        <f t="shared" si="5"/>
        <v>9.606777972410772</v>
      </c>
      <c r="E92" s="301">
        <f t="shared" si="7"/>
        <v>-825651.69</v>
      </c>
    </row>
    <row r="93" spans="1:5" ht="18.75" customHeight="1">
      <c r="A93" s="281" t="s">
        <v>95</v>
      </c>
      <c r="B93" s="302">
        <f>Лист7!B75</f>
        <v>913400</v>
      </c>
      <c r="C93" s="302">
        <f>Лист7!C75</f>
        <v>87748.31</v>
      </c>
      <c r="D93" s="300">
        <f t="shared" si="5"/>
        <v>9.606777972410772</v>
      </c>
      <c r="E93" s="301">
        <f t="shared" si="7"/>
        <v>-825651.69</v>
      </c>
    </row>
    <row r="94" spans="1:5" ht="15.75" customHeight="1">
      <c r="A94" s="281" t="s">
        <v>120</v>
      </c>
      <c r="B94" s="302">
        <f>Лист7!B76</f>
        <v>687711</v>
      </c>
      <c r="C94" s="302">
        <f>Лист7!C76</f>
        <v>69714.52</v>
      </c>
      <c r="D94" s="300">
        <f t="shared" si="5"/>
        <v>10.1371826246781</v>
      </c>
      <c r="E94" s="301">
        <f t="shared" si="7"/>
        <v>-617996.48</v>
      </c>
    </row>
    <row r="95" spans="1:5" ht="13.5">
      <c r="A95" s="281" t="s">
        <v>96</v>
      </c>
      <c r="B95" s="302">
        <f>Лист1!B73+Лист2!B62+Лист3!B60+Лист4!B60+Лист5!B59+Лист6!B59+Лист7!B77+Лист8!B60+Лист9!B62+Лист10!B59</f>
        <v>77000</v>
      </c>
      <c r="C95" s="302">
        <f>Лист1!C73+Лист2!C62+Лист3!C60+Лист4!C60+Лист5!C59+Лист6!C59+Лист7!C77+Лист8!C60+Лист9!C62+Лист10!C59</f>
        <v>0</v>
      </c>
      <c r="D95" s="300">
        <f t="shared" si="5"/>
        <v>0</v>
      </c>
      <c r="E95" s="301">
        <f t="shared" si="7"/>
        <v>-77000</v>
      </c>
    </row>
    <row r="96" spans="1:5" ht="13.5">
      <c r="A96" s="281" t="s">
        <v>38</v>
      </c>
      <c r="B96" s="303">
        <f>B106+B99+B121+B104+B97</f>
        <v>23383252.56</v>
      </c>
      <c r="C96" s="303">
        <f>C106+C99+C121+C104+C97</f>
        <v>3046183.5300000003</v>
      </c>
      <c r="D96" s="300">
        <f t="shared" si="5"/>
        <v>13.027201935161411</v>
      </c>
      <c r="E96" s="301">
        <f t="shared" si="7"/>
        <v>-20337069.029999997</v>
      </c>
    </row>
    <row r="97" spans="1:5" ht="13.5">
      <c r="A97" s="321" t="s">
        <v>237</v>
      </c>
      <c r="B97" s="303">
        <f>B98</f>
        <v>268800</v>
      </c>
      <c r="C97" s="303">
        <f>C98</f>
        <v>45461.12</v>
      </c>
      <c r="D97" s="300">
        <f>IF(B97=0,"   ",C97/B97*100)</f>
        <v>16.91261904761905</v>
      </c>
      <c r="E97" s="301">
        <f t="shared" si="7"/>
        <v>-223338.88</v>
      </c>
    </row>
    <row r="98" spans="1:5" ht="27">
      <c r="A98" s="322" t="s">
        <v>238</v>
      </c>
      <c r="B98" s="303">
        <f>Лист7!B80</f>
        <v>268800</v>
      </c>
      <c r="C98" s="303">
        <f>Лист7!C80</f>
        <v>45461.12</v>
      </c>
      <c r="D98" s="300">
        <f>IF(B98=0,"   ",C98/B98*100)</f>
        <v>16.91261904761905</v>
      </c>
      <c r="E98" s="301">
        <f t="shared" si="7"/>
        <v>-223338.88</v>
      </c>
    </row>
    <row r="99" spans="1:5" ht="15.75" customHeight="1">
      <c r="A99" s="321" t="s">
        <v>171</v>
      </c>
      <c r="B99" s="303">
        <f>SUM(B100:B103)</f>
        <v>1262600</v>
      </c>
      <c r="C99" s="303">
        <f>SUM(C100:C103)</f>
        <v>0</v>
      </c>
      <c r="D99" s="300">
        <f t="shared" si="5"/>
        <v>0</v>
      </c>
      <c r="E99" s="301">
        <f aca="true" t="shared" si="8" ref="E99:E105">C99-B99</f>
        <v>-1262600</v>
      </c>
    </row>
    <row r="100" spans="1:5" ht="30" customHeight="1">
      <c r="A100" s="320" t="s">
        <v>168</v>
      </c>
      <c r="B100" s="303">
        <f>Лист10!B62+Лист7!B82+Лист2!B66+Лист6!B63+Лист1!B77+Лист3!B64+Лист4!B64+Лист5!B63+Лист8!B64+Лист9!B66</f>
        <v>60000</v>
      </c>
      <c r="C100" s="303">
        <f>Лист10!C62+Лист7!C82+Лист2!C66+Лист6!C63+Лист1!C77+Лист3!C64+Лист4!C64+Лист5!C63+Лист8!C64+Лист9!C66</f>
        <v>0</v>
      </c>
      <c r="D100" s="300">
        <f t="shared" si="5"/>
        <v>0</v>
      </c>
      <c r="E100" s="301">
        <f t="shared" si="8"/>
        <v>-60000</v>
      </c>
    </row>
    <row r="101" spans="1:5" ht="27">
      <c r="A101" s="322" t="s">
        <v>165</v>
      </c>
      <c r="B101" s="303">
        <f>Лист1!B76+Лист2!B65+Лист3!B63+Лист4!B63+Лист5!B62+Лист6!B62+Лист7!B83+Лист8!B63+Лист9!B65+Лист10!B63</f>
        <v>30500</v>
      </c>
      <c r="C101" s="303">
        <f>Лист1!C76+Лист2!C65+Лист3!C63+Лист4!C63+Лист5!C62+Лист6!C62+Лист7!C83+Лист8!C63+Лист9!C65+Лист10!C63</f>
        <v>0</v>
      </c>
      <c r="D101" s="300">
        <f t="shared" si="5"/>
        <v>0</v>
      </c>
      <c r="E101" s="301">
        <f t="shared" si="8"/>
        <v>-30500</v>
      </c>
    </row>
    <row r="102" spans="1:5" ht="26.25">
      <c r="A102" s="75" t="s">
        <v>312</v>
      </c>
      <c r="B102" s="303">
        <f>Лист7!B84+Лист2!B67+Лист6!B64+Лист3!B65+Лист5!B64+Лист8!B65+Лист1!B78+Лист4!B65+Лист9!B67+Лист10!B64</f>
        <v>1097600</v>
      </c>
      <c r="C102" s="303">
        <f>Лист7!C84+Лист2!C67+Лист6!C64+Лист3!C65+Лист5!C64+Лист8!C65+Лист1!C78+Лист4!C65+Лист9!C67+Лист10!C64</f>
        <v>0</v>
      </c>
      <c r="D102" s="300">
        <f>IF(B102=0,"   ",C102/B102*100)</f>
        <v>0</v>
      </c>
      <c r="E102" s="301">
        <f t="shared" si="8"/>
        <v>-1097600</v>
      </c>
    </row>
    <row r="103" spans="1:5" ht="26.25">
      <c r="A103" s="75" t="s">
        <v>313</v>
      </c>
      <c r="B103" s="303">
        <f>Лист7!B85+Лист2!B68+Лист6!B65+Лист3!B66+Лист5!B65+Лист8!B66+Лист1!B79+Лист4!B66+Лист9!B68+Лист10!B65</f>
        <v>74500</v>
      </c>
      <c r="C103" s="303">
        <f>Лист7!C85+Лист2!C68+Лист6!C65+Лист3!C66+Лист5!C65+Лист8!C66+Лист1!C79+Лист4!C66+Лист9!C68+Лист10!C65</f>
        <v>0</v>
      </c>
      <c r="D103" s="300">
        <f>IF(B103=0,"   ",C103/B103*100)</f>
        <v>0</v>
      </c>
      <c r="E103" s="301">
        <f t="shared" si="8"/>
        <v>-74500</v>
      </c>
    </row>
    <row r="104" spans="1:5" ht="13.5">
      <c r="A104" s="319" t="s">
        <v>231</v>
      </c>
      <c r="B104" s="303">
        <f>B105</f>
        <v>70000</v>
      </c>
      <c r="C104" s="303">
        <f>C105</f>
        <v>0</v>
      </c>
      <c r="D104" s="300">
        <f>IF(B104=0,"   ",C104/B104*100)</f>
        <v>0</v>
      </c>
      <c r="E104" s="301">
        <f t="shared" si="8"/>
        <v>-70000</v>
      </c>
    </row>
    <row r="105" spans="1:5" ht="27">
      <c r="A105" s="320" t="s">
        <v>228</v>
      </c>
      <c r="B105" s="303">
        <f>Лист7!B87+Лист2!B70+Лист1!B81+Лист6!B67+Лист8!B68</f>
        <v>70000</v>
      </c>
      <c r="C105" s="303">
        <f>Лист7!C87+Лист2!C70+Лист1!C81+Лист6!C67+Лист8!C68</f>
        <v>0</v>
      </c>
      <c r="D105" s="300">
        <f>IF(B105=0,"   ",C105/B105*100)</f>
        <v>0</v>
      </c>
      <c r="E105" s="301">
        <f t="shared" si="8"/>
        <v>-70000</v>
      </c>
    </row>
    <row r="106" spans="1:5" ht="13.5">
      <c r="A106" s="323" t="s">
        <v>130</v>
      </c>
      <c r="B106" s="303">
        <f>SUM(B107,B111:B120)</f>
        <v>20861935.32</v>
      </c>
      <c r="C106" s="303">
        <f>SUM(C107,C111:C120)</f>
        <v>2990722.41</v>
      </c>
      <c r="D106" s="300">
        <f aca="true" t="shared" si="9" ref="D106:D127">IF(B106=0,"   ",C106/B106*100)</f>
        <v>14.335786033872145</v>
      </c>
      <c r="E106" s="301">
        <f t="shared" si="7"/>
        <v>-17871212.91</v>
      </c>
    </row>
    <row r="107" spans="1:5" ht="27">
      <c r="A107" s="186" t="s">
        <v>203</v>
      </c>
      <c r="B107" s="303">
        <f>Лист1!B84</f>
        <v>0</v>
      </c>
      <c r="C107" s="303">
        <f>Лист1!C84</f>
        <v>0</v>
      </c>
      <c r="D107" s="300" t="str">
        <f t="shared" si="9"/>
        <v>   </v>
      </c>
      <c r="E107" s="301">
        <f t="shared" si="7"/>
        <v>0</v>
      </c>
    </row>
    <row r="108" spans="1:5" ht="41.25">
      <c r="A108" s="186" t="s">
        <v>213</v>
      </c>
      <c r="B108" s="303">
        <f>Лист1!B85</f>
        <v>0</v>
      </c>
      <c r="C108" s="303">
        <f>Лист1!C85</f>
        <v>0</v>
      </c>
      <c r="D108" s="300" t="str">
        <f t="shared" si="9"/>
        <v>   </v>
      </c>
      <c r="E108" s="301">
        <f t="shared" si="7"/>
        <v>0</v>
      </c>
    </row>
    <row r="109" spans="1:5" ht="41.25">
      <c r="A109" s="186" t="s">
        <v>204</v>
      </c>
      <c r="B109" s="303">
        <f>Лист1!B86</f>
        <v>0</v>
      </c>
      <c r="C109" s="303">
        <f>Лист1!C86</f>
        <v>0</v>
      </c>
      <c r="D109" s="300" t="str">
        <f t="shared" si="9"/>
        <v>   </v>
      </c>
      <c r="E109" s="301">
        <f t="shared" si="7"/>
        <v>0</v>
      </c>
    </row>
    <row r="110" spans="1:5" ht="27" customHeight="1">
      <c r="A110" s="186" t="s">
        <v>214</v>
      </c>
      <c r="B110" s="303">
        <f>Лист1!B87</f>
        <v>0</v>
      </c>
      <c r="C110" s="303">
        <f>Лист1!C87</f>
        <v>0</v>
      </c>
      <c r="D110" s="300" t="str">
        <f t="shared" si="9"/>
        <v>   </v>
      </c>
      <c r="E110" s="301">
        <f t="shared" si="7"/>
        <v>0</v>
      </c>
    </row>
    <row r="111" spans="1:5" ht="13.5">
      <c r="A111" s="322" t="s">
        <v>264</v>
      </c>
      <c r="B111" s="303">
        <f>Лист1!B83+Лист2!B72+Лист3!B68+Лист4!B68+Лист5!B67+Лист6!B69+Лист7!B89+Лист8!B70+Лист9!B70+Лист10!B67</f>
        <v>770000</v>
      </c>
      <c r="C111" s="303">
        <f>Лист1!C83+Лист2!C72+Лист3!C68+Лист4!C68+Лист5!C67+Лист6!C69+Лист7!C89+Лист8!C70+Лист9!C70+Лист10!C67</f>
        <v>0</v>
      </c>
      <c r="D111" s="300">
        <f>IF(B111=0,"   ",C111/B111*100)</f>
        <v>0</v>
      </c>
      <c r="E111" s="301">
        <f>C111-B111</f>
        <v>-770000</v>
      </c>
    </row>
    <row r="112" spans="1:5" ht="27">
      <c r="A112" s="320" t="s">
        <v>256</v>
      </c>
      <c r="B112" s="303">
        <f>Лист7!B96</f>
        <v>0</v>
      </c>
      <c r="C112" s="303">
        <f>Лист7!C96</f>
        <v>0</v>
      </c>
      <c r="D112" s="300" t="str">
        <f>IF(B112=0,"   ",C112/B112*100)</f>
        <v>   </v>
      </c>
      <c r="E112" s="301">
        <f>C112-B112</f>
        <v>0</v>
      </c>
    </row>
    <row r="113" spans="1:5" ht="42.75" customHeight="1">
      <c r="A113" s="186" t="s">
        <v>245</v>
      </c>
      <c r="B113" s="303">
        <f>Лист1!B88+Лист2!B73+Лист3!B69+Лист4!B69+Лист5!B68+Лист6!B70+Лист7!B90+Лист8!B71+Лист9!B71+Лист10!B68</f>
        <v>4311036.07</v>
      </c>
      <c r="C113" s="303">
        <f>Лист1!C88+Лист2!C73+Лист3!C69+Лист4!C69+Лист5!C68+Лист6!C70+Лист7!C90+Лист8!C71+Лист9!C71+Лист10!C68</f>
        <v>328389.59</v>
      </c>
      <c r="D113" s="300">
        <f>IF(B113=0,"   ",C113/B113*100)</f>
        <v>7.617416896259001</v>
      </c>
      <c r="E113" s="301">
        <f>C113-B113</f>
        <v>-3982646.4800000004</v>
      </c>
    </row>
    <row r="114" spans="1:5" ht="45" customHeight="1">
      <c r="A114" s="186" t="s">
        <v>246</v>
      </c>
      <c r="B114" s="303">
        <f>Лист1!B89+Лист2!B74+Лист3!B70+Лист4!B70+Лист5!B69+Лист6!B71+Лист7!B91+Лист8!B72+Лист9!B72+Лист10!B69</f>
        <v>1540599.25</v>
      </c>
      <c r="C114" s="303">
        <f>Лист1!C89+Лист2!C74+Лист3!C70+Лист4!C70+Лист5!C69+Лист6!C71+Лист7!C91+Лист8!C72+Лист9!C72+Лист10!C69</f>
        <v>207519.82</v>
      </c>
      <c r="D114" s="300">
        <f t="shared" si="9"/>
        <v>13.470071467320267</v>
      </c>
      <c r="E114" s="301">
        <f t="shared" si="7"/>
        <v>-1333079.43</v>
      </c>
    </row>
    <row r="115" spans="1:5" ht="44.25" customHeight="1">
      <c r="A115" s="186" t="s">
        <v>247</v>
      </c>
      <c r="B115" s="303">
        <f>Лист1!B90+Лист2!B75+Лист3!B71+Лист4!B71+Лист5!B70+Лист6!B72+Лист7!B92+Лист8!B73+Лист9!B73+Лист10!B70</f>
        <v>6658400</v>
      </c>
      <c r="C115" s="303">
        <f>Лист1!C90+Лист2!C75+Лист3!C71+Лист4!C71+Лист5!C70+Лист6!C72+Лист7!C92+Лист8!C73+Лист9!C73+Лист10!C70</f>
        <v>0</v>
      </c>
      <c r="D115" s="300">
        <f t="shared" si="9"/>
        <v>0</v>
      </c>
      <c r="E115" s="301">
        <f t="shared" si="7"/>
        <v>-6658400</v>
      </c>
    </row>
    <row r="116" spans="1:5" ht="48" customHeight="1">
      <c r="A116" s="186" t="s">
        <v>248</v>
      </c>
      <c r="B116" s="303">
        <f>Лист1!B91+Лист2!B76+Лист3!B72+Лист4!B72+Лист5!B71+Лист6!B73+Лист7!B93+Лист8!B74+Лист9!B74+Лист10!B71</f>
        <v>740300</v>
      </c>
      <c r="C116" s="303">
        <f>Лист1!C91+Лист2!C76+Лист3!C72+Лист4!C72+Лист5!C71+Лист6!C73+Лист7!C93+Лист8!C74+Лист9!C74+Лист10!C71</f>
        <v>0</v>
      </c>
      <c r="D116" s="300">
        <f t="shared" si="9"/>
        <v>0</v>
      </c>
      <c r="E116" s="301">
        <f t="shared" si="7"/>
        <v>-740300</v>
      </c>
    </row>
    <row r="117" spans="1:5" ht="33.75" customHeight="1">
      <c r="A117" s="186" t="s">
        <v>249</v>
      </c>
      <c r="B117" s="303">
        <f>Лист1!B92+Лист2!B77+Лист3!B73+Лист4!B73+Лист5!B72+Лист6!B74+Лист7!B94+Лист8!B75+Лист9!B75+Лист10!B72</f>
        <v>4589800</v>
      </c>
      <c r="C117" s="303">
        <f>Лист1!C92+Лист2!C77+Лист3!C73+Лист4!C73+Лист5!C72+Лист6!C74+Лист7!C94+Лист8!C75+Лист9!C75+Лист10!C72</f>
        <v>2153734.8</v>
      </c>
      <c r="D117" s="300">
        <f t="shared" si="9"/>
        <v>46.924371432306415</v>
      </c>
      <c r="E117" s="301">
        <f>C117-B117</f>
        <v>-2436065.2</v>
      </c>
    </row>
    <row r="118" spans="1:5" ht="46.5" customHeight="1">
      <c r="A118" s="186" t="s">
        <v>250</v>
      </c>
      <c r="B118" s="303">
        <f>Лист1!B93+Лист2!B78+Лист3!B74+Лист4!B74+Лист5!B73+Лист6!B75+Лист7!B95+Лист8!B76+Лист9!B76+Лист10!B73</f>
        <v>510500</v>
      </c>
      <c r="C118" s="303">
        <f>Лист1!C93+Лист2!C78+Лист3!C74+Лист4!C74+Лист5!C73+Лист6!C75+Лист7!C95+Лист8!C76+Лист9!C76+Лист10!C73</f>
        <v>301078.2</v>
      </c>
      <c r="D118" s="300">
        <f t="shared" si="9"/>
        <v>58.97712047012733</v>
      </c>
      <c r="E118" s="301">
        <f t="shared" si="7"/>
        <v>-209421.8</v>
      </c>
    </row>
    <row r="119" spans="1:5" ht="45" customHeight="1">
      <c r="A119" s="186" t="s">
        <v>140</v>
      </c>
      <c r="B119" s="303">
        <f>Лист7!B97</f>
        <v>1567100</v>
      </c>
      <c r="C119" s="303">
        <f>Лист7!C97</f>
        <v>0</v>
      </c>
      <c r="D119" s="300">
        <f t="shared" si="9"/>
        <v>0</v>
      </c>
      <c r="E119" s="301">
        <f t="shared" si="7"/>
        <v>-1567100</v>
      </c>
    </row>
    <row r="120" spans="1:5" ht="36" customHeight="1">
      <c r="A120" s="281" t="s">
        <v>241</v>
      </c>
      <c r="B120" s="303">
        <f>Лист7!B98</f>
        <v>174200</v>
      </c>
      <c r="C120" s="303">
        <f>Лист7!C98</f>
        <v>0</v>
      </c>
      <c r="D120" s="300">
        <f>IF(B120=0,"   ",C120/B120*100)</f>
        <v>0</v>
      </c>
      <c r="E120" s="301">
        <f aca="true" t="shared" si="10" ref="E120:E149">C120-B120</f>
        <v>-174200</v>
      </c>
    </row>
    <row r="121" spans="1:5" ht="18.75" customHeight="1">
      <c r="A121" s="323" t="s">
        <v>175</v>
      </c>
      <c r="B121" s="303">
        <f>B122+B123</f>
        <v>919917.24</v>
      </c>
      <c r="C121" s="303">
        <f>C122+C123</f>
        <v>10000</v>
      </c>
      <c r="D121" s="300">
        <f t="shared" si="9"/>
        <v>1.0870543093637424</v>
      </c>
      <c r="E121" s="301">
        <f t="shared" si="10"/>
        <v>-909917.24</v>
      </c>
    </row>
    <row r="122" spans="1:5" ht="45" customHeight="1">
      <c r="A122" s="281" t="s">
        <v>154</v>
      </c>
      <c r="B122" s="303">
        <f>Лист1!B95+Лист2!B80+Лист7!B100+Лист9!B78+Лист4!B76+Лист5!B75+Лист6!B77+Лист10!B75</f>
        <v>566843.58</v>
      </c>
      <c r="C122" s="303">
        <f>Лист1!C95+Лист2!C80+Лист7!C100+Лист9!C78+Лист4!C76+Лист5!C75+Лист6!C77+Лист10!C75</f>
        <v>10000</v>
      </c>
      <c r="D122" s="300">
        <f t="shared" si="9"/>
        <v>1.7641551131266233</v>
      </c>
      <c r="E122" s="301">
        <f t="shared" si="10"/>
        <v>-556843.58</v>
      </c>
    </row>
    <row r="123" spans="1:5" ht="44.25" customHeight="1">
      <c r="A123" s="332" t="s">
        <v>176</v>
      </c>
      <c r="B123" s="303">
        <f>Лист1!B96+Лист2!B81+Лист3!B76+Лист5!B76+Лист7!B101+Лист8!B78+Лист9!B79+Лист10!B76</f>
        <v>353073.66000000003</v>
      </c>
      <c r="C123" s="303">
        <f>Лист1!C96+Лист2!C81+Лист3!C76+Лист5!C76+Лист7!C101+Лист8!C78+Лист9!C79+Лист10!C76</f>
        <v>0</v>
      </c>
      <c r="D123" s="300">
        <f>IF(B123=0,"   ",C123/B123*100)</f>
        <v>0</v>
      </c>
      <c r="E123" s="301">
        <f t="shared" si="10"/>
        <v>-353073.66000000003</v>
      </c>
    </row>
    <row r="124" spans="1:5" ht="15.75" customHeight="1">
      <c r="A124" s="281" t="s">
        <v>13</v>
      </c>
      <c r="B124" s="302">
        <f>SUM(B125,B128,B141,B163)</f>
        <v>56577627.54000001</v>
      </c>
      <c r="C124" s="302">
        <f>SUM(C125,C128,C141,C163)</f>
        <v>2833067.28</v>
      </c>
      <c r="D124" s="300">
        <f t="shared" si="9"/>
        <v>5.007398512772633</v>
      </c>
      <c r="E124" s="301">
        <f t="shared" si="10"/>
        <v>-53744560.260000005</v>
      </c>
    </row>
    <row r="125" spans="1:5" ht="14.25" customHeight="1">
      <c r="A125" s="281" t="s">
        <v>14</v>
      </c>
      <c r="B125" s="302">
        <f>SUM(B126:B127)</f>
        <v>1030000</v>
      </c>
      <c r="C125" s="302">
        <f>SUM(C126:C127)</f>
        <v>2997.2</v>
      </c>
      <c r="D125" s="300">
        <f t="shared" si="9"/>
        <v>0.2909902912621359</v>
      </c>
      <c r="E125" s="301">
        <f t="shared" si="10"/>
        <v>-1027002.8</v>
      </c>
    </row>
    <row r="126" spans="1:5" ht="14.25" customHeight="1">
      <c r="A126" s="281" t="s">
        <v>92</v>
      </c>
      <c r="B126" s="302">
        <f>Лист7!B104+Лист9!B82+Лист1!B101</f>
        <v>960000</v>
      </c>
      <c r="C126" s="302">
        <f>Лист7!C104+Лист9!C82+Лист1!C101</f>
        <v>0</v>
      </c>
      <c r="D126" s="300">
        <f t="shared" si="9"/>
        <v>0</v>
      </c>
      <c r="E126" s="301">
        <f t="shared" si="10"/>
        <v>-960000</v>
      </c>
    </row>
    <row r="127" spans="1:5" ht="21.75" customHeight="1">
      <c r="A127" s="281" t="s">
        <v>181</v>
      </c>
      <c r="B127" s="302">
        <f>Лист7!B105</f>
        <v>70000</v>
      </c>
      <c r="C127" s="302">
        <f>Лист7!C105</f>
        <v>2997.2</v>
      </c>
      <c r="D127" s="300">
        <f t="shared" si="9"/>
        <v>4.281714285714285</v>
      </c>
      <c r="E127" s="301">
        <f t="shared" si="10"/>
        <v>-67002.8</v>
      </c>
    </row>
    <row r="128" spans="1:5" ht="14.25" customHeight="1">
      <c r="A128" s="281" t="s">
        <v>70</v>
      </c>
      <c r="B128" s="302">
        <f>SUM(B129:B134:B136,B137)</f>
        <v>7382075.77</v>
      </c>
      <c r="C128" s="302">
        <f>SUM(C129:C134:C136,C137)</f>
        <v>620526.34</v>
      </c>
      <c r="D128" s="300">
        <f aca="true" t="shared" si="11" ref="D128:D148">IF(B128=0,"   ",C128/B128*100)</f>
        <v>8.40585167821977</v>
      </c>
      <c r="E128" s="301">
        <f t="shared" si="10"/>
        <v>-6761549.43</v>
      </c>
    </row>
    <row r="129" spans="1:5" ht="13.5">
      <c r="A129" s="281" t="s">
        <v>71</v>
      </c>
      <c r="B129" s="302">
        <f>Лист7!B116</f>
        <v>300000</v>
      </c>
      <c r="C129" s="302">
        <f>Лист7!C116</f>
        <v>0</v>
      </c>
      <c r="D129" s="300">
        <f t="shared" si="11"/>
        <v>0</v>
      </c>
      <c r="E129" s="301">
        <f t="shared" si="10"/>
        <v>-300000</v>
      </c>
    </row>
    <row r="130" spans="1:5" ht="27">
      <c r="A130" s="281" t="s">
        <v>283</v>
      </c>
      <c r="B130" s="302">
        <f>Лист1!B105+Лист2!B85+Лист3!B79+Лист5!B80+Лист6!B82+Лист7!B115+Лист8!B85+Лист9!B84+Лист10!B79</f>
        <v>0</v>
      </c>
      <c r="C130" s="302">
        <f>Лист1!C105+Лист2!C85+Лист3!C79+Лист5!C80+Лист6!C82+Лист7!C115+Лист8!C85+Лист9!C84+Лист10!C79</f>
        <v>0</v>
      </c>
      <c r="D130" s="300" t="str">
        <f t="shared" si="11"/>
        <v>   </v>
      </c>
      <c r="E130" s="301">
        <f t="shared" si="10"/>
        <v>0</v>
      </c>
    </row>
    <row r="131" spans="1:5" ht="30.75">
      <c r="A131" s="255" t="s">
        <v>316</v>
      </c>
      <c r="B131" s="302">
        <f>Лист7!B109</f>
        <v>3421600</v>
      </c>
      <c r="C131" s="302">
        <f>Лист7!C109</f>
        <v>0</v>
      </c>
      <c r="D131" s="300">
        <f>IF(B131=0,"   ",C131/B131*100)</f>
        <v>0</v>
      </c>
      <c r="E131" s="301">
        <f>C131-B131</f>
        <v>-3421600</v>
      </c>
    </row>
    <row r="132" spans="1:5" ht="46.5">
      <c r="A132" s="255" t="s">
        <v>317</v>
      </c>
      <c r="B132" s="302">
        <f>Лист7!B110</f>
        <v>218400</v>
      </c>
      <c r="C132" s="302">
        <f>Лист7!C110</f>
        <v>0</v>
      </c>
      <c r="D132" s="300">
        <f>IF(B132=0,"   ",C132/B132*100)</f>
        <v>0</v>
      </c>
      <c r="E132" s="301">
        <f>C132-B132</f>
        <v>-218400</v>
      </c>
    </row>
    <row r="133" spans="1:5" ht="16.5" customHeight="1">
      <c r="A133" s="281" t="s">
        <v>287</v>
      </c>
      <c r="B133" s="302">
        <f>Лист3!B80+Лист6!B83+Лист9!B85+Лист1!B106+Лист5!B81+Лист8!B86+Лист2!B86+Лист10!B80</f>
        <v>355005.4</v>
      </c>
      <c r="C133" s="302">
        <f>Лист3!C80+Лист6!C83+Лист9!C85+Лист1!C106+Лист5!C81+Лист8!C86</f>
        <v>0</v>
      </c>
      <c r="D133" s="300">
        <f>IF(B133=0,"   ",C133/B133*100)</f>
        <v>0</v>
      </c>
      <c r="E133" s="301">
        <f t="shared" si="10"/>
        <v>-355005.4</v>
      </c>
    </row>
    <row r="134" spans="1:5" ht="41.25">
      <c r="A134" s="281" t="s">
        <v>193</v>
      </c>
      <c r="B134" s="302">
        <f>Лист8!B83+Лист7!B107+Лист6!B80+Лист2!B84+Лист1!B103</f>
        <v>118000</v>
      </c>
      <c r="C134" s="302">
        <f>Лист8!C83+Лист7!C107+Лист6!C80+Лист2!C84</f>
        <v>0</v>
      </c>
      <c r="D134" s="300">
        <f t="shared" si="11"/>
        <v>0</v>
      </c>
      <c r="E134" s="301">
        <f t="shared" si="10"/>
        <v>-118000</v>
      </c>
    </row>
    <row r="135" spans="1:5" ht="27">
      <c r="A135" s="281" t="s">
        <v>321</v>
      </c>
      <c r="B135" s="302">
        <f>Лист1!B111</f>
        <v>795407.51</v>
      </c>
      <c r="C135" s="302">
        <f>Лист1!C111</f>
        <v>590526.34</v>
      </c>
      <c r="D135" s="300">
        <f t="shared" si="11"/>
        <v>74.24198697847346</v>
      </c>
      <c r="E135" s="301">
        <f t="shared" si="10"/>
        <v>-204881.17000000004</v>
      </c>
    </row>
    <row r="136" spans="1:5" ht="17.25" customHeight="1">
      <c r="A136" s="298" t="s">
        <v>158</v>
      </c>
      <c r="B136" s="302">
        <f>Лист7!B108+Лист9!B86+Лист1!B104+Лист5!B79+Лист8!B84+Лист10!B81+Лист3!B81</f>
        <v>404139</v>
      </c>
      <c r="C136" s="302">
        <f>Лист7!C108+Лист9!C86+Лист1!C104</f>
        <v>30000</v>
      </c>
      <c r="D136" s="300">
        <f t="shared" si="11"/>
        <v>7.423188556412522</v>
      </c>
      <c r="E136" s="301">
        <f t="shared" si="10"/>
        <v>-374139</v>
      </c>
    </row>
    <row r="137" spans="1:5" ht="33" customHeight="1">
      <c r="A137" s="186" t="s">
        <v>203</v>
      </c>
      <c r="B137" s="302">
        <f>SUM(B138:B140)</f>
        <v>1769523.8599999999</v>
      </c>
      <c r="C137" s="302">
        <f>SUM(C138:C140)</f>
        <v>0</v>
      </c>
      <c r="D137" s="300">
        <f t="shared" si="11"/>
        <v>0</v>
      </c>
      <c r="E137" s="301">
        <f t="shared" si="10"/>
        <v>-1769523.8599999999</v>
      </c>
    </row>
    <row r="138" spans="1:5" ht="50.25" customHeight="1">
      <c r="A138" s="186" t="s">
        <v>185</v>
      </c>
      <c r="B138" s="302">
        <f>Лист9!B88+Лист7!B112</f>
        <v>1586162.02</v>
      </c>
      <c r="C138" s="302">
        <f>Лист1!C108+Лист9!C88</f>
        <v>0</v>
      </c>
      <c r="D138" s="300">
        <f t="shared" si="11"/>
        <v>0</v>
      </c>
      <c r="E138" s="301">
        <f t="shared" si="10"/>
        <v>-1586162.02</v>
      </c>
    </row>
    <row r="139" spans="1:5" ht="44.25" customHeight="1">
      <c r="A139" s="186" t="s">
        <v>197</v>
      </c>
      <c r="B139" s="302">
        <f>Лист1!B109+Лист9!B89</f>
        <v>91680.92</v>
      </c>
      <c r="C139" s="302">
        <f>Лист1!C109+Лист9!C89</f>
        <v>0</v>
      </c>
      <c r="D139" s="300">
        <f t="shared" si="11"/>
        <v>0</v>
      </c>
      <c r="E139" s="301">
        <f t="shared" si="10"/>
        <v>-91680.92</v>
      </c>
    </row>
    <row r="140" spans="1:5" ht="26.25" customHeight="1">
      <c r="A140" s="186" t="s">
        <v>209</v>
      </c>
      <c r="B140" s="302">
        <f>Лист1!B110+Лист9!B90</f>
        <v>91680.92</v>
      </c>
      <c r="C140" s="302">
        <f>Лист1!C110+Лист9!C90</f>
        <v>0</v>
      </c>
      <c r="D140" s="300">
        <f t="shared" si="11"/>
        <v>0</v>
      </c>
      <c r="E140" s="301">
        <f t="shared" si="10"/>
        <v>-91680.92</v>
      </c>
    </row>
    <row r="141" spans="1:5" ht="13.5">
      <c r="A141" s="281" t="s">
        <v>72</v>
      </c>
      <c r="B141" s="302">
        <f>B142+B146+B147+B148+B159+B143+B145+B150+B155+B149+B144+B154</f>
        <v>48164651.77</v>
      </c>
      <c r="C141" s="302">
        <f>C142+C146+C147+C148+C159+C143+C145+C150+C155+C149+C144+C154</f>
        <v>2209543.7399999998</v>
      </c>
      <c r="D141" s="300">
        <f t="shared" si="11"/>
        <v>4.587479943904097</v>
      </c>
      <c r="E141" s="301">
        <f t="shared" si="10"/>
        <v>-45955108.03</v>
      </c>
    </row>
    <row r="142" spans="1:5" ht="13.5">
      <c r="A142" s="281" t="s">
        <v>60</v>
      </c>
      <c r="B142" s="302">
        <f>Лист1!B113+Лист2!B93+Лист3!B83+Лист4!B80+Лист5!B87+Лист6!B89+Лист7!B118+Лист8!B88+Лист9!B92+Лист10!B83</f>
        <v>7539138.53</v>
      </c>
      <c r="C142" s="302">
        <f>Лист1!C113+Лист2!C93+Лист3!C83+Лист4!C80+Лист5!C87+Лист6!C89+Лист7!C118+Лист8!C88+Лист9!C92+Лист10!C83</f>
        <v>1816835.0599999998</v>
      </c>
      <c r="D142" s="300">
        <f t="shared" si="11"/>
        <v>24.09870906033079</v>
      </c>
      <c r="E142" s="301">
        <f t="shared" si="10"/>
        <v>-5722303.470000001</v>
      </c>
    </row>
    <row r="143" spans="1:5" ht="27" customHeight="1">
      <c r="A143" s="281" t="s">
        <v>215</v>
      </c>
      <c r="B143" s="302">
        <f>Лист7!B119</f>
        <v>6000</v>
      </c>
      <c r="C143" s="302">
        <f>Лист7!C119</f>
        <v>0</v>
      </c>
      <c r="D143" s="300">
        <f t="shared" si="11"/>
        <v>0</v>
      </c>
      <c r="E143" s="301">
        <f t="shared" si="10"/>
        <v>-6000</v>
      </c>
    </row>
    <row r="144" spans="1:5" ht="27" customHeight="1">
      <c r="A144" s="186" t="s">
        <v>285</v>
      </c>
      <c r="B144" s="302">
        <f>Лист7!B124</f>
        <v>0</v>
      </c>
      <c r="C144" s="302">
        <f>Лист7!C124</f>
        <v>0</v>
      </c>
      <c r="D144" s="300" t="str">
        <f>IF(B144=0,"   ",C144/B144*100)</f>
        <v>   </v>
      </c>
      <c r="E144" s="301">
        <f t="shared" si="10"/>
        <v>0</v>
      </c>
    </row>
    <row r="145" spans="1:5" ht="23.25" customHeight="1">
      <c r="A145" s="186" t="s">
        <v>244</v>
      </c>
      <c r="B145" s="302">
        <f>Лист7!B133</f>
        <v>0</v>
      </c>
      <c r="C145" s="302">
        <f>Лист7!C133</f>
        <v>0</v>
      </c>
      <c r="D145" s="300" t="str">
        <f t="shared" si="11"/>
        <v>   </v>
      </c>
      <c r="E145" s="301">
        <f t="shared" si="10"/>
        <v>0</v>
      </c>
    </row>
    <row r="146" spans="1:5" ht="13.5">
      <c r="A146" s="281" t="s">
        <v>73</v>
      </c>
      <c r="B146" s="302">
        <f>Лист7!B120</f>
        <v>300000</v>
      </c>
      <c r="C146" s="302">
        <f>Лист7!C120</f>
        <v>0</v>
      </c>
      <c r="D146" s="300">
        <f t="shared" si="11"/>
        <v>0</v>
      </c>
      <c r="E146" s="301">
        <f t="shared" si="10"/>
        <v>-300000</v>
      </c>
    </row>
    <row r="147" spans="1:5" ht="13.5">
      <c r="A147" s="281" t="s">
        <v>74</v>
      </c>
      <c r="B147" s="302">
        <f>Лист7!B121</f>
        <v>100000</v>
      </c>
      <c r="C147" s="302">
        <f>Лист7!C121</f>
        <v>0</v>
      </c>
      <c r="D147" s="300">
        <f t="shared" si="11"/>
        <v>0</v>
      </c>
      <c r="E147" s="301">
        <f t="shared" si="10"/>
        <v>-100000</v>
      </c>
    </row>
    <row r="148" spans="1:5" ht="13.5">
      <c r="A148" s="281" t="s">
        <v>75</v>
      </c>
      <c r="B148" s="302">
        <f>Лист1!B115+Лист3!B84+Лист4!B81+Лист5!B88+Лист7!B122+Лист8!B90+Лист9!B93+Лист10!B85+Лист6!B90+Лист2!B98</f>
        <v>6833231.7</v>
      </c>
      <c r="C148" s="302">
        <f>Лист1!C115+Лист3!C84+Лист4!C81+Лист5!C88+Лист7!C122+Лист8!C90+Лист9!C93+Лист10!C85+Лист6!C90+Лист2!C98</f>
        <v>392708.68</v>
      </c>
      <c r="D148" s="300">
        <f t="shared" si="11"/>
        <v>5.747041769416366</v>
      </c>
      <c r="E148" s="301">
        <f t="shared" si="10"/>
        <v>-6440523.0200000005</v>
      </c>
    </row>
    <row r="149" spans="1:5" ht="27">
      <c r="A149" s="186" t="s">
        <v>284</v>
      </c>
      <c r="B149" s="302">
        <f>Лист1!B116+Лист3!B90+Лист4!B86+Лист5!B94+Лист7!B123+Лист8!B89+Лист9!B94+Лист10!B84+Лист6!B95+Лист2!B99</f>
        <v>0</v>
      </c>
      <c r="C149" s="302">
        <f>Лист1!C116+Лист3!C90+Лист4!C86+Лист5!C94+Лист7!C123+Лист8!C89+Лист9!C94+Лист10!C84+Лист6!C95+Лист2!C99</f>
        <v>0</v>
      </c>
      <c r="D149" s="300" t="str">
        <f aca="true" t="shared" si="12" ref="D149:D158">IF(B149=0,"   ",C149/B149*100)</f>
        <v>   </v>
      </c>
      <c r="E149" s="301">
        <f t="shared" si="10"/>
        <v>0</v>
      </c>
    </row>
    <row r="150" spans="1:5" ht="27">
      <c r="A150" s="186" t="s">
        <v>203</v>
      </c>
      <c r="B150" s="302">
        <f>SUM(B151:B153)</f>
        <v>1310204.78</v>
      </c>
      <c r="C150" s="302">
        <f>SUM(C151:C153)</f>
        <v>0</v>
      </c>
      <c r="D150" s="300">
        <f t="shared" si="12"/>
        <v>0</v>
      </c>
      <c r="E150" s="301">
        <f>C150-B150</f>
        <v>-1310204.78</v>
      </c>
    </row>
    <row r="151" spans="1:5" ht="41.25">
      <c r="A151" s="186" t="s">
        <v>210</v>
      </c>
      <c r="B151" s="302">
        <f>Лист1!B118+Лист2!B95+Лист4!B83+Лист3!B87</f>
        <v>814637.9800000001</v>
      </c>
      <c r="C151" s="302">
        <f>Лист1!C118+Лист2!C95+Лист4!C83+Лист6!C92+Лист9!C96+Лист10!C87+Лист5!C91+Лист7!C130</f>
        <v>0</v>
      </c>
      <c r="D151" s="300">
        <f t="shared" si="12"/>
        <v>0</v>
      </c>
      <c r="E151" s="301">
        <f>C151-B151</f>
        <v>-814637.9800000001</v>
      </c>
    </row>
    <row r="152" spans="1:5" ht="41.25">
      <c r="A152" s="186" t="s">
        <v>211</v>
      </c>
      <c r="B152" s="302">
        <f>Лист1!B119+Лист2!B96+Лист4!B84+Лист3!B88</f>
        <v>287035.10000000003</v>
      </c>
      <c r="C152" s="302">
        <f>Лист1!C119+Лист2!C96+Лист4!C84+Лист6!C93+Лист9!C97+Лист10!C88+Лист5!C92+Лист7!C131</f>
        <v>0</v>
      </c>
      <c r="D152" s="300">
        <f t="shared" si="12"/>
        <v>0</v>
      </c>
      <c r="E152" s="301">
        <f>C152-B152</f>
        <v>-287035.10000000003</v>
      </c>
    </row>
    <row r="153" spans="1:5" ht="24.75" customHeight="1">
      <c r="A153" s="186" t="s">
        <v>212</v>
      </c>
      <c r="B153" s="302">
        <f>Лист1!B120+Лист2!B97+Лист4!B85+Лист3!B89</f>
        <v>208531.69999999998</v>
      </c>
      <c r="C153" s="302">
        <f>Лист1!C120+Лист2!C97+Лист4!C85+Лист6!C94+Лист9!C98+Лист10!C89+Лист5!C93+Лист7!C132</f>
        <v>0</v>
      </c>
      <c r="D153" s="300">
        <f t="shared" si="12"/>
        <v>0</v>
      </c>
      <c r="E153" s="301">
        <f>C153-B153</f>
        <v>-208531.69999999998</v>
      </c>
    </row>
    <row r="154" spans="1:5" ht="27">
      <c r="A154" s="186" t="s">
        <v>301</v>
      </c>
      <c r="B154" s="299">
        <f>Лист7!B134</f>
        <v>0</v>
      </c>
      <c r="C154" s="299">
        <f>Лист7!C134</f>
        <v>0</v>
      </c>
      <c r="D154" s="300" t="str">
        <f t="shared" si="12"/>
        <v>   </v>
      </c>
      <c r="E154" s="301">
        <f>C154-B154</f>
        <v>0</v>
      </c>
    </row>
    <row r="155" spans="1:5" ht="27">
      <c r="A155" s="186" t="s">
        <v>271</v>
      </c>
      <c r="B155" s="299">
        <f>B156+B158+B157</f>
        <v>26191000</v>
      </c>
      <c r="C155" s="299">
        <f>C156+C158+C157</f>
        <v>0</v>
      </c>
      <c r="D155" s="300">
        <f t="shared" si="12"/>
        <v>0</v>
      </c>
      <c r="E155" s="301">
        <f aca="true" t="shared" si="13" ref="E155:E175">C155-B155</f>
        <v>-26191000</v>
      </c>
    </row>
    <row r="156" spans="1:5" ht="27">
      <c r="A156" s="186" t="s">
        <v>260</v>
      </c>
      <c r="B156" s="299">
        <f>Лист7!B136</f>
        <v>26191000</v>
      </c>
      <c r="C156" s="299">
        <f>Лист7!C136</f>
        <v>0</v>
      </c>
      <c r="D156" s="300">
        <f t="shared" si="12"/>
        <v>0</v>
      </c>
      <c r="E156" s="301">
        <f t="shared" si="13"/>
        <v>-26191000</v>
      </c>
    </row>
    <row r="157" spans="1:5" ht="27">
      <c r="A157" s="186" t="s">
        <v>272</v>
      </c>
      <c r="B157" s="299">
        <f>Лист7!B137</f>
        <v>0</v>
      </c>
      <c r="C157" s="299">
        <f>Лист7!C137</f>
        <v>0</v>
      </c>
      <c r="D157" s="300" t="str">
        <f t="shared" si="12"/>
        <v>   </v>
      </c>
      <c r="E157" s="301">
        <f t="shared" si="13"/>
        <v>0</v>
      </c>
    </row>
    <row r="158" spans="1:5" ht="27">
      <c r="A158" s="186" t="s">
        <v>273</v>
      </c>
      <c r="B158" s="299">
        <f>Лист7!B138</f>
        <v>0</v>
      </c>
      <c r="C158" s="299">
        <f>Лист7!C138</f>
        <v>0</v>
      </c>
      <c r="D158" s="300" t="str">
        <f t="shared" si="12"/>
        <v>   </v>
      </c>
      <c r="E158" s="301">
        <f t="shared" si="13"/>
        <v>0</v>
      </c>
    </row>
    <row r="159" spans="1:5" ht="33.75" customHeight="1">
      <c r="A159" s="186" t="s">
        <v>180</v>
      </c>
      <c r="B159" s="299">
        <f>B160+B162+B161</f>
        <v>5885076.760000001</v>
      </c>
      <c r="C159" s="299">
        <f>C160+C162+C161</f>
        <v>0</v>
      </c>
      <c r="D159" s="310">
        <f>IF(B159=0,"   ",C159/B159)</f>
        <v>0</v>
      </c>
      <c r="E159" s="311">
        <f t="shared" si="13"/>
        <v>-5885076.760000001</v>
      </c>
    </row>
    <row r="160" spans="1:5" ht="13.5">
      <c r="A160" s="186" t="s">
        <v>178</v>
      </c>
      <c r="B160" s="299">
        <f>Лист7!B126</f>
        <v>5826225.99</v>
      </c>
      <c r="C160" s="299">
        <f>Лист7!C126</f>
        <v>0</v>
      </c>
      <c r="D160" s="310">
        <f>IF(B160=0,"   ",C160/B160)</f>
        <v>0</v>
      </c>
      <c r="E160" s="311">
        <f t="shared" si="13"/>
        <v>-5826225.99</v>
      </c>
    </row>
    <row r="161" spans="1:5" ht="13.5">
      <c r="A161" s="186" t="s">
        <v>179</v>
      </c>
      <c r="B161" s="299">
        <f>Лист7!B127</f>
        <v>41195.54</v>
      </c>
      <c r="C161" s="299">
        <f>Лист7!C127</f>
        <v>0</v>
      </c>
      <c r="D161" s="310">
        <f>IF(B161=0,"   ",C161/B161)</f>
        <v>0</v>
      </c>
      <c r="E161" s="311">
        <f t="shared" si="13"/>
        <v>-41195.54</v>
      </c>
    </row>
    <row r="162" spans="1:5" ht="13.5">
      <c r="A162" s="186" t="s">
        <v>192</v>
      </c>
      <c r="B162" s="299">
        <f>Лист7!B128</f>
        <v>17655.23</v>
      </c>
      <c r="C162" s="299">
        <f>Лист7!C128</f>
        <v>0</v>
      </c>
      <c r="D162" s="310">
        <f>IF(B162=0,"   ",C162/B162)</f>
        <v>0</v>
      </c>
      <c r="E162" s="311">
        <f t="shared" si="13"/>
        <v>-17655.23</v>
      </c>
    </row>
    <row r="163" spans="1:5" ht="26.25">
      <c r="A163" s="145" t="s">
        <v>337</v>
      </c>
      <c r="B163" s="299">
        <f>SUM(B164,)</f>
        <v>900</v>
      </c>
      <c r="C163" s="299">
        <f>SUM(C164,)</f>
        <v>0</v>
      </c>
      <c r="D163" s="300">
        <f>IF(B163=0,"   ",C163/B163*100)</f>
        <v>0</v>
      </c>
      <c r="E163" s="301">
        <f>C163-B163</f>
        <v>-900</v>
      </c>
    </row>
    <row r="164" spans="1:5" ht="13.5">
      <c r="A164" s="145" t="s">
        <v>270</v>
      </c>
      <c r="B164" s="302">
        <f>Лист1!B122+Лист2!B101+Лист3!B92+Лист4!B88+Лист5!B96+Лист6!B97+Лист8!B96+Лист9!B100</f>
        <v>900</v>
      </c>
      <c r="C164" s="302">
        <f>Лист1!C122+Лист2!C101+Лист3!C92+Лист4!C88+Лист5!C96+Лист6!C97+Лист8!C96+Лист9!C100</f>
        <v>0</v>
      </c>
      <c r="D164" s="300">
        <f>IF(B164=0,"   ",C164/B164*100)</f>
        <v>0</v>
      </c>
      <c r="E164" s="301">
        <f>C164-B164</f>
        <v>-900</v>
      </c>
    </row>
    <row r="165" spans="1:5" ht="13.5">
      <c r="A165" s="281" t="s">
        <v>17</v>
      </c>
      <c r="B165" s="302">
        <f>Лист2!B102+Лист4!B89+Лист6!B98+Лист8!B97+Лист10!B90</f>
        <v>40000</v>
      </c>
      <c r="C165" s="302">
        <f>Лист2!C102+Лист4!C89+Лист6!C98+Лист8!C97+Лист10!C90</f>
        <v>0</v>
      </c>
      <c r="D165" s="300">
        <f aca="true" t="shared" si="14" ref="D165:D175">IF(B165=0,"   ",C165/B165*100)</f>
        <v>0</v>
      </c>
      <c r="E165" s="301">
        <f t="shared" si="13"/>
        <v>-40000</v>
      </c>
    </row>
    <row r="166" spans="1:5" ht="27">
      <c r="A166" s="281" t="s">
        <v>41</v>
      </c>
      <c r="B166" s="299">
        <f>SUM(B167,)</f>
        <v>29371100.82</v>
      </c>
      <c r="C166" s="299">
        <f>C167</f>
        <v>4869665.97</v>
      </c>
      <c r="D166" s="300">
        <f t="shared" si="14"/>
        <v>16.579787049329937</v>
      </c>
      <c r="E166" s="301">
        <f t="shared" si="13"/>
        <v>-24501434.85</v>
      </c>
    </row>
    <row r="167" spans="1:5" ht="13.5">
      <c r="A167" s="281" t="s">
        <v>42</v>
      </c>
      <c r="B167" s="302">
        <f>Лист1!B125+Лист2!B104+Лист3!B95+Лист4!B91+Лист5!B99+Лист6!B100+Лист7!B141+Лист8!B99+Лист9!B103+Лист10!B92</f>
        <v>29371100.82</v>
      </c>
      <c r="C167" s="302">
        <f>Лист1!C125+Лист2!C104+Лист3!C95+Лист4!C91+Лист5!C99+Лист6!C100+Лист7!C141+Лист8!C99+Лист9!C103+Лист10!C92</f>
        <v>4869665.97</v>
      </c>
      <c r="D167" s="300">
        <f t="shared" si="14"/>
        <v>16.579787049329937</v>
      </c>
      <c r="E167" s="301">
        <f t="shared" si="13"/>
        <v>-24501434.85</v>
      </c>
    </row>
    <row r="168" spans="1:5" ht="32.25" customHeight="1">
      <c r="A168" s="281" t="s">
        <v>142</v>
      </c>
      <c r="B168" s="302">
        <f>Лист1!B125+Лист2!B105+Лист3!B96+Лист4!B91+Лист5!B99+Лист6!B101+Лист7!B142+Лист8!B99+Лист9!B103+Лист10!B92</f>
        <v>12912800</v>
      </c>
      <c r="C168" s="302">
        <f>Лист1!C125+Лист2!C105+Лист3!C96+Лист4!C91+Лист5!C99+Лист6!C101+Лист7!C142+Лист8!C99+Лист9!C103+Лист10!C92</f>
        <v>4498580</v>
      </c>
      <c r="D168" s="300">
        <f t="shared" si="14"/>
        <v>34.83814509633852</v>
      </c>
      <c r="E168" s="301">
        <f t="shared" si="13"/>
        <v>-8414220</v>
      </c>
    </row>
    <row r="169" spans="1:5" ht="16.5" customHeight="1">
      <c r="A169" s="281" t="s">
        <v>251</v>
      </c>
      <c r="B169" s="302">
        <f>Лист2!B107</f>
        <v>0</v>
      </c>
      <c r="C169" s="302">
        <f>Лист2!C107</f>
        <v>0</v>
      </c>
      <c r="D169" s="300" t="str">
        <f t="shared" si="14"/>
        <v>   </v>
      </c>
      <c r="E169" s="301">
        <f t="shared" si="13"/>
        <v>0</v>
      </c>
    </row>
    <row r="170" spans="1:5" ht="18" customHeight="1">
      <c r="A170" s="331" t="s">
        <v>298</v>
      </c>
      <c r="B170" s="302">
        <f>Лист6!B102</f>
        <v>0</v>
      </c>
      <c r="C170" s="302">
        <f>Лист6!C102</f>
        <v>0</v>
      </c>
      <c r="D170" s="300" t="str">
        <f>IF(B170=0,"   ",C170/B170*100)</f>
        <v>   </v>
      </c>
      <c r="E170" s="301">
        <f t="shared" si="13"/>
        <v>0</v>
      </c>
    </row>
    <row r="171" spans="1:5" ht="18" customHeight="1">
      <c r="A171" s="331" t="s">
        <v>299</v>
      </c>
      <c r="B171" s="302">
        <f>Лист6!B103</f>
        <v>0</v>
      </c>
      <c r="C171" s="302">
        <f>Лист6!C103</f>
        <v>0</v>
      </c>
      <c r="D171" s="300" t="str">
        <f>IF(B171=0,"   ",C171/B171*100)</f>
        <v>   </v>
      </c>
      <c r="E171" s="301">
        <f t="shared" si="13"/>
        <v>0</v>
      </c>
    </row>
    <row r="172" spans="1:5" ht="25.5" customHeight="1">
      <c r="A172" s="281" t="s">
        <v>200</v>
      </c>
      <c r="B172" s="302">
        <f>Лист3!B98+Лист6!B104+Лист2!B106</f>
        <v>456460.82</v>
      </c>
      <c r="C172" s="302">
        <f>Лист3!C98+Лист6!C104+Лист2!C106</f>
        <v>39085.97</v>
      </c>
      <c r="D172" s="300">
        <f t="shared" si="14"/>
        <v>8.562831307186453</v>
      </c>
      <c r="E172" s="301">
        <f t="shared" si="13"/>
        <v>-417374.85</v>
      </c>
    </row>
    <row r="173" spans="1:5" ht="25.5" customHeight="1">
      <c r="A173" s="281" t="s">
        <v>276</v>
      </c>
      <c r="B173" s="302">
        <f>Лист7!B145</f>
        <v>0</v>
      </c>
      <c r="C173" s="302">
        <f>Лист7!C145</f>
        <v>0</v>
      </c>
      <c r="D173" s="300" t="str">
        <f>IF(B173=0,"   ",C173/B173*100)</f>
        <v>   </v>
      </c>
      <c r="E173" s="301">
        <f t="shared" si="13"/>
        <v>0</v>
      </c>
    </row>
    <row r="174" spans="1:5" ht="21.75" customHeight="1">
      <c r="A174" s="281" t="s">
        <v>191</v>
      </c>
      <c r="B174" s="302">
        <f>Лист7!B143</f>
        <v>5050500</v>
      </c>
      <c r="C174" s="302">
        <f>Лист7!C143</f>
        <v>0</v>
      </c>
      <c r="D174" s="300">
        <f t="shared" si="14"/>
        <v>0</v>
      </c>
      <c r="E174" s="301">
        <f t="shared" si="13"/>
        <v>-5050500</v>
      </c>
    </row>
    <row r="175" spans="1:5" ht="25.5" customHeight="1">
      <c r="A175" s="281" t="s">
        <v>143</v>
      </c>
      <c r="B175" s="302">
        <f>Лист7!B144</f>
        <v>1409400</v>
      </c>
      <c r="C175" s="302">
        <f>Лист7!C144</f>
        <v>332000</v>
      </c>
      <c r="D175" s="300">
        <f t="shared" si="14"/>
        <v>23.556123172981412</v>
      </c>
      <c r="E175" s="301">
        <f t="shared" si="13"/>
        <v>-1077400</v>
      </c>
    </row>
    <row r="176" spans="1:5" ht="30.75" customHeight="1">
      <c r="A176" s="255" t="s">
        <v>318</v>
      </c>
      <c r="B176" s="302">
        <f>Лист7!B146</f>
        <v>9541940</v>
      </c>
      <c r="C176" s="302">
        <f>Лист7!C146</f>
        <v>0</v>
      </c>
      <c r="D176" s="300">
        <f aca="true" t="shared" si="15" ref="D176:D183">IF(B176=0,"   ",C176/B176*100)</f>
        <v>0</v>
      </c>
      <c r="E176" s="301">
        <f aca="true" t="shared" si="16" ref="E176:E183">C176-B176</f>
        <v>-9541940</v>
      </c>
    </row>
    <row r="177" spans="1:5" ht="21" customHeight="1">
      <c r="A177" s="264" t="s">
        <v>319</v>
      </c>
      <c r="B177" s="302">
        <f>Лист7!B147</f>
        <v>8969440</v>
      </c>
      <c r="C177" s="302">
        <f>Лист7!C147</f>
        <v>0</v>
      </c>
      <c r="D177" s="300">
        <f t="shared" si="15"/>
        <v>0</v>
      </c>
      <c r="E177" s="301">
        <f t="shared" si="16"/>
        <v>-8969440</v>
      </c>
    </row>
    <row r="178" spans="1:5" ht="18.75" customHeight="1">
      <c r="A178" s="264" t="s">
        <v>320</v>
      </c>
      <c r="B178" s="302">
        <f>Лист7!B148</f>
        <v>572500</v>
      </c>
      <c r="C178" s="302">
        <f>Лист7!C148</f>
        <v>0</v>
      </c>
      <c r="D178" s="300">
        <f t="shared" si="15"/>
        <v>0</v>
      </c>
      <c r="E178" s="301">
        <f t="shared" si="16"/>
        <v>-572500</v>
      </c>
    </row>
    <row r="179" spans="1:5" ht="21.75" customHeight="1">
      <c r="A179" s="281" t="s">
        <v>229</v>
      </c>
      <c r="B179" s="302">
        <f>SUM(B180,)</f>
        <v>6000</v>
      </c>
      <c r="C179" s="302">
        <f>SUM(C180,)</f>
        <v>0</v>
      </c>
      <c r="D179" s="300">
        <f t="shared" si="15"/>
        <v>0</v>
      </c>
      <c r="E179" s="301">
        <f t="shared" si="16"/>
        <v>-6000</v>
      </c>
    </row>
    <row r="180" spans="1:5" ht="19.5" customHeight="1">
      <c r="A180" s="281" t="s">
        <v>230</v>
      </c>
      <c r="B180" s="302">
        <f>Лист10!B94</f>
        <v>6000</v>
      </c>
      <c r="C180" s="302">
        <f>Лист10!C94</f>
        <v>0</v>
      </c>
      <c r="D180" s="300">
        <f t="shared" si="15"/>
        <v>0</v>
      </c>
      <c r="E180" s="301">
        <f t="shared" si="16"/>
        <v>-6000</v>
      </c>
    </row>
    <row r="181" spans="1:5" ht="20.25" customHeight="1">
      <c r="A181" s="281" t="s">
        <v>123</v>
      </c>
      <c r="B181" s="302">
        <f>SUM(B182)</f>
        <v>260000</v>
      </c>
      <c r="C181" s="302">
        <f>SUM(C182)</f>
        <v>17340</v>
      </c>
      <c r="D181" s="300">
        <f t="shared" si="15"/>
        <v>6.669230769230769</v>
      </c>
      <c r="E181" s="301">
        <f t="shared" si="16"/>
        <v>-242660</v>
      </c>
    </row>
    <row r="182" spans="1:5" ht="19.5" customHeight="1">
      <c r="A182" s="281" t="s">
        <v>277</v>
      </c>
      <c r="B182" s="302">
        <f>Лист1!B127+Лист2!B109+Лист3!B100+Лист4!B93+Лист5!B101+Лист6!B106+Лист7!B150+Лист8!B101+Лист9!B105+Лист10!B96</f>
        <v>260000</v>
      </c>
      <c r="C182" s="302">
        <f>Лист1!C127+Лист2!C109+Лист3!C100+Лист4!C93+Лист5!C101+Лист6!C106+Лист7!C150+Лист8!C101+Лист9!C105+Лист10!C96</f>
        <v>17340</v>
      </c>
      <c r="D182" s="300">
        <f t="shared" si="15"/>
        <v>6.669230769230769</v>
      </c>
      <c r="E182" s="301">
        <f t="shared" si="16"/>
        <v>-242660</v>
      </c>
    </row>
    <row r="183" spans="1:6" ht="25.5" customHeight="1">
      <c r="A183" s="304" t="s">
        <v>15</v>
      </c>
      <c r="B183" s="305">
        <f>B78+B89+B91+B96+B124+B165+B166+B179+B181</f>
        <v>127597265.66</v>
      </c>
      <c r="C183" s="305">
        <f>C78+C89+C91+C96+C124+C165+C166+C179+C181</f>
        <v>14028247.009999998</v>
      </c>
      <c r="D183" s="306">
        <f t="shared" si="15"/>
        <v>10.994159582839448</v>
      </c>
      <c r="E183" s="307">
        <f t="shared" si="16"/>
        <v>-113569018.65</v>
      </c>
      <c r="F183" s="185"/>
    </row>
    <row r="184" spans="1:5" s="59" customFormat="1" ht="23.25" customHeight="1">
      <c r="A184" s="324" t="s">
        <v>265</v>
      </c>
      <c r="B184" s="325">
        <f>(B75-B183)</f>
        <v>-1444900.8099999875</v>
      </c>
      <c r="C184" s="325">
        <f>(C75-C183)</f>
        <v>6556340.440000001</v>
      </c>
      <c r="D184" s="296"/>
      <c r="E184" s="296"/>
    </row>
    <row r="185" spans="1:5" s="59" customFormat="1" ht="21" customHeight="1">
      <c r="A185" s="324" t="s">
        <v>266</v>
      </c>
      <c r="B185" s="324"/>
      <c r="C185" s="326"/>
      <c r="D185" s="326"/>
      <c r="E185" s="326"/>
    </row>
    <row r="186" spans="1:5" ht="13.5">
      <c r="A186" s="324" t="s">
        <v>267</v>
      </c>
      <c r="B186" s="325">
        <f>SUM(B8+B44+B45+B51+B59)</f>
        <v>20427400</v>
      </c>
      <c r="C186" s="325">
        <f>SUM(C8+C44+C45+C51+C59)</f>
        <v>3941833.84</v>
      </c>
      <c r="D186" s="306">
        <f>IF(B186=0,"   ",C186/B186*100)</f>
        <v>19.29679665547255</v>
      </c>
      <c r="E186" s="307">
        <f>C186-B186</f>
        <v>-16485566.16</v>
      </c>
    </row>
    <row r="187" spans="1:5" ht="13.5">
      <c r="A187" s="324" t="s">
        <v>268</v>
      </c>
      <c r="B187" s="325">
        <f>SUM(B106)</f>
        <v>20861935.32</v>
      </c>
      <c r="C187" s="325">
        <f>SUM(C106)</f>
        <v>2990722.41</v>
      </c>
      <c r="D187" s="306">
        <f>IF(B187=0,"   ",C187/B187*100)</f>
        <v>14.335786033872145</v>
      </c>
      <c r="E187" s="307">
        <f>C187-B187</f>
        <v>-17871212.91</v>
      </c>
    </row>
    <row r="188" spans="1:5" ht="13.5">
      <c r="A188" s="324" t="s">
        <v>265</v>
      </c>
      <c r="B188" s="325">
        <f>(B186-B187)</f>
        <v>-434535.3200000003</v>
      </c>
      <c r="C188" s="325">
        <f>(C186-C187)</f>
        <v>951111.4299999997</v>
      </c>
      <c r="D188" s="324"/>
      <c r="E188" s="327"/>
    </row>
    <row r="189" spans="1:5" ht="13.5">
      <c r="A189" s="328"/>
      <c r="B189" s="328"/>
      <c r="C189" s="329"/>
      <c r="D189" s="328"/>
      <c r="E189" s="330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fitToHeight="4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PageLayoutView="0" workbookViewId="0" topLeftCell="A39">
      <selection activeCell="C37" sqref="C37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7.25">
      <c r="A1" s="339" t="s">
        <v>324</v>
      </c>
      <c r="B1" s="339"/>
      <c r="C1" s="339"/>
      <c r="D1" s="339"/>
      <c r="E1" s="339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305</v>
      </c>
      <c r="C3" s="32" t="s">
        <v>323</v>
      </c>
      <c r="D3" s="19" t="s">
        <v>308</v>
      </c>
      <c r="E3" s="36" t="s">
        <v>307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07">
        <f>SUM(B7)</f>
        <v>24500</v>
      </c>
      <c r="C6" s="208">
        <f>SUM(C7)</f>
        <v>3707.94</v>
      </c>
      <c r="D6" s="26">
        <f aca="true" t="shared" si="0" ref="D6:D109">IF(B6=0,"   ",C6/B6*100)</f>
        <v>15.134448979591836</v>
      </c>
      <c r="E6" s="42">
        <f aca="true" t="shared" si="1" ref="E6:E109">C6-B6</f>
        <v>-20792.06</v>
      </c>
    </row>
    <row r="7" spans="1:5" ht="16.5" customHeight="1">
      <c r="A7" s="16" t="s">
        <v>44</v>
      </c>
      <c r="B7" s="209">
        <v>24500</v>
      </c>
      <c r="C7" s="224">
        <v>3707.94</v>
      </c>
      <c r="D7" s="26">
        <f t="shared" si="0"/>
        <v>15.134448979591836</v>
      </c>
      <c r="E7" s="42">
        <f t="shared" si="1"/>
        <v>-20792.06</v>
      </c>
    </row>
    <row r="8" spans="1:5" ht="12.75" customHeight="1">
      <c r="A8" s="64" t="s">
        <v>136</v>
      </c>
      <c r="B8" s="207">
        <f>SUM(B9)</f>
        <v>712800</v>
      </c>
      <c r="C8" s="210">
        <f>SUM(C9)</f>
        <v>167443.32</v>
      </c>
      <c r="D8" s="26">
        <f t="shared" si="0"/>
        <v>23.490925925925925</v>
      </c>
      <c r="E8" s="42">
        <f t="shared" si="1"/>
        <v>-545356.6799999999</v>
      </c>
    </row>
    <row r="9" spans="1:5" ht="18.75" customHeight="1">
      <c r="A9" s="41" t="s">
        <v>137</v>
      </c>
      <c r="B9" s="209">
        <v>712800</v>
      </c>
      <c r="C9" s="224">
        <v>167443.32</v>
      </c>
      <c r="D9" s="26">
        <f t="shared" si="0"/>
        <v>23.490925925925925</v>
      </c>
      <c r="E9" s="42">
        <f t="shared" si="1"/>
        <v>-545356.6799999999</v>
      </c>
    </row>
    <row r="10" spans="1:5" ht="16.5" customHeight="1">
      <c r="A10" s="16" t="s">
        <v>7</v>
      </c>
      <c r="B10" s="209">
        <f>SUM(B11:B11)</f>
        <v>44700</v>
      </c>
      <c r="C10" s="211">
        <f>SUM(C11:C11)</f>
        <v>40651.5</v>
      </c>
      <c r="D10" s="26">
        <f t="shared" si="0"/>
        <v>90.94295302013423</v>
      </c>
      <c r="E10" s="42">
        <f t="shared" si="1"/>
        <v>-4048.5</v>
      </c>
    </row>
    <row r="11" spans="1:5" ht="14.25" customHeight="1">
      <c r="A11" s="16" t="s">
        <v>26</v>
      </c>
      <c r="B11" s="209">
        <v>44700</v>
      </c>
      <c r="C11" s="224">
        <v>40651.5</v>
      </c>
      <c r="D11" s="26">
        <f t="shared" si="0"/>
        <v>90.94295302013423</v>
      </c>
      <c r="E11" s="42">
        <f t="shared" si="1"/>
        <v>-4048.5</v>
      </c>
    </row>
    <row r="12" spans="1:5" ht="14.25" customHeight="1">
      <c r="A12" s="16" t="s">
        <v>9</v>
      </c>
      <c r="B12" s="209">
        <f>SUM(B13:B14)</f>
        <v>220000</v>
      </c>
      <c r="C12" s="211">
        <f>SUM(C13:C14)</f>
        <v>7809.75</v>
      </c>
      <c r="D12" s="26">
        <f t="shared" si="0"/>
        <v>3.5498863636363636</v>
      </c>
      <c r="E12" s="42">
        <f t="shared" si="1"/>
        <v>-212190.25</v>
      </c>
    </row>
    <row r="13" spans="1:5" ht="12.75" customHeight="1">
      <c r="A13" s="16" t="s">
        <v>27</v>
      </c>
      <c r="B13" s="209">
        <v>71000</v>
      </c>
      <c r="C13" s="224">
        <v>434.41</v>
      </c>
      <c r="D13" s="26">
        <f t="shared" si="0"/>
        <v>0.6118450704225352</v>
      </c>
      <c r="E13" s="42">
        <f t="shared" si="1"/>
        <v>-70565.59</v>
      </c>
    </row>
    <row r="14" spans="1:5" ht="12.75">
      <c r="A14" s="41" t="s">
        <v>159</v>
      </c>
      <c r="B14" s="195">
        <f>SUM(B15:B16)</f>
        <v>149000</v>
      </c>
      <c r="C14" s="211">
        <f>SUM(C15:C16)</f>
        <v>7375.34</v>
      </c>
      <c r="D14" s="26">
        <f t="shared" si="0"/>
        <v>4.949892617449665</v>
      </c>
      <c r="E14" s="42">
        <f t="shared" si="1"/>
        <v>-141624.66</v>
      </c>
    </row>
    <row r="15" spans="1:5" ht="12.75">
      <c r="A15" s="41" t="s">
        <v>160</v>
      </c>
      <c r="B15" s="195">
        <v>5000</v>
      </c>
      <c r="C15" s="224">
        <v>1614</v>
      </c>
      <c r="D15" s="26">
        <f t="shared" si="0"/>
        <v>32.28</v>
      </c>
      <c r="E15" s="42">
        <f t="shared" si="1"/>
        <v>-3386</v>
      </c>
    </row>
    <row r="16" spans="1:5" ht="12.75">
      <c r="A16" s="41" t="s">
        <v>161</v>
      </c>
      <c r="B16" s="195">
        <v>144000</v>
      </c>
      <c r="C16" s="224">
        <v>5761.34</v>
      </c>
      <c r="D16" s="26">
        <f t="shared" si="0"/>
        <v>4.000930555555556</v>
      </c>
      <c r="E16" s="42">
        <f t="shared" si="1"/>
        <v>-138238.66</v>
      </c>
    </row>
    <row r="17" spans="1:5" ht="12.75">
      <c r="A17" s="41" t="s">
        <v>194</v>
      </c>
      <c r="B17" s="195">
        <v>0</v>
      </c>
      <c r="C17" s="212">
        <v>0</v>
      </c>
      <c r="D17" s="26" t="str">
        <f t="shared" si="0"/>
        <v>   </v>
      </c>
      <c r="E17" s="42">
        <f t="shared" si="1"/>
        <v>0</v>
      </c>
    </row>
    <row r="18" spans="1:5" ht="18" customHeight="1">
      <c r="A18" s="16" t="s">
        <v>88</v>
      </c>
      <c r="B18" s="209">
        <v>0</v>
      </c>
      <c r="C18" s="212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07">
        <f>B21+B20</f>
        <v>0</v>
      </c>
      <c r="C19" s="210">
        <f>C21+C20</f>
        <v>0</v>
      </c>
      <c r="D19" s="26" t="str">
        <f t="shared" si="0"/>
        <v>   </v>
      </c>
      <c r="E19" s="42">
        <f t="shared" si="1"/>
        <v>0</v>
      </c>
    </row>
    <row r="20" spans="1:5" ht="16.5" customHeight="1">
      <c r="A20" s="153" t="s">
        <v>182</v>
      </c>
      <c r="B20" s="207">
        <v>0</v>
      </c>
      <c r="C20" s="210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289</v>
      </c>
      <c r="B21" s="209">
        <v>0</v>
      </c>
      <c r="C21" s="212">
        <v>0</v>
      </c>
      <c r="D21" s="26" t="str">
        <f t="shared" si="0"/>
        <v>   </v>
      </c>
      <c r="E21" s="42">
        <f t="shared" si="1"/>
        <v>0</v>
      </c>
    </row>
    <row r="22" spans="1:5" ht="29.25" customHeight="1">
      <c r="A22" s="16" t="s">
        <v>28</v>
      </c>
      <c r="B22" s="209">
        <f>SUM(B23:B24)</f>
        <v>99200</v>
      </c>
      <c r="C22" s="210">
        <f>SUM(C23:C24)</f>
        <v>1.98</v>
      </c>
      <c r="D22" s="26">
        <f t="shared" si="0"/>
        <v>0.001995967741935484</v>
      </c>
      <c r="E22" s="42">
        <f t="shared" si="1"/>
        <v>-99198.02</v>
      </c>
    </row>
    <row r="23" spans="1:5" ht="15.75" customHeight="1">
      <c r="A23" s="41" t="s">
        <v>151</v>
      </c>
      <c r="B23" s="209">
        <v>99200</v>
      </c>
      <c r="C23" s="224">
        <v>1.98</v>
      </c>
      <c r="D23" s="26">
        <f t="shared" si="0"/>
        <v>0.001995967741935484</v>
      </c>
      <c r="E23" s="42">
        <f t="shared" si="1"/>
        <v>-99198.02</v>
      </c>
    </row>
    <row r="24" spans="1:5" ht="15.75" customHeight="1">
      <c r="A24" s="16" t="s">
        <v>30</v>
      </c>
      <c r="B24" s="209">
        <v>0</v>
      </c>
      <c r="C24" s="212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172</v>
      </c>
      <c r="B25" s="207">
        <f>SUM(B26)</f>
        <v>0</v>
      </c>
      <c r="C25" s="210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173</v>
      </c>
      <c r="B26" s="209">
        <v>0</v>
      </c>
      <c r="C26" s="212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09">
        <v>0</v>
      </c>
      <c r="C27" s="212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09">
        <f>SUM(B29:B30)</f>
        <v>0</v>
      </c>
      <c r="C28" s="211">
        <f>SUM(C29:C30)</f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104</v>
      </c>
      <c r="B29" s="209">
        <v>0</v>
      </c>
      <c r="C29" s="211">
        <v>0</v>
      </c>
      <c r="D29" s="26" t="str">
        <f t="shared" si="0"/>
        <v>   </v>
      </c>
      <c r="E29" s="42">
        <f t="shared" si="1"/>
        <v>0</v>
      </c>
    </row>
    <row r="30" spans="1:5" s="9" customFormat="1" ht="15" customHeight="1">
      <c r="A30" s="16" t="s">
        <v>107</v>
      </c>
      <c r="B30" s="213">
        <v>0</v>
      </c>
      <c r="C30" s="210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69" t="s">
        <v>10</v>
      </c>
      <c r="B31" s="200">
        <f>SUM(B6,B8,B10,B12,B17,B18,B19,B22,B27,B28,B25)</f>
        <v>1101200</v>
      </c>
      <c r="C31" s="204">
        <f>SUM(C6,C8,C10,C12,C17,C18,C19,C22,C27,C28,C25)</f>
        <v>219614.49000000002</v>
      </c>
      <c r="D31" s="139">
        <f t="shared" si="0"/>
        <v>19.94319742099528</v>
      </c>
      <c r="E31" s="140">
        <f t="shared" si="1"/>
        <v>-881585.51</v>
      </c>
    </row>
    <row r="32" spans="1:5" ht="19.5" customHeight="1">
      <c r="A32" s="177" t="s">
        <v>139</v>
      </c>
      <c r="B32" s="214">
        <f>SUM(B33:B37,B40:B44,B49)</f>
        <v>4004349.69</v>
      </c>
      <c r="C32" s="214">
        <f>SUM(C33:C37,C40:C44,C49)</f>
        <v>786964</v>
      </c>
      <c r="D32" s="139">
        <f t="shared" si="0"/>
        <v>19.652729180103147</v>
      </c>
      <c r="E32" s="140">
        <f t="shared" si="1"/>
        <v>-3217385.69</v>
      </c>
    </row>
    <row r="33" spans="1:5" ht="18.75" customHeight="1">
      <c r="A33" s="17" t="s">
        <v>34</v>
      </c>
      <c r="B33" s="207">
        <v>2275600</v>
      </c>
      <c r="C33" s="224">
        <v>568890</v>
      </c>
      <c r="D33" s="26">
        <f t="shared" si="0"/>
        <v>24.9995605554579</v>
      </c>
      <c r="E33" s="42">
        <f t="shared" si="1"/>
        <v>-1706710</v>
      </c>
    </row>
    <row r="34" spans="1:5" ht="18.75" customHeight="1">
      <c r="A34" s="17" t="s">
        <v>225</v>
      </c>
      <c r="B34" s="207">
        <v>0</v>
      </c>
      <c r="C34" s="224">
        <v>0</v>
      </c>
      <c r="D34" s="26" t="str">
        <f>IF(B34=0,"   ",C34/B34*100)</f>
        <v>   </v>
      </c>
      <c r="E34" s="42">
        <f>C34-B34</f>
        <v>0</v>
      </c>
    </row>
    <row r="35" spans="1:5" ht="15.75" customHeight="1">
      <c r="A35" s="41" t="s">
        <v>146</v>
      </c>
      <c r="B35" s="209">
        <v>0</v>
      </c>
      <c r="C35" s="212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32" t="s">
        <v>51</v>
      </c>
      <c r="B36" s="133">
        <v>103600</v>
      </c>
      <c r="C36" s="228">
        <v>30000</v>
      </c>
      <c r="D36" s="134">
        <f t="shared" si="0"/>
        <v>28.957528957528954</v>
      </c>
      <c r="E36" s="135">
        <f t="shared" si="1"/>
        <v>-73600</v>
      </c>
    </row>
    <row r="37" spans="1:5" ht="32.25" customHeight="1">
      <c r="A37" s="108" t="s">
        <v>147</v>
      </c>
      <c r="B37" s="133">
        <f>SUM(B38:B39)</f>
        <v>100</v>
      </c>
      <c r="C37" s="133">
        <f>SUM(C38:C39)</f>
        <v>70</v>
      </c>
      <c r="D37" s="134">
        <f t="shared" si="0"/>
        <v>70</v>
      </c>
      <c r="E37" s="135">
        <f t="shared" si="1"/>
        <v>-30</v>
      </c>
    </row>
    <row r="38" spans="1:5" ht="15.75" customHeight="1">
      <c r="A38" s="108" t="s">
        <v>162</v>
      </c>
      <c r="B38" s="133">
        <v>100</v>
      </c>
      <c r="C38" s="133">
        <v>70</v>
      </c>
      <c r="D38" s="134">
        <f>IF(B38=0,"   ",C38/B38*100)</f>
        <v>70</v>
      </c>
      <c r="E38" s="135">
        <f>C38-B38</f>
        <v>-30</v>
      </c>
    </row>
    <row r="39" spans="1:5" ht="24.75" customHeight="1">
      <c r="A39" s="108" t="s">
        <v>163</v>
      </c>
      <c r="B39" s="133">
        <v>0</v>
      </c>
      <c r="C39" s="133">
        <v>0</v>
      </c>
      <c r="D39" s="134" t="str">
        <f>IF(B39=0,"   ",C39/B39*100)</f>
        <v>   </v>
      </c>
      <c r="E39" s="135">
        <f>C39-B39</f>
        <v>0</v>
      </c>
    </row>
    <row r="40" spans="1:5" ht="26.25" customHeight="1">
      <c r="A40" s="16" t="s">
        <v>286</v>
      </c>
      <c r="B40" s="133">
        <v>0</v>
      </c>
      <c r="C40" s="133">
        <v>0</v>
      </c>
      <c r="D40" s="134" t="str">
        <f t="shared" si="0"/>
        <v>   </v>
      </c>
      <c r="E40" s="135">
        <f t="shared" si="1"/>
        <v>0</v>
      </c>
    </row>
    <row r="41" spans="1:5" ht="25.5" customHeight="1">
      <c r="A41" s="16" t="s">
        <v>280</v>
      </c>
      <c r="B41" s="133">
        <v>0</v>
      </c>
      <c r="C41" s="133">
        <v>0</v>
      </c>
      <c r="D41" s="134" t="str">
        <f t="shared" si="0"/>
        <v>   </v>
      </c>
      <c r="E41" s="135">
        <f t="shared" si="1"/>
        <v>0</v>
      </c>
    </row>
    <row r="42" spans="1:5" ht="54.75" customHeight="1">
      <c r="A42" s="16" t="s">
        <v>234</v>
      </c>
      <c r="B42" s="133">
        <v>637800</v>
      </c>
      <c r="C42" s="133">
        <v>0</v>
      </c>
      <c r="D42" s="134">
        <f t="shared" si="0"/>
        <v>0</v>
      </c>
      <c r="E42" s="135">
        <f t="shared" si="1"/>
        <v>-637800</v>
      </c>
    </row>
    <row r="43" spans="1:5" ht="26.25" customHeight="1">
      <c r="A43" s="16" t="s">
        <v>261</v>
      </c>
      <c r="B43" s="133">
        <v>0</v>
      </c>
      <c r="C43" s="133">
        <v>0</v>
      </c>
      <c r="D43" s="134" t="str">
        <f t="shared" si="0"/>
        <v>   </v>
      </c>
      <c r="E43" s="135">
        <f t="shared" si="1"/>
        <v>0</v>
      </c>
    </row>
    <row r="44" spans="1:5" ht="16.5" customHeight="1">
      <c r="A44" s="16" t="s">
        <v>80</v>
      </c>
      <c r="B44" s="209">
        <f>B48+B45+B47+B46</f>
        <v>857126.38</v>
      </c>
      <c r="C44" s="209">
        <f>C48+C45+C47+C46</f>
        <v>188004</v>
      </c>
      <c r="D44" s="26">
        <f t="shared" si="0"/>
        <v>21.934221648854162</v>
      </c>
      <c r="E44" s="42">
        <f t="shared" si="1"/>
        <v>-669122.38</v>
      </c>
    </row>
    <row r="45" spans="1:5" ht="15" customHeight="1">
      <c r="A45" s="46" t="s">
        <v>186</v>
      </c>
      <c r="B45" s="209">
        <v>390326.38</v>
      </c>
      <c r="C45" s="216">
        <v>0</v>
      </c>
      <c r="D45" s="26">
        <f t="shared" si="0"/>
        <v>0</v>
      </c>
      <c r="E45" s="42">
        <f t="shared" si="1"/>
        <v>-390326.38</v>
      </c>
    </row>
    <row r="46" spans="1:5" ht="15" customHeight="1">
      <c r="A46" s="46" t="s">
        <v>311</v>
      </c>
      <c r="B46" s="209">
        <v>36900</v>
      </c>
      <c r="C46" s="216">
        <v>0</v>
      </c>
      <c r="D46" s="26">
        <f t="shared" si="0"/>
        <v>0</v>
      </c>
      <c r="E46" s="42">
        <f t="shared" si="1"/>
        <v>-36900</v>
      </c>
    </row>
    <row r="47" spans="1:5" ht="15" customHeight="1">
      <c r="A47" s="46" t="s">
        <v>278</v>
      </c>
      <c r="B47" s="209">
        <v>0</v>
      </c>
      <c r="C47" s="216">
        <v>0</v>
      </c>
      <c r="D47" s="26" t="str">
        <f>IF(B47=0,"   ",C47/B47*100)</f>
        <v>   </v>
      </c>
      <c r="E47" s="42">
        <f>C47-B47</f>
        <v>0</v>
      </c>
    </row>
    <row r="48" spans="1:5" s="7" customFormat="1" ht="16.5" customHeight="1">
      <c r="A48" s="46" t="s">
        <v>108</v>
      </c>
      <c r="B48" s="217">
        <v>429900</v>
      </c>
      <c r="C48" s="216">
        <v>188004</v>
      </c>
      <c r="D48" s="47">
        <f t="shared" si="0"/>
        <v>43.732030704815074</v>
      </c>
      <c r="E48" s="40">
        <f t="shared" si="1"/>
        <v>-241896</v>
      </c>
    </row>
    <row r="49" spans="1:5" s="7" customFormat="1" ht="19.5" customHeight="1">
      <c r="A49" s="16" t="s">
        <v>196</v>
      </c>
      <c r="B49" s="231">
        <v>130123.31</v>
      </c>
      <c r="C49" s="216">
        <v>0</v>
      </c>
      <c r="D49" s="47">
        <f>IF(B49=0,"   ",C49/B49*100)</f>
        <v>0</v>
      </c>
      <c r="E49" s="40">
        <f>C49-B49</f>
        <v>-130123.31</v>
      </c>
    </row>
    <row r="50" spans="1:5" ht="21.75" customHeight="1">
      <c r="A50" s="169" t="s">
        <v>11</v>
      </c>
      <c r="B50" s="204">
        <f>B31+B32</f>
        <v>5105549.6899999995</v>
      </c>
      <c r="C50" s="204">
        <f>C31+C32</f>
        <v>1006578.49</v>
      </c>
      <c r="D50" s="139">
        <f t="shared" si="0"/>
        <v>19.715379363979906</v>
      </c>
      <c r="E50" s="140">
        <f t="shared" si="1"/>
        <v>-4098971.1999999993</v>
      </c>
    </row>
    <row r="51" spans="1:5" ht="12.75">
      <c r="A51" s="30"/>
      <c r="B51" s="207"/>
      <c r="C51" s="218"/>
      <c r="D51" s="26" t="str">
        <f t="shared" si="0"/>
        <v>   </v>
      </c>
      <c r="E51" s="42"/>
    </row>
    <row r="52" spans="1:5" ht="13.5" thickBot="1">
      <c r="A52" s="105" t="s">
        <v>12</v>
      </c>
      <c r="B52" s="219"/>
      <c r="C52" s="220"/>
      <c r="D52" s="111" t="str">
        <f t="shared" si="0"/>
        <v>   </v>
      </c>
      <c r="E52" s="112"/>
    </row>
    <row r="53" spans="1:5" ht="13.5" thickBot="1">
      <c r="A53" s="128" t="s">
        <v>35</v>
      </c>
      <c r="B53" s="129">
        <f>SUM(B54,B56+B57)</f>
        <v>1288200</v>
      </c>
      <c r="C53" s="129">
        <f>SUM(C54,C56+C57)</f>
        <v>277469.17</v>
      </c>
      <c r="D53" s="130">
        <f t="shared" si="0"/>
        <v>21.539292811675203</v>
      </c>
      <c r="E53" s="131">
        <f t="shared" si="1"/>
        <v>-1010730.8300000001</v>
      </c>
    </row>
    <row r="54" spans="1:5" ht="13.5" thickBot="1">
      <c r="A54" s="116" t="s">
        <v>36</v>
      </c>
      <c r="B54" s="117">
        <v>1277700</v>
      </c>
      <c r="C54" s="129">
        <v>277469.17</v>
      </c>
      <c r="D54" s="118">
        <f t="shared" si="0"/>
        <v>21.7163003835016</v>
      </c>
      <c r="E54" s="119">
        <f t="shared" si="1"/>
        <v>-1000230.8300000001</v>
      </c>
    </row>
    <row r="55" spans="1:5" ht="12.75">
      <c r="A55" s="85" t="s">
        <v>119</v>
      </c>
      <c r="B55" s="25">
        <v>783410</v>
      </c>
      <c r="C55" s="28">
        <v>171085.68</v>
      </c>
      <c r="D55" s="26">
        <f t="shared" si="0"/>
        <v>21.838587712691947</v>
      </c>
      <c r="E55" s="42">
        <f t="shared" si="1"/>
        <v>-612324.3200000001</v>
      </c>
    </row>
    <row r="56" spans="1:5" ht="12.75">
      <c r="A56" s="16" t="s">
        <v>94</v>
      </c>
      <c r="B56" s="25">
        <v>500</v>
      </c>
      <c r="C56" s="28">
        <v>0</v>
      </c>
      <c r="D56" s="26">
        <f t="shared" si="0"/>
        <v>0</v>
      </c>
      <c r="E56" s="42">
        <f t="shared" si="1"/>
        <v>-500</v>
      </c>
    </row>
    <row r="57" spans="1:5" ht="12.75">
      <c r="A57" s="104" t="s">
        <v>53</v>
      </c>
      <c r="B57" s="31">
        <f>SUM(B58)</f>
        <v>10000</v>
      </c>
      <c r="C57" s="31">
        <f>SUM(C58)</f>
        <v>0</v>
      </c>
      <c r="D57" s="111">
        <f t="shared" si="0"/>
        <v>0</v>
      </c>
      <c r="E57" s="112">
        <f t="shared" si="1"/>
        <v>-10000</v>
      </c>
    </row>
    <row r="58" spans="1:5" ht="29.25" customHeight="1" thickBot="1">
      <c r="A58" s="104" t="s">
        <v>242</v>
      </c>
      <c r="B58" s="121">
        <v>10000</v>
      </c>
      <c r="C58" s="122">
        <v>0</v>
      </c>
      <c r="D58" s="111">
        <f t="shared" si="0"/>
        <v>0</v>
      </c>
      <c r="E58" s="112">
        <f t="shared" si="1"/>
        <v>-10000</v>
      </c>
    </row>
    <row r="59" spans="1:5" ht="13.5" thickBot="1">
      <c r="A59" s="128" t="s">
        <v>49</v>
      </c>
      <c r="B59" s="179">
        <f>SUM(B60)</f>
        <v>103600</v>
      </c>
      <c r="C59" s="179">
        <f>SUM(C60)</f>
        <v>18655.18</v>
      </c>
      <c r="D59" s="130">
        <f t="shared" si="0"/>
        <v>18.0069305019305</v>
      </c>
      <c r="E59" s="131">
        <f t="shared" si="1"/>
        <v>-84944.82</v>
      </c>
    </row>
    <row r="60" spans="1:5" ht="16.5" customHeight="1" thickBot="1">
      <c r="A60" s="120" t="s">
        <v>106</v>
      </c>
      <c r="B60" s="121">
        <v>103600</v>
      </c>
      <c r="C60" s="122">
        <v>18655.18</v>
      </c>
      <c r="D60" s="123">
        <f t="shared" si="0"/>
        <v>18.0069305019305</v>
      </c>
      <c r="E60" s="124">
        <f t="shared" si="1"/>
        <v>-84944.82</v>
      </c>
    </row>
    <row r="61" spans="1:5" ht="13.5" thickBot="1">
      <c r="A61" s="128" t="s">
        <v>37</v>
      </c>
      <c r="B61" s="129">
        <f>SUM(B62)</f>
        <v>5000</v>
      </c>
      <c r="C61" s="179">
        <f>SUM(C62)</f>
        <v>0</v>
      </c>
      <c r="D61" s="130">
        <f t="shared" si="0"/>
        <v>0</v>
      </c>
      <c r="E61" s="131">
        <f t="shared" si="1"/>
        <v>-5000</v>
      </c>
    </row>
    <row r="62" spans="1:5" ht="13.5" thickBot="1">
      <c r="A62" s="75" t="s">
        <v>127</v>
      </c>
      <c r="B62" s="121">
        <v>5000</v>
      </c>
      <c r="C62" s="122">
        <v>0</v>
      </c>
      <c r="D62" s="123">
        <f t="shared" si="0"/>
        <v>0</v>
      </c>
      <c r="E62" s="124">
        <f t="shared" si="1"/>
        <v>-5000</v>
      </c>
    </row>
    <row r="63" spans="1:5" ht="13.5" thickBot="1">
      <c r="A63" s="128" t="s">
        <v>38</v>
      </c>
      <c r="B63" s="98">
        <f>B64+B69+B71+B79</f>
        <v>2003958.8900000001</v>
      </c>
      <c r="C63" s="98">
        <f>C64+C69+C71+C79</f>
        <v>310479.82</v>
      </c>
      <c r="D63" s="130">
        <f t="shared" si="0"/>
        <v>15.493322819611333</v>
      </c>
      <c r="E63" s="131">
        <f t="shared" si="1"/>
        <v>-1693479.07</v>
      </c>
    </row>
    <row r="64" spans="1:5" ht="15.75" customHeight="1" thickBot="1">
      <c r="A64" s="75" t="s">
        <v>174</v>
      </c>
      <c r="B64" s="98">
        <f>SUM(B65:B68)</f>
        <v>39200</v>
      </c>
      <c r="C64" s="98">
        <f>SUM(C65+C66)</f>
        <v>0</v>
      </c>
      <c r="D64" s="130">
        <f aca="true" t="shared" si="2" ref="D64:D70">IF(B64=0,"   ",C64/B64*100)</f>
        <v>0</v>
      </c>
      <c r="E64" s="131">
        <f aca="true" t="shared" si="3" ref="E64:E70">C64-B64</f>
        <v>-39200</v>
      </c>
    </row>
    <row r="65" spans="1:5" ht="18" customHeight="1" thickBot="1">
      <c r="A65" s="75" t="s">
        <v>165</v>
      </c>
      <c r="B65" s="235">
        <v>0</v>
      </c>
      <c r="C65" s="129">
        <v>0</v>
      </c>
      <c r="D65" s="130" t="str">
        <f t="shared" si="2"/>
        <v>   </v>
      </c>
      <c r="E65" s="131">
        <f t="shared" si="3"/>
        <v>0</v>
      </c>
    </row>
    <row r="66" spans="1:5" ht="18" customHeight="1" thickBot="1">
      <c r="A66" s="75" t="s">
        <v>187</v>
      </c>
      <c r="B66" s="117">
        <v>0</v>
      </c>
      <c r="C66" s="117">
        <v>0</v>
      </c>
      <c r="D66" s="130" t="str">
        <f t="shared" si="2"/>
        <v>   </v>
      </c>
      <c r="E66" s="131">
        <f t="shared" si="3"/>
        <v>0</v>
      </c>
    </row>
    <row r="67" spans="1:5" ht="18" customHeight="1" thickBot="1">
      <c r="A67" s="75" t="s">
        <v>312</v>
      </c>
      <c r="B67" s="25">
        <v>36900</v>
      </c>
      <c r="C67" s="25">
        <v>0</v>
      </c>
      <c r="D67" s="130">
        <f t="shared" si="2"/>
        <v>0</v>
      </c>
      <c r="E67" s="131">
        <f t="shared" si="3"/>
        <v>-36900</v>
      </c>
    </row>
    <row r="68" spans="1:5" ht="18" customHeight="1" thickBot="1">
      <c r="A68" s="75" t="s">
        <v>313</v>
      </c>
      <c r="B68" s="25">
        <v>2300</v>
      </c>
      <c r="C68" s="25">
        <v>0</v>
      </c>
      <c r="D68" s="130">
        <f t="shared" si="2"/>
        <v>0</v>
      </c>
      <c r="E68" s="131">
        <f t="shared" si="3"/>
        <v>-2300</v>
      </c>
    </row>
    <row r="69" spans="1:5" ht="18" customHeight="1" thickBot="1">
      <c r="A69" s="75" t="s">
        <v>227</v>
      </c>
      <c r="B69" s="187">
        <f>SUM(B70)</f>
        <v>0</v>
      </c>
      <c r="C69" s="187">
        <f>SUM(C70)</f>
        <v>0</v>
      </c>
      <c r="D69" s="130" t="str">
        <f t="shared" si="2"/>
        <v>   </v>
      </c>
      <c r="E69" s="131">
        <f t="shared" si="3"/>
        <v>0</v>
      </c>
    </row>
    <row r="70" spans="1:5" ht="18" customHeight="1" thickBot="1">
      <c r="A70" s="75" t="s">
        <v>228</v>
      </c>
      <c r="B70" s="117">
        <v>0</v>
      </c>
      <c r="C70" s="117">
        <v>0</v>
      </c>
      <c r="D70" s="130" t="str">
        <f t="shared" si="2"/>
        <v>   </v>
      </c>
      <c r="E70" s="131">
        <f t="shared" si="3"/>
        <v>0</v>
      </c>
    </row>
    <row r="71" spans="1:5" ht="12.75">
      <c r="A71" s="95" t="s">
        <v>130</v>
      </c>
      <c r="B71" s="117">
        <f>SUM(B72:B78)</f>
        <v>1834758.8900000001</v>
      </c>
      <c r="C71" s="117">
        <f>SUM(C72:C78)</f>
        <v>310479.82</v>
      </c>
      <c r="D71" s="118">
        <f t="shared" si="0"/>
        <v>16.922104680468394</v>
      </c>
      <c r="E71" s="119">
        <f t="shared" si="1"/>
        <v>-1524279.07</v>
      </c>
    </row>
    <row r="72" spans="1:5" ht="19.5" customHeight="1">
      <c r="A72" s="75" t="s">
        <v>148</v>
      </c>
      <c r="B72" s="25">
        <v>250000</v>
      </c>
      <c r="C72" s="25">
        <v>0</v>
      </c>
      <c r="D72" s="118">
        <f t="shared" si="0"/>
        <v>0</v>
      </c>
      <c r="E72" s="119">
        <f t="shared" si="1"/>
        <v>-250000</v>
      </c>
    </row>
    <row r="73" spans="1:5" ht="26.25">
      <c r="A73" s="71" t="s">
        <v>245</v>
      </c>
      <c r="B73" s="25">
        <v>227258.89</v>
      </c>
      <c r="C73" s="25">
        <v>89475.82</v>
      </c>
      <c r="D73" s="26">
        <f t="shared" si="0"/>
        <v>39.3717579101086</v>
      </c>
      <c r="E73" s="27">
        <f t="shared" si="1"/>
        <v>-137783.07</v>
      </c>
    </row>
    <row r="74" spans="1:5" ht="26.25">
      <c r="A74" s="71" t="s">
        <v>246</v>
      </c>
      <c r="B74" s="25">
        <v>171100</v>
      </c>
      <c r="C74" s="25">
        <v>0</v>
      </c>
      <c r="D74" s="26">
        <f t="shared" si="0"/>
        <v>0</v>
      </c>
      <c r="E74" s="27">
        <f t="shared" si="1"/>
        <v>-171100</v>
      </c>
    </row>
    <row r="75" spans="1:5" ht="26.25">
      <c r="A75" s="71" t="s">
        <v>247</v>
      </c>
      <c r="B75" s="25">
        <v>637800</v>
      </c>
      <c r="C75" s="25">
        <v>0</v>
      </c>
      <c r="D75" s="26">
        <f t="shared" si="0"/>
        <v>0</v>
      </c>
      <c r="E75" s="27">
        <f t="shared" si="1"/>
        <v>-637800</v>
      </c>
    </row>
    <row r="76" spans="1:5" ht="26.25">
      <c r="A76" s="71" t="s">
        <v>248</v>
      </c>
      <c r="B76" s="25">
        <v>70900</v>
      </c>
      <c r="C76" s="25">
        <v>0</v>
      </c>
      <c r="D76" s="26">
        <f t="shared" si="0"/>
        <v>0</v>
      </c>
      <c r="E76" s="27">
        <f t="shared" si="1"/>
        <v>-70900</v>
      </c>
    </row>
    <row r="77" spans="1:5" ht="26.25">
      <c r="A77" s="71" t="s">
        <v>249</v>
      </c>
      <c r="B77" s="25">
        <v>429900</v>
      </c>
      <c r="C77" s="25">
        <v>188004</v>
      </c>
      <c r="D77" s="26">
        <f t="shared" si="0"/>
        <v>43.732030704815074</v>
      </c>
      <c r="E77" s="27">
        <f t="shared" si="1"/>
        <v>-241896</v>
      </c>
    </row>
    <row r="78" spans="1:5" ht="27" thickBot="1">
      <c r="A78" s="71" t="s">
        <v>250</v>
      </c>
      <c r="B78" s="113">
        <v>47800</v>
      </c>
      <c r="C78" s="113">
        <v>33000</v>
      </c>
      <c r="D78" s="111">
        <f t="shared" si="0"/>
        <v>69.0376569037657</v>
      </c>
      <c r="E78" s="112">
        <f t="shared" si="1"/>
        <v>-14800</v>
      </c>
    </row>
    <row r="79" spans="1:5" ht="12.75">
      <c r="A79" s="95" t="s">
        <v>175</v>
      </c>
      <c r="B79" s="267">
        <f>SUM(B80+B81)</f>
        <v>130000</v>
      </c>
      <c r="C79" s="267">
        <f>SUM(C80+C81)</f>
        <v>0</v>
      </c>
      <c r="D79" s="111">
        <f>IF(B79=0,"   ",C79/B79*100)</f>
        <v>0</v>
      </c>
      <c r="E79" s="112">
        <f>C79-B79</f>
        <v>-130000</v>
      </c>
    </row>
    <row r="80" spans="1:5" ht="26.25">
      <c r="A80" s="144" t="s">
        <v>154</v>
      </c>
      <c r="B80" s="31">
        <v>40000</v>
      </c>
      <c r="C80" s="31">
        <v>0</v>
      </c>
      <c r="D80" s="26">
        <f>IF(B80=0,"   ",C80/B80*100)</f>
        <v>0</v>
      </c>
      <c r="E80" s="27">
        <f>C80-B80</f>
        <v>-40000</v>
      </c>
    </row>
    <row r="81" spans="1:5" ht="26.25">
      <c r="A81" s="145" t="s">
        <v>176</v>
      </c>
      <c r="B81" s="25">
        <v>90000</v>
      </c>
      <c r="C81" s="25">
        <v>0</v>
      </c>
      <c r="D81" s="26">
        <f>IF(B81=0,"   ",C81/B81*100)</f>
        <v>0</v>
      </c>
      <c r="E81" s="27">
        <f>C81-B81</f>
        <v>-90000</v>
      </c>
    </row>
    <row r="82" spans="1:5" ht="13.5" customHeight="1">
      <c r="A82" s="144" t="s">
        <v>13</v>
      </c>
      <c r="B82" s="25">
        <f>SUM(B92,B91,B83+B100)</f>
        <v>1213419.98</v>
      </c>
      <c r="C82" s="25">
        <f>SUM(C92,C91,C83)</f>
        <v>24939</v>
      </c>
      <c r="D82" s="26">
        <f t="shared" si="0"/>
        <v>2.055265317124579</v>
      </c>
      <c r="E82" s="27">
        <f t="shared" si="1"/>
        <v>-1188480.98</v>
      </c>
    </row>
    <row r="83" spans="1:5" ht="13.5" customHeight="1" thickBot="1">
      <c r="A83" s="95" t="s">
        <v>149</v>
      </c>
      <c r="B83" s="117">
        <f>SUM(B84+B85+B86+B87)</f>
        <v>152220</v>
      </c>
      <c r="C83" s="117">
        <f>SUM(C84+C85+C86+C87)</f>
        <v>0</v>
      </c>
      <c r="D83" s="142">
        <f t="shared" si="0"/>
        <v>0</v>
      </c>
      <c r="E83" s="124">
        <f t="shared" si="1"/>
        <v>-152220</v>
      </c>
    </row>
    <row r="84" spans="1:5" ht="30.75" customHeight="1" thickBot="1">
      <c r="A84" s="16" t="s">
        <v>193</v>
      </c>
      <c r="B84" s="117">
        <v>10000</v>
      </c>
      <c r="C84" s="117">
        <v>0</v>
      </c>
      <c r="D84" s="130">
        <f t="shared" si="0"/>
        <v>0</v>
      </c>
      <c r="E84" s="27">
        <f t="shared" si="1"/>
        <v>-10000</v>
      </c>
    </row>
    <row r="85" spans="1:5" ht="18" customHeight="1" thickBot="1">
      <c r="A85" s="16" t="s">
        <v>283</v>
      </c>
      <c r="B85" s="117">
        <v>0</v>
      </c>
      <c r="C85" s="117">
        <v>0</v>
      </c>
      <c r="D85" s="130" t="str">
        <f aca="true" t="shared" si="4" ref="D85:D90">IF(B85=0,"   ",C85/B85*100)</f>
        <v>   </v>
      </c>
      <c r="E85" s="27">
        <f aca="true" t="shared" si="5" ref="E85:E90">C85-B85</f>
        <v>0</v>
      </c>
    </row>
    <row r="86" spans="1:5" ht="18" customHeight="1" thickBot="1">
      <c r="A86" s="104" t="s">
        <v>338</v>
      </c>
      <c r="B86" s="117">
        <v>142220</v>
      </c>
      <c r="C86" s="117">
        <v>0</v>
      </c>
      <c r="D86" s="130">
        <f t="shared" si="4"/>
        <v>0</v>
      </c>
      <c r="E86" s="27">
        <f t="shared" si="5"/>
        <v>-142220</v>
      </c>
    </row>
    <row r="87" spans="1:5" ht="19.5" customHeight="1" thickBot="1">
      <c r="A87" s="104" t="s">
        <v>203</v>
      </c>
      <c r="B87" s="117">
        <f>SUM(B88+B89+B90)</f>
        <v>0</v>
      </c>
      <c r="C87" s="117">
        <f>SUM(C88+C89+C90)</f>
        <v>0</v>
      </c>
      <c r="D87" s="130" t="str">
        <f t="shared" si="4"/>
        <v>   </v>
      </c>
      <c r="E87" s="27">
        <f t="shared" si="5"/>
        <v>0</v>
      </c>
    </row>
    <row r="88" spans="1:5" ht="30.75" customHeight="1" thickBot="1">
      <c r="A88" s="104" t="s">
        <v>213</v>
      </c>
      <c r="B88" s="117">
        <v>0</v>
      </c>
      <c r="C88" s="117">
        <v>0</v>
      </c>
      <c r="D88" s="130" t="str">
        <f t="shared" si="4"/>
        <v>   </v>
      </c>
      <c r="E88" s="27">
        <f t="shared" si="5"/>
        <v>0</v>
      </c>
    </row>
    <row r="89" spans="1:5" ht="30.75" customHeight="1" thickBot="1">
      <c r="A89" s="104" t="s">
        <v>204</v>
      </c>
      <c r="B89" s="117">
        <v>0</v>
      </c>
      <c r="C89" s="117">
        <v>0</v>
      </c>
      <c r="D89" s="130" t="str">
        <f t="shared" si="4"/>
        <v>   </v>
      </c>
      <c r="E89" s="27">
        <f t="shared" si="5"/>
        <v>0</v>
      </c>
    </row>
    <row r="90" spans="1:5" ht="30.75" customHeight="1" thickBot="1">
      <c r="A90" s="104" t="s">
        <v>214</v>
      </c>
      <c r="B90" s="117">
        <v>0</v>
      </c>
      <c r="C90" s="117">
        <v>0</v>
      </c>
      <c r="D90" s="130" t="str">
        <f t="shared" si="4"/>
        <v>   </v>
      </c>
      <c r="E90" s="27">
        <f t="shared" si="5"/>
        <v>0</v>
      </c>
    </row>
    <row r="91" spans="1:5" ht="13.5" customHeight="1" thickBot="1">
      <c r="A91" s="116" t="s">
        <v>85</v>
      </c>
      <c r="B91" s="117">
        <v>0</v>
      </c>
      <c r="C91" s="117">
        <v>0</v>
      </c>
      <c r="D91" s="130" t="str">
        <f t="shared" si="0"/>
        <v>   </v>
      </c>
      <c r="E91" s="27">
        <f t="shared" si="1"/>
        <v>0</v>
      </c>
    </row>
    <row r="92" spans="1:5" ht="12.75">
      <c r="A92" s="16" t="s">
        <v>58</v>
      </c>
      <c r="B92" s="25">
        <f>B93+B98+B94+B99</f>
        <v>1061099.98</v>
      </c>
      <c r="C92" s="25">
        <f>C93+C98+C94+C99</f>
        <v>24939</v>
      </c>
      <c r="D92" s="26">
        <f t="shared" si="0"/>
        <v>2.350296906046497</v>
      </c>
      <c r="E92" s="42">
        <f t="shared" si="1"/>
        <v>-1036160.98</v>
      </c>
    </row>
    <row r="93" spans="1:5" ht="12.75">
      <c r="A93" s="16" t="s">
        <v>56</v>
      </c>
      <c r="B93" s="25">
        <v>180000</v>
      </c>
      <c r="C93" s="27">
        <v>24939</v>
      </c>
      <c r="D93" s="26">
        <f t="shared" si="0"/>
        <v>13.855</v>
      </c>
      <c r="E93" s="42">
        <f t="shared" si="1"/>
        <v>-155061</v>
      </c>
    </row>
    <row r="94" spans="1:5" ht="12.75">
      <c r="A94" s="104" t="s">
        <v>203</v>
      </c>
      <c r="B94" s="25">
        <f>SUM(B95:B97)</f>
        <v>650573.58</v>
      </c>
      <c r="C94" s="25">
        <f>SUM(C95:C97)</f>
        <v>0</v>
      </c>
      <c r="D94" s="111">
        <f t="shared" si="0"/>
        <v>0</v>
      </c>
      <c r="E94" s="112">
        <f t="shared" si="1"/>
        <v>-650573.58</v>
      </c>
    </row>
    <row r="95" spans="1:5" ht="26.25">
      <c r="A95" s="104" t="s">
        <v>210</v>
      </c>
      <c r="B95" s="25">
        <v>390326.38</v>
      </c>
      <c r="C95" s="27">
        <v>0</v>
      </c>
      <c r="D95" s="111">
        <f t="shared" si="0"/>
        <v>0</v>
      </c>
      <c r="E95" s="112">
        <f t="shared" si="1"/>
        <v>-390326.38</v>
      </c>
    </row>
    <row r="96" spans="1:5" ht="26.25">
      <c r="A96" s="104" t="s">
        <v>211</v>
      </c>
      <c r="B96" s="25">
        <v>130123.6</v>
      </c>
      <c r="C96" s="27">
        <v>0</v>
      </c>
      <c r="D96" s="111">
        <f t="shared" si="0"/>
        <v>0</v>
      </c>
      <c r="E96" s="112">
        <f t="shared" si="1"/>
        <v>-130123.6</v>
      </c>
    </row>
    <row r="97" spans="1:5" ht="26.25">
      <c r="A97" s="104" t="s">
        <v>212</v>
      </c>
      <c r="B97" s="25">
        <v>130123.6</v>
      </c>
      <c r="C97" s="27">
        <v>0</v>
      </c>
      <c r="D97" s="111">
        <f t="shared" si="0"/>
        <v>0</v>
      </c>
      <c r="E97" s="112">
        <f t="shared" si="1"/>
        <v>-130123.6</v>
      </c>
    </row>
    <row r="98" spans="1:5" ht="12.75">
      <c r="A98" s="104" t="s">
        <v>59</v>
      </c>
      <c r="B98" s="25">
        <v>230526.4</v>
      </c>
      <c r="C98" s="27">
        <v>0</v>
      </c>
      <c r="D98" s="26">
        <f t="shared" si="0"/>
        <v>0</v>
      </c>
      <c r="E98" s="27">
        <f t="shared" si="1"/>
        <v>-230526.4</v>
      </c>
    </row>
    <row r="99" spans="1:5" ht="27" thickBot="1">
      <c r="A99" s="104" t="s">
        <v>284</v>
      </c>
      <c r="B99" s="25">
        <v>0</v>
      </c>
      <c r="C99" s="27">
        <v>0</v>
      </c>
      <c r="D99" s="26" t="str">
        <f t="shared" si="0"/>
        <v>   </v>
      </c>
      <c r="E99" s="27">
        <f t="shared" si="1"/>
        <v>0</v>
      </c>
    </row>
    <row r="100" spans="1:5" ht="13.5" thickBot="1">
      <c r="A100" s="145" t="s">
        <v>337</v>
      </c>
      <c r="B100" s="178">
        <f>SUM(B101)</f>
        <v>100</v>
      </c>
      <c r="C100" s="178">
        <f>SUM(C101)</f>
        <v>0</v>
      </c>
      <c r="D100" s="26">
        <f>IF(B100=0,"   ",C100/B100*100)</f>
        <v>0</v>
      </c>
      <c r="E100" s="27">
        <f>C100-B100</f>
        <v>-100</v>
      </c>
    </row>
    <row r="101" spans="1:5" ht="12.75">
      <c r="A101" s="145" t="s">
        <v>270</v>
      </c>
      <c r="B101" s="31">
        <v>100</v>
      </c>
      <c r="C101" s="70">
        <v>0</v>
      </c>
      <c r="D101" s="26">
        <f>IF(B101=0,"   ",C101/B101*100)</f>
        <v>0</v>
      </c>
      <c r="E101" s="27">
        <f>C101-B101</f>
        <v>-100</v>
      </c>
    </row>
    <row r="102" spans="1:5" ht="15" thickBot="1">
      <c r="A102" s="334" t="s">
        <v>17</v>
      </c>
      <c r="B102" s="187">
        <v>8000</v>
      </c>
      <c r="C102" s="187">
        <v>0</v>
      </c>
      <c r="D102" s="142">
        <f t="shared" si="0"/>
        <v>0</v>
      </c>
      <c r="E102" s="143">
        <f t="shared" si="1"/>
        <v>-8000</v>
      </c>
    </row>
    <row r="103" spans="1:5" ht="13.5" thickBot="1">
      <c r="A103" s="128" t="s">
        <v>41</v>
      </c>
      <c r="B103" s="180">
        <f>B104</f>
        <v>623500</v>
      </c>
      <c r="C103" s="180">
        <f>C104</f>
        <v>304390</v>
      </c>
      <c r="D103" s="130">
        <f t="shared" si="0"/>
        <v>48.81956696070569</v>
      </c>
      <c r="E103" s="131">
        <f t="shared" si="1"/>
        <v>-319110</v>
      </c>
    </row>
    <row r="104" spans="1:5" ht="12.75">
      <c r="A104" s="116" t="s">
        <v>42</v>
      </c>
      <c r="B104" s="117">
        <f>SUM(B105+B107+B106)</f>
        <v>623500</v>
      </c>
      <c r="C104" s="117">
        <f>SUM(C105+C107+C106)</f>
        <v>304390</v>
      </c>
      <c r="D104" s="118">
        <f t="shared" si="0"/>
        <v>48.81956696070569</v>
      </c>
      <c r="E104" s="119">
        <f t="shared" si="1"/>
        <v>-319110</v>
      </c>
    </row>
    <row r="105" spans="1:5" ht="12.75">
      <c r="A105" s="165" t="s">
        <v>142</v>
      </c>
      <c r="B105" s="121">
        <v>623500</v>
      </c>
      <c r="C105" s="122">
        <v>304390</v>
      </c>
      <c r="D105" s="123">
        <f t="shared" si="0"/>
        <v>48.81956696070569</v>
      </c>
      <c r="E105" s="124">
        <f t="shared" si="1"/>
        <v>-319110</v>
      </c>
    </row>
    <row r="106" spans="1:5" ht="12.75">
      <c r="A106" s="116" t="s">
        <v>291</v>
      </c>
      <c r="B106" s="121">
        <v>0</v>
      </c>
      <c r="C106" s="122">
        <v>0</v>
      </c>
      <c r="D106" s="123" t="str">
        <f t="shared" si="0"/>
        <v>   </v>
      </c>
      <c r="E106" s="125">
        <f t="shared" si="1"/>
        <v>0</v>
      </c>
    </row>
    <row r="107" spans="1:5" ht="21.75" customHeight="1" thickBot="1">
      <c r="A107" s="16" t="s">
        <v>251</v>
      </c>
      <c r="B107" s="25">
        <v>0</v>
      </c>
      <c r="C107" s="27">
        <v>0</v>
      </c>
      <c r="D107" s="26" t="str">
        <f t="shared" si="0"/>
        <v>   </v>
      </c>
      <c r="E107" s="27">
        <f t="shared" si="1"/>
        <v>0</v>
      </c>
    </row>
    <row r="108" spans="1:5" ht="13.5" thickBot="1">
      <c r="A108" s="128" t="s">
        <v>123</v>
      </c>
      <c r="B108" s="181">
        <f>SUM(B109,)</f>
        <v>8000</v>
      </c>
      <c r="C108" s="181">
        <f>SUM(C109,)</f>
        <v>0</v>
      </c>
      <c r="D108" s="142">
        <f t="shared" si="0"/>
        <v>0</v>
      </c>
      <c r="E108" s="143">
        <f t="shared" si="1"/>
        <v>-8000</v>
      </c>
    </row>
    <row r="109" spans="1:5" ht="12.75">
      <c r="A109" s="126" t="s">
        <v>43</v>
      </c>
      <c r="B109" s="121">
        <v>8000</v>
      </c>
      <c r="C109" s="127">
        <v>0</v>
      </c>
      <c r="D109" s="123">
        <f t="shared" si="0"/>
        <v>0</v>
      </c>
      <c r="E109" s="124">
        <f t="shared" si="1"/>
        <v>-8000</v>
      </c>
    </row>
    <row r="110" spans="1:5" ht="27" customHeight="1">
      <c r="A110" s="169" t="s">
        <v>15</v>
      </c>
      <c r="B110" s="147">
        <f>SUM(B53,B59,B61,B63,B82,B102,B103,B108,)</f>
        <v>5253678.87</v>
      </c>
      <c r="C110" s="147">
        <f>SUM(C53,C59,C61,C63,C82,C102,C103,C108,)</f>
        <v>935933.1699999999</v>
      </c>
      <c r="D110" s="139">
        <f>IF(B110=0,"   ",C110/B110*100)</f>
        <v>17.814814973645312</v>
      </c>
      <c r="E110" s="140">
        <f>C110-B110</f>
        <v>-4317745.7</v>
      </c>
    </row>
    <row r="111" spans="1:5" s="59" customFormat="1" ht="42.75" customHeight="1">
      <c r="A111" s="80" t="s">
        <v>303</v>
      </c>
      <c r="B111" s="80"/>
      <c r="C111" s="337"/>
      <c r="D111" s="337"/>
      <c r="E111" s="337"/>
    </row>
    <row r="112" spans="1:5" s="59" customFormat="1" ht="18.75" customHeight="1">
      <c r="A112" s="80" t="s">
        <v>153</v>
      </c>
      <c r="B112" s="80"/>
      <c r="C112" s="81" t="s">
        <v>304</v>
      </c>
      <c r="D112" s="82"/>
      <c r="E112" s="83"/>
    </row>
    <row r="113" spans="1:5" ht="12.75">
      <c r="A113" s="7"/>
      <c r="B113" s="7"/>
      <c r="C113" s="6"/>
      <c r="D113" s="7"/>
      <c r="E113" s="2"/>
    </row>
    <row r="114" spans="1:5" ht="12.75">
      <c r="A114" s="7"/>
      <c r="B114" s="7"/>
      <c r="C114" s="6"/>
      <c r="D114" s="7"/>
      <c r="E114" s="2"/>
    </row>
    <row r="115" spans="1:5" ht="12.75">
      <c r="A115" s="7"/>
      <c r="B115" s="7"/>
      <c r="C115" s="6"/>
      <c r="D115" s="7"/>
      <c r="E115" s="2"/>
    </row>
    <row r="116" spans="1:5" ht="12.75">
      <c r="A116" s="7"/>
      <c r="B116" s="7"/>
      <c r="C116" s="6"/>
      <c r="D116" s="7"/>
      <c r="E116" s="2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</sheetData>
  <sheetProtection/>
  <mergeCells count="2">
    <mergeCell ref="A1:E1"/>
    <mergeCell ref="C111:E111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"/>
  <sheetViews>
    <sheetView zoomScaleSheetLayoutView="100" zoomScalePageLayoutView="0" workbookViewId="0" topLeftCell="A37">
      <selection activeCell="C36" sqref="C36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7.25">
      <c r="A1" s="339" t="s">
        <v>325</v>
      </c>
      <c r="B1" s="339"/>
      <c r="C1" s="339"/>
      <c r="D1" s="339"/>
      <c r="E1" s="339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305</v>
      </c>
      <c r="C3" s="32" t="s">
        <v>326</v>
      </c>
      <c r="D3" s="19" t="s">
        <v>306</v>
      </c>
      <c r="E3" s="36" t="s">
        <v>309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56900</v>
      </c>
      <c r="C6" s="146">
        <f>SUM(C7)</f>
        <v>13472.67</v>
      </c>
      <c r="D6" s="26">
        <f aca="true" t="shared" si="0" ref="D6:D100">IF(B6=0,"   ",C6/B6*100)</f>
        <v>23.67780316344464</v>
      </c>
      <c r="E6" s="42">
        <f aca="true" t="shared" si="1" ref="E6:E101">C6-B6</f>
        <v>-43427.33</v>
      </c>
    </row>
    <row r="7" spans="1:5" ht="15" customHeight="1">
      <c r="A7" s="16" t="s">
        <v>44</v>
      </c>
      <c r="B7" s="25">
        <v>56900</v>
      </c>
      <c r="C7" s="225">
        <v>13472.67</v>
      </c>
      <c r="D7" s="26">
        <f t="shared" si="0"/>
        <v>23.67780316344464</v>
      </c>
      <c r="E7" s="42">
        <f t="shared" si="1"/>
        <v>-43427.33</v>
      </c>
    </row>
    <row r="8" spans="1:5" ht="15.75" customHeight="1">
      <c r="A8" s="64" t="s">
        <v>136</v>
      </c>
      <c r="B8" s="24">
        <f>SUM(B9)</f>
        <v>398000</v>
      </c>
      <c r="C8" s="191">
        <f>SUM(C9)</f>
        <v>93499.36</v>
      </c>
      <c r="D8" s="26">
        <f t="shared" si="0"/>
        <v>23.49230150753769</v>
      </c>
      <c r="E8" s="42">
        <f t="shared" si="1"/>
        <v>-304500.64</v>
      </c>
    </row>
    <row r="9" spans="1:5" ht="15" customHeight="1">
      <c r="A9" s="41" t="s">
        <v>137</v>
      </c>
      <c r="B9" s="25">
        <v>398000</v>
      </c>
      <c r="C9" s="225">
        <v>93499.36</v>
      </c>
      <c r="D9" s="26">
        <f t="shared" si="0"/>
        <v>23.49230150753769</v>
      </c>
      <c r="E9" s="42">
        <f t="shared" si="1"/>
        <v>-304500.64</v>
      </c>
    </row>
    <row r="10" spans="1:5" ht="16.5" customHeight="1">
      <c r="A10" s="16" t="s">
        <v>7</v>
      </c>
      <c r="B10" s="25">
        <f>B11</f>
        <v>20800</v>
      </c>
      <c r="C10" s="192">
        <f>C11</f>
        <v>17564.7</v>
      </c>
      <c r="D10" s="26">
        <f t="shared" si="0"/>
        <v>84.44567307692307</v>
      </c>
      <c r="E10" s="42">
        <f t="shared" si="1"/>
        <v>-3235.2999999999993</v>
      </c>
    </row>
    <row r="11" spans="1:5" ht="15" customHeight="1">
      <c r="A11" s="16" t="s">
        <v>26</v>
      </c>
      <c r="B11" s="25">
        <v>20800</v>
      </c>
      <c r="C11" s="225">
        <v>17564.7</v>
      </c>
      <c r="D11" s="26">
        <f t="shared" si="0"/>
        <v>84.44567307692307</v>
      </c>
      <c r="E11" s="42">
        <f t="shared" si="1"/>
        <v>-3235.2999999999993</v>
      </c>
    </row>
    <row r="12" spans="1:5" ht="15" customHeight="1">
      <c r="A12" s="16" t="s">
        <v>9</v>
      </c>
      <c r="B12" s="25">
        <f>SUM(B13:B14)</f>
        <v>212000</v>
      </c>
      <c r="C12" s="192">
        <f>SUM(C13:C14)</f>
        <v>9718.46</v>
      </c>
      <c r="D12" s="26">
        <f t="shared" si="0"/>
        <v>4.584179245283019</v>
      </c>
      <c r="E12" s="42">
        <f t="shared" si="1"/>
        <v>-202281.54</v>
      </c>
    </row>
    <row r="13" spans="1:5" ht="12.75" customHeight="1">
      <c r="A13" s="16" t="s">
        <v>27</v>
      </c>
      <c r="B13" s="25">
        <v>92000</v>
      </c>
      <c r="C13" s="225">
        <v>2488.25</v>
      </c>
      <c r="D13" s="26">
        <f t="shared" si="0"/>
        <v>2.704619565217391</v>
      </c>
      <c r="E13" s="42">
        <f t="shared" si="1"/>
        <v>-89511.75</v>
      </c>
    </row>
    <row r="14" spans="1:5" ht="15" customHeight="1">
      <c r="A14" s="41" t="s">
        <v>159</v>
      </c>
      <c r="B14" s="31">
        <f>SUM(B15:B16)</f>
        <v>120000</v>
      </c>
      <c r="C14" s="192">
        <f>SUM(C15:C16)</f>
        <v>7230.21</v>
      </c>
      <c r="D14" s="26">
        <f t="shared" si="0"/>
        <v>6.025175</v>
      </c>
      <c r="E14" s="42">
        <f t="shared" si="1"/>
        <v>-112769.79</v>
      </c>
    </row>
    <row r="15" spans="1:5" ht="15" customHeight="1">
      <c r="A15" s="41" t="s">
        <v>160</v>
      </c>
      <c r="B15" s="31">
        <v>2500</v>
      </c>
      <c r="C15" s="225">
        <v>681.43</v>
      </c>
      <c r="D15" s="26">
        <f t="shared" si="0"/>
        <v>27.257199999999997</v>
      </c>
      <c r="E15" s="42">
        <f t="shared" si="1"/>
        <v>-1818.5700000000002</v>
      </c>
    </row>
    <row r="16" spans="1:5" ht="15" customHeight="1">
      <c r="A16" s="41" t="s">
        <v>161</v>
      </c>
      <c r="B16" s="31">
        <v>117500</v>
      </c>
      <c r="C16" s="225">
        <v>6548.78</v>
      </c>
      <c r="D16" s="26">
        <f t="shared" si="0"/>
        <v>5.573429787234042</v>
      </c>
      <c r="E16" s="42">
        <f t="shared" si="1"/>
        <v>-110951.22</v>
      </c>
    </row>
    <row r="17" spans="1:5" ht="15" customHeight="1">
      <c r="A17" s="41" t="s">
        <v>194</v>
      </c>
      <c r="B17" s="31">
        <v>0</v>
      </c>
      <c r="C17" s="193">
        <v>0</v>
      </c>
      <c r="D17" s="26" t="str">
        <f t="shared" si="0"/>
        <v>   </v>
      </c>
      <c r="E17" s="42">
        <f t="shared" si="1"/>
        <v>0</v>
      </c>
    </row>
    <row r="18" spans="1:5" ht="27.75" customHeight="1">
      <c r="A18" s="16" t="s">
        <v>88</v>
      </c>
      <c r="B18" s="25">
        <v>0</v>
      </c>
      <c r="C18" s="192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76200</v>
      </c>
      <c r="C19" s="192">
        <f>SUM(C20:C21)</f>
        <v>2919.2599999999998</v>
      </c>
      <c r="D19" s="26">
        <f t="shared" si="0"/>
        <v>3.8310498687664043</v>
      </c>
      <c r="E19" s="42">
        <f t="shared" si="1"/>
        <v>-73280.74</v>
      </c>
    </row>
    <row r="20" spans="1:5" ht="12.75" customHeight="1">
      <c r="A20" s="41" t="s">
        <v>151</v>
      </c>
      <c r="B20" s="25">
        <v>42400</v>
      </c>
      <c r="C20" s="225">
        <v>98.27</v>
      </c>
      <c r="D20" s="26">
        <f t="shared" si="0"/>
        <v>0.23176886792452828</v>
      </c>
      <c r="E20" s="42">
        <f t="shared" si="1"/>
        <v>-42301.73</v>
      </c>
    </row>
    <row r="21" spans="1:5" ht="15.75" customHeight="1">
      <c r="A21" s="16" t="s">
        <v>30</v>
      </c>
      <c r="B21" s="25">
        <v>33800</v>
      </c>
      <c r="C21" s="225">
        <v>2820.99</v>
      </c>
      <c r="D21" s="26">
        <f t="shared" si="0"/>
        <v>8.346124260355028</v>
      </c>
      <c r="E21" s="42">
        <f t="shared" si="1"/>
        <v>-30979.010000000002</v>
      </c>
    </row>
    <row r="22" spans="1:5" ht="15.75" customHeight="1">
      <c r="A22" s="39" t="s">
        <v>91</v>
      </c>
      <c r="B22" s="25">
        <v>0</v>
      </c>
      <c r="C22" s="193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0</v>
      </c>
      <c r="C23" s="191">
        <f>C24+C25</f>
        <v>0</v>
      </c>
      <c r="D23" s="26" t="str">
        <f t="shared" si="0"/>
        <v>   </v>
      </c>
      <c r="E23" s="42">
        <f t="shared" si="1"/>
        <v>0</v>
      </c>
    </row>
    <row r="24" spans="1:5" ht="27.75" customHeight="1">
      <c r="A24" s="16" t="s">
        <v>290</v>
      </c>
      <c r="B24" s="25">
        <v>0</v>
      </c>
      <c r="C24" s="228">
        <v>0</v>
      </c>
      <c r="D24" s="26" t="str">
        <f t="shared" si="0"/>
        <v>   </v>
      </c>
      <c r="E24" s="42">
        <f t="shared" si="1"/>
        <v>0</v>
      </c>
    </row>
    <row r="25" spans="1:5" ht="15" customHeight="1">
      <c r="A25" s="41" t="s">
        <v>133</v>
      </c>
      <c r="B25" s="25">
        <v>0</v>
      </c>
      <c r="C25" s="225">
        <v>0</v>
      </c>
      <c r="D25" s="26" t="str">
        <f t="shared" si="0"/>
        <v>   </v>
      </c>
      <c r="E25" s="42">
        <f t="shared" si="1"/>
        <v>0</v>
      </c>
    </row>
    <row r="26" spans="1:5" ht="15" customHeight="1">
      <c r="A26" s="39" t="s">
        <v>302</v>
      </c>
      <c r="B26" s="25">
        <v>0</v>
      </c>
      <c r="C26" s="225">
        <v>0</v>
      </c>
      <c r="D26" s="26" t="str">
        <f>IF(B26=0,"   ",C26/B26*100)</f>
        <v>   </v>
      </c>
      <c r="E26" s="42">
        <f>C26-B26</f>
        <v>0</v>
      </c>
    </row>
    <row r="27" spans="1:5" ht="13.5" customHeight="1">
      <c r="A27" s="16" t="s">
        <v>32</v>
      </c>
      <c r="B27" s="25">
        <f>SUM(B28:B29)</f>
        <v>0</v>
      </c>
      <c r="C27" s="192">
        <f>SUM(C28:C29)</f>
        <v>515.1</v>
      </c>
      <c r="D27" s="26" t="str">
        <f t="shared" si="0"/>
        <v>   </v>
      </c>
      <c r="E27" s="42">
        <f t="shared" si="1"/>
        <v>515.1</v>
      </c>
    </row>
    <row r="28" spans="1:5" ht="13.5" customHeight="1">
      <c r="A28" s="16" t="s">
        <v>46</v>
      </c>
      <c r="B28" s="25">
        <v>0</v>
      </c>
      <c r="C28" s="192">
        <v>515.1</v>
      </c>
      <c r="D28" s="26"/>
      <c r="E28" s="42">
        <f t="shared" si="1"/>
        <v>515.1</v>
      </c>
    </row>
    <row r="29" spans="1:5" ht="15" customHeight="1">
      <c r="A29" s="16" t="s">
        <v>50</v>
      </c>
      <c r="B29" s="25">
        <v>0</v>
      </c>
      <c r="C29" s="193">
        <v>0</v>
      </c>
      <c r="D29" s="26" t="str">
        <f t="shared" si="0"/>
        <v>   </v>
      </c>
      <c r="E29" s="42">
        <f t="shared" si="1"/>
        <v>0</v>
      </c>
    </row>
    <row r="30" spans="1:5" ht="13.5" customHeight="1">
      <c r="A30" s="16" t="s">
        <v>31</v>
      </c>
      <c r="B30" s="25">
        <v>0</v>
      </c>
      <c r="C30" s="192">
        <v>0</v>
      </c>
      <c r="D30" s="26" t="str">
        <f t="shared" si="0"/>
        <v>   </v>
      </c>
      <c r="E30" s="42">
        <f t="shared" si="1"/>
        <v>0</v>
      </c>
    </row>
    <row r="31" spans="1:5" ht="22.5" customHeight="1">
      <c r="A31" s="169" t="s">
        <v>10</v>
      </c>
      <c r="B31" s="43">
        <f>SUM(B6,B8,B10,B12,B18,B19,B22,B23,B30,B27,B17)</f>
        <v>763900</v>
      </c>
      <c r="C31" s="147">
        <f>SUM(C6,C8,C10,C12,C18,C19,C22,C23,C30,C27,C17,C26)</f>
        <v>137689.55000000002</v>
      </c>
      <c r="D31" s="139">
        <f t="shared" si="0"/>
        <v>18.024551642885196</v>
      </c>
      <c r="E31" s="140">
        <f t="shared" si="1"/>
        <v>-626210.45</v>
      </c>
    </row>
    <row r="32" spans="1:5" ht="16.5" customHeight="1">
      <c r="A32" s="177" t="s">
        <v>139</v>
      </c>
      <c r="B32" s="182">
        <f>SUM(B33:B36,B39:B42,B47)</f>
        <v>2680839.8</v>
      </c>
      <c r="C32" s="182">
        <f>SUM(C33:C36,C39:C42,C47)</f>
        <v>654078</v>
      </c>
      <c r="D32" s="139">
        <f t="shared" si="0"/>
        <v>24.39825013042555</v>
      </c>
      <c r="E32" s="140">
        <f t="shared" si="1"/>
        <v>-2026761.7999999998</v>
      </c>
    </row>
    <row r="33" spans="1:5" ht="20.25" customHeight="1">
      <c r="A33" s="17" t="s">
        <v>34</v>
      </c>
      <c r="B33" s="24">
        <v>1923700</v>
      </c>
      <c r="C33" s="229">
        <v>480910</v>
      </c>
      <c r="D33" s="26">
        <f t="shared" si="0"/>
        <v>24.999220252638146</v>
      </c>
      <c r="E33" s="42">
        <f t="shared" si="1"/>
        <v>-1442790</v>
      </c>
    </row>
    <row r="34" spans="1:5" ht="20.25" customHeight="1">
      <c r="A34" s="17" t="s">
        <v>225</v>
      </c>
      <c r="B34" s="24">
        <v>0</v>
      </c>
      <c r="C34" s="229">
        <v>0</v>
      </c>
      <c r="D34" s="26" t="str">
        <f>IF(B34=0,"   ",C34/B34*100)</f>
        <v>   </v>
      </c>
      <c r="E34" s="42">
        <f>C34-B34</f>
        <v>0</v>
      </c>
    </row>
    <row r="35" spans="1:5" ht="26.25" customHeight="1">
      <c r="A35" s="132" t="s">
        <v>51</v>
      </c>
      <c r="B35" s="133">
        <v>103700</v>
      </c>
      <c r="C35" s="229">
        <v>30000</v>
      </c>
      <c r="D35" s="134">
        <f t="shared" si="0"/>
        <v>28.929604628736737</v>
      </c>
      <c r="E35" s="135">
        <f t="shared" si="1"/>
        <v>-73700</v>
      </c>
    </row>
    <row r="36" spans="1:5" ht="26.25" customHeight="1">
      <c r="A36" s="108" t="s">
        <v>147</v>
      </c>
      <c r="B36" s="133">
        <f>SUM(B37:B38)</f>
        <v>100</v>
      </c>
      <c r="C36" s="133">
        <f>SUM(C37:C38)</f>
        <v>0</v>
      </c>
      <c r="D36" s="134">
        <f t="shared" si="0"/>
        <v>0</v>
      </c>
      <c r="E36" s="135">
        <f t="shared" si="1"/>
        <v>-100</v>
      </c>
    </row>
    <row r="37" spans="1:5" ht="17.25" customHeight="1">
      <c r="A37" s="108" t="s">
        <v>162</v>
      </c>
      <c r="B37" s="133">
        <v>100</v>
      </c>
      <c r="C37" s="133">
        <v>0</v>
      </c>
      <c r="D37" s="134">
        <f>IF(B37=0,"   ",C37/B37*100)</f>
        <v>0</v>
      </c>
      <c r="E37" s="135">
        <f>C37-B37</f>
        <v>-100</v>
      </c>
    </row>
    <row r="38" spans="1:5" ht="26.25" customHeight="1">
      <c r="A38" s="108" t="s">
        <v>163</v>
      </c>
      <c r="B38" s="133">
        <v>0</v>
      </c>
      <c r="C38" s="133">
        <v>0</v>
      </c>
      <c r="D38" s="134" t="str">
        <f>IF(B38=0,"   ",C38/B38*100)</f>
        <v>   </v>
      </c>
      <c r="E38" s="135">
        <f>C38-B38</f>
        <v>0</v>
      </c>
    </row>
    <row r="39" spans="1:5" ht="44.25" customHeight="1">
      <c r="A39" s="16" t="s">
        <v>102</v>
      </c>
      <c r="B39" s="25">
        <v>0</v>
      </c>
      <c r="C39" s="25">
        <v>0</v>
      </c>
      <c r="D39" s="26" t="str">
        <f t="shared" si="0"/>
        <v>   </v>
      </c>
      <c r="E39" s="42">
        <f t="shared" si="1"/>
        <v>0</v>
      </c>
    </row>
    <row r="40" spans="1:5" ht="33" customHeight="1">
      <c r="A40" s="16" t="s">
        <v>280</v>
      </c>
      <c r="B40" s="25">
        <v>0</v>
      </c>
      <c r="C40" s="25">
        <v>0</v>
      </c>
      <c r="D40" s="26" t="str">
        <f t="shared" si="0"/>
        <v>   </v>
      </c>
      <c r="E40" s="42">
        <f t="shared" si="1"/>
        <v>0</v>
      </c>
    </row>
    <row r="41" spans="1:5" ht="57" customHeight="1">
      <c r="A41" s="16" t="s">
        <v>234</v>
      </c>
      <c r="B41" s="25">
        <v>333300</v>
      </c>
      <c r="C41" s="25">
        <v>0</v>
      </c>
      <c r="D41" s="26">
        <f t="shared" si="0"/>
        <v>0</v>
      </c>
      <c r="E41" s="42">
        <f t="shared" si="1"/>
        <v>-333300</v>
      </c>
    </row>
    <row r="42" spans="1:5" ht="15" customHeight="1">
      <c r="A42" s="16" t="s">
        <v>55</v>
      </c>
      <c r="B42" s="25">
        <f>SUM(B43:B46)</f>
        <v>309548.4</v>
      </c>
      <c r="C42" s="25">
        <f>SUM(C43:C46)</f>
        <v>143168</v>
      </c>
      <c r="D42" s="26">
        <f t="shared" si="0"/>
        <v>46.25060249059597</v>
      </c>
      <c r="E42" s="42">
        <f t="shared" si="1"/>
        <v>-166380.40000000002</v>
      </c>
    </row>
    <row r="43" spans="1:5" ht="15" customHeight="1">
      <c r="A43" s="46" t="s">
        <v>186</v>
      </c>
      <c r="B43" s="25">
        <v>62948.4</v>
      </c>
      <c r="C43" s="25">
        <v>0</v>
      </c>
      <c r="D43" s="47">
        <f t="shared" si="0"/>
        <v>0</v>
      </c>
      <c r="E43" s="40">
        <f t="shared" si="1"/>
        <v>-62948.4</v>
      </c>
    </row>
    <row r="44" spans="1:5" ht="15" customHeight="1">
      <c r="A44" s="46" t="s">
        <v>311</v>
      </c>
      <c r="B44" s="25">
        <v>5900</v>
      </c>
      <c r="C44" s="25">
        <v>0</v>
      </c>
      <c r="D44" s="47">
        <f t="shared" si="0"/>
        <v>0</v>
      </c>
      <c r="E44" s="40">
        <f t="shared" si="1"/>
        <v>-5900</v>
      </c>
    </row>
    <row r="45" spans="1:5" ht="15" customHeight="1">
      <c r="A45" s="46" t="s">
        <v>278</v>
      </c>
      <c r="B45" s="25">
        <v>0</v>
      </c>
      <c r="C45" s="25">
        <v>0</v>
      </c>
      <c r="D45" s="47" t="str">
        <f>IF(B45=0,"   ",C45/B45*100)</f>
        <v>   </v>
      </c>
      <c r="E45" s="40">
        <f>C45-B45</f>
        <v>0</v>
      </c>
    </row>
    <row r="46" spans="1:5" s="7" customFormat="1" ht="18" customHeight="1">
      <c r="A46" s="46" t="s">
        <v>108</v>
      </c>
      <c r="B46" s="47">
        <v>240700</v>
      </c>
      <c r="C46" s="27">
        <v>143168</v>
      </c>
      <c r="D46" s="47">
        <f t="shared" si="0"/>
        <v>59.479850436227665</v>
      </c>
      <c r="E46" s="40">
        <f t="shared" si="1"/>
        <v>-97532</v>
      </c>
    </row>
    <row r="47" spans="1:5" s="7" customFormat="1" ht="18" customHeight="1">
      <c r="A47" s="16" t="s">
        <v>196</v>
      </c>
      <c r="B47" s="47">
        <v>10491.4</v>
      </c>
      <c r="C47" s="27">
        <v>0</v>
      </c>
      <c r="D47" s="47">
        <f t="shared" si="0"/>
        <v>0</v>
      </c>
      <c r="E47" s="40">
        <f t="shared" si="1"/>
        <v>-10491.4</v>
      </c>
    </row>
    <row r="48" spans="1:5" ht="18.75" customHeight="1">
      <c r="A48" s="169" t="s">
        <v>11</v>
      </c>
      <c r="B48" s="147">
        <f>SUM(B31:B32,)</f>
        <v>3444739.8</v>
      </c>
      <c r="C48" s="147">
        <f>SUM(C31:C32,)</f>
        <v>791767.55</v>
      </c>
      <c r="D48" s="139">
        <f t="shared" si="0"/>
        <v>22.98482892670152</v>
      </c>
      <c r="E48" s="140">
        <f t="shared" si="1"/>
        <v>-2652972.25</v>
      </c>
    </row>
    <row r="49" spans="1:5" ht="15" customHeight="1" thickBot="1">
      <c r="A49" s="105" t="s">
        <v>12</v>
      </c>
      <c r="B49" s="106"/>
      <c r="C49" s="107"/>
      <c r="D49" s="111" t="str">
        <f t="shared" si="0"/>
        <v>   </v>
      </c>
      <c r="E49" s="112">
        <f t="shared" si="1"/>
        <v>0</v>
      </c>
    </row>
    <row r="50" spans="1:5" ht="27.75" customHeight="1" thickBot="1">
      <c r="A50" s="128" t="s">
        <v>35</v>
      </c>
      <c r="B50" s="129">
        <f>SUM(B51,B53:B54)</f>
        <v>1472800</v>
      </c>
      <c r="C50" s="129">
        <f>SUM(C51,C53:C54)</f>
        <v>240875.76</v>
      </c>
      <c r="D50" s="130">
        <f t="shared" si="0"/>
        <v>16.35495382944052</v>
      </c>
      <c r="E50" s="131">
        <f t="shared" si="1"/>
        <v>-1231924.24</v>
      </c>
    </row>
    <row r="51" spans="1:5" ht="15.75" customHeight="1">
      <c r="A51" s="116" t="s">
        <v>36</v>
      </c>
      <c r="B51" s="117">
        <v>1467300</v>
      </c>
      <c r="C51" s="117">
        <v>240875.76</v>
      </c>
      <c r="D51" s="118">
        <f t="shared" si="0"/>
        <v>16.416258433858108</v>
      </c>
      <c r="E51" s="119">
        <f t="shared" si="1"/>
        <v>-1226424.24</v>
      </c>
    </row>
    <row r="52" spans="1:5" ht="14.25" customHeight="1">
      <c r="A52" s="85" t="s">
        <v>119</v>
      </c>
      <c r="B52" s="25">
        <v>965207</v>
      </c>
      <c r="C52" s="28">
        <v>134887.2</v>
      </c>
      <c r="D52" s="26">
        <f t="shared" si="0"/>
        <v>13.974950451043144</v>
      </c>
      <c r="E52" s="42">
        <f t="shared" si="1"/>
        <v>-830319.8</v>
      </c>
    </row>
    <row r="53" spans="1:5" ht="12.75" customHeight="1">
      <c r="A53" s="16" t="s">
        <v>94</v>
      </c>
      <c r="B53" s="25">
        <v>500</v>
      </c>
      <c r="C53" s="27">
        <v>0</v>
      </c>
      <c r="D53" s="26">
        <f t="shared" si="0"/>
        <v>0</v>
      </c>
      <c r="E53" s="42">
        <f t="shared" si="1"/>
        <v>-500</v>
      </c>
    </row>
    <row r="54" spans="1:5" ht="12.75" customHeight="1">
      <c r="A54" s="16" t="s">
        <v>52</v>
      </c>
      <c r="B54" s="25">
        <f>B56+B55</f>
        <v>5000</v>
      </c>
      <c r="C54" s="25">
        <f>C56+C55</f>
        <v>0</v>
      </c>
      <c r="D54" s="26">
        <f t="shared" si="0"/>
        <v>0</v>
      </c>
      <c r="E54" s="42">
        <f t="shared" si="1"/>
        <v>-5000</v>
      </c>
    </row>
    <row r="55" spans="1:5" ht="30.75" customHeight="1">
      <c r="A55" s="104" t="s">
        <v>240</v>
      </c>
      <c r="B55" s="25">
        <v>5000</v>
      </c>
      <c r="C55" s="27">
        <v>0</v>
      </c>
      <c r="D55" s="26">
        <f t="shared" si="0"/>
        <v>0</v>
      </c>
      <c r="E55" s="42">
        <f t="shared" si="1"/>
        <v>-5000</v>
      </c>
    </row>
    <row r="56" spans="1:5" ht="24" customHeight="1" thickBot="1">
      <c r="A56" s="104" t="s">
        <v>233</v>
      </c>
      <c r="B56" s="25">
        <v>0</v>
      </c>
      <c r="C56" s="27">
        <v>0</v>
      </c>
      <c r="D56" s="26" t="str">
        <f>IF(B56=0,"   ",C56/B56*100)</f>
        <v>   </v>
      </c>
      <c r="E56" s="42">
        <f>C56-B56</f>
        <v>0</v>
      </c>
    </row>
    <row r="57" spans="1:5" ht="14.25" customHeight="1" thickBot="1">
      <c r="A57" s="128" t="s">
        <v>49</v>
      </c>
      <c r="B57" s="233">
        <f>SUM(B58)</f>
        <v>103700</v>
      </c>
      <c r="C57" s="233">
        <f>SUM(C58)</f>
        <v>18655.2</v>
      </c>
      <c r="D57" s="130">
        <f t="shared" si="0"/>
        <v>17.989585342333655</v>
      </c>
      <c r="E57" s="131">
        <f t="shared" si="1"/>
        <v>-85044.8</v>
      </c>
    </row>
    <row r="58" spans="1:5" ht="22.5" customHeight="1" thickBot="1">
      <c r="A58" s="120" t="s">
        <v>106</v>
      </c>
      <c r="B58" s="121">
        <v>103700</v>
      </c>
      <c r="C58" s="122">
        <v>18655.2</v>
      </c>
      <c r="D58" s="130">
        <f t="shared" si="0"/>
        <v>17.989585342333655</v>
      </c>
      <c r="E58" s="124">
        <f t="shared" si="1"/>
        <v>-85044.8</v>
      </c>
    </row>
    <row r="59" spans="1:5" ht="17.25" customHeight="1" thickBot="1">
      <c r="A59" s="128" t="s">
        <v>37</v>
      </c>
      <c r="B59" s="129">
        <f>SUM(B60)</f>
        <v>1000</v>
      </c>
      <c r="C59" s="129">
        <f>SUM(C60)</f>
        <v>0</v>
      </c>
      <c r="D59" s="130">
        <f t="shared" si="0"/>
        <v>0</v>
      </c>
      <c r="E59" s="131">
        <f t="shared" si="1"/>
        <v>-1000</v>
      </c>
    </row>
    <row r="60" spans="1:5" ht="15.75" customHeight="1">
      <c r="A60" s="75" t="s">
        <v>127</v>
      </c>
      <c r="B60" s="117">
        <v>1000</v>
      </c>
      <c r="C60" s="125">
        <v>0</v>
      </c>
      <c r="D60" s="118">
        <f t="shared" si="0"/>
        <v>0</v>
      </c>
      <c r="E60" s="119">
        <f t="shared" si="1"/>
        <v>-1000</v>
      </c>
    </row>
    <row r="61" spans="1:5" ht="18.75" customHeight="1" thickBot="1">
      <c r="A61" s="144" t="s">
        <v>38</v>
      </c>
      <c r="B61" s="113">
        <f>B67+B62+B75</f>
        <v>1053690.53</v>
      </c>
      <c r="C61" s="113">
        <f>C67+C62+C75</f>
        <v>163526</v>
      </c>
      <c r="D61" s="111">
        <f t="shared" si="0"/>
        <v>15.519357472065352</v>
      </c>
      <c r="E61" s="112">
        <f t="shared" si="1"/>
        <v>-890164.53</v>
      </c>
    </row>
    <row r="62" spans="1:5" ht="18.75" customHeight="1" thickBot="1">
      <c r="A62" s="75" t="s">
        <v>164</v>
      </c>
      <c r="B62" s="267">
        <f>SUM(B63:B66)</f>
        <v>6300</v>
      </c>
      <c r="C62" s="98">
        <f>SUM(C63:C66)</f>
        <v>0</v>
      </c>
      <c r="D62" s="111">
        <f>IF(B62=0,"   ",C62/B62*100)</f>
        <v>0</v>
      </c>
      <c r="E62" s="112">
        <f>C62-B62</f>
        <v>-6300</v>
      </c>
    </row>
    <row r="63" spans="1:5" ht="18.75" customHeight="1">
      <c r="A63" s="145" t="s">
        <v>165</v>
      </c>
      <c r="B63" s="25">
        <v>0</v>
      </c>
      <c r="C63" s="113">
        <v>0</v>
      </c>
      <c r="D63" s="111" t="str">
        <f>IF(B63=0,"   ",C63/B63*100)</f>
        <v>   </v>
      </c>
      <c r="E63" s="112">
        <f>C63-B63</f>
        <v>0</v>
      </c>
    </row>
    <row r="64" spans="1:5" ht="18.75" customHeight="1">
      <c r="A64" s="145" t="s">
        <v>187</v>
      </c>
      <c r="B64" s="25">
        <v>0</v>
      </c>
      <c r="C64" s="113">
        <v>0</v>
      </c>
      <c r="D64" s="111" t="str">
        <f>IF(B64=0,"   ",C64/B64*100)</f>
        <v>   </v>
      </c>
      <c r="E64" s="112">
        <f>C64-B64</f>
        <v>0</v>
      </c>
    </row>
    <row r="65" spans="1:5" ht="18.75" customHeight="1">
      <c r="A65" s="145" t="s">
        <v>312</v>
      </c>
      <c r="B65" s="25">
        <v>5900</v>
      </c>
      <c r="C65" s="113">
        <v>0</v>
      </c>
      <c r="D65" s="111">
        <f>IF(B65=0,"   ",C65/B65*100)</f>
        <v>0</v>
      </c>
      <c r="E65" s="112">
        <f>C65-B65</f>
        <v>-5900</v>
      </c>
    </row>
    <row r="66" spans="1:5" ht="18.75" customHeight="1">
      <c r="A66" s="145" t="s">
        <v>313</v>
      </c>
      <c r="B66" s="25">
        <v>400</v>
      </c>
      <c r="C66" s="113">
        <v>0</v>
      </c>
      <c r="D66" s="111">
        <f>IF(B66=0,"   ",C66/B66*100)</f>
        <v>0</v>
      </c>
      <c r="E66" s="112">
        <f>C66-B66</f>
        <v>-400</v>
      </c>
    </row>
    <row r="67" spans="1:5" ht="15" customHeight="1">
      <c r="A67" s="145" t="s">
        <v>130</v>
      </c>
      <c r="B67" s="25">
        <f>SUM(B68:B74)</f>
        <v>1002390.53</v>
      </c>
      <c r="C67" s="25">
        <f>SUM(C68:C74)</f>
        <v>163526</v>
      </c>
      <c r="D67" s="111">
        <f t="shared" si="0"/>
        <v>16.313601845380564</v>
      </c>
      <c r="E67" s="112">
        <f t="shared" si="1"/>
        <v>-838864.53</v>
      </c>
    </row>
    <row r="68" spans="1:5" ht="18.75" customHeight="1">
      <c r="A68" s="75" t="s">
        <v>148</v>
      </c>
      <c r="B68" s="25">
        <v>0</v>
      </c>
      <c r="C68" s="25">
        <v>0</v>
      </c>
      <c r="D68" s="111" t="str">
        <f t="shared" si="0"/>
        <v>   </v>
      </c>
      <c r="E68" s="112">
        <f t="shared" si="1"/>
        <v>0</v>
      </c>
    </row>
    <row r="69" spans="1:5" ht="30.75" customHeight="1">
      <c r="A69" s="71" t="s">
        <v>245</v>
      </c>
      <c r="B69" s="25">
        <v>324390.53</v>
      </c>
      <c r="C69" s="25">
        <v>0</v>
      </c>
      <c r="D69" s="111">
        <f>IF(B69=0,"   ",C69/B69*100)</f>
        <v>0</v>
      </c>
      <c r="E69" s="112">
        <f>C69-B69</f>
        <v>-324390.53</v>
      </c>
    </row>
    <row r="70" spans="1:5" ht="30" customHeight="1">
      <c r="A70" s="71" t="s">
        <v>246</v>
      </c>
      <c r="B70" s="25">
        <v>40100</v>
      </c>
      <c r="C70" s="25">
        <v>0</v>
      </c>
      <c r="D70" s="111">
        <f t="shared" si="0"/>
        <v>0</v>
      </c>
      <c r="E70" s="112">
        <f t="shared" si="1"/>
        <v>-40100</v>
      </c>
    </row>
    <row r="71" spans="1:5" ht="30" customHeight="1">
      <c r="A71" s="71" t="s">
        <v>247</v>
      </c>
      <c r="B71" s="25">
        <v>333300</v>
      </c>
      <c r="C71" s="25">
        <v>0</v>
      </c>
      <c r="D71" s="111">
        <f t="shared" si="0"/>
        <v>0</v>
      </c>
      <c r="E71" s="112">
        <f t="shared" si="1"/>
        <v>-333300</v>
      </c>
    </row>
    <row r="72" spans="1:5" ht="30" customHeight="1">
      <c r="A72" s="71" t="s">
        <v>248</v>
      </c>
      <c r="B72" s="25">
        <v>37100</v>
      </c>
      <c r="C72" s="25">
        <v>0</v>
      </c>
      <c r="D72" s="111">
        <f t="shared" si="0"/>
        <v>0</v>
      </c>
      <c r="E72" s="112">
        <f t="shared" si="1"/>
        <v>-37100</v>
      </c>
    </row>
    <row r="73" spans="1:5" ht="30" customHeight="1">
      <c r="A73" s="71" t="s">
        <v>249</v>
      </c>
      <c r="B73" s="25">
        <v>240700</v>
      </c>
      <c r="C73" s="25">
        <v>143168</v>
      </c>
      <c r="D73" s="111">
        <f t="shared" si="0"/>
        <v>59.479850436227665</v>
      </c>
      <c r="E73" s="112">
        <f t="shared" si="1"/>
        <v>-97532</v>
      </c>
    </row>
    <row r="74" spans="1:5" ht="30" customHeight="1" thickBot="1">
      <c r="A74" s="71" t="s">
        <v>250</v>
      </c>
      <c r="B74" s="25">
        <v>26800</v>
      </c>
      <c r="C74" s="25">
        <v>20358</v>
      </c>
      <c r="D74" s="111">
        <f t="shared" si="0"/>
        <v>75.96268656716418</v>
      </c>
      <c r="E74" s="112">
        <f t="shared" si="1"/>
        <v>-6442</v>
      </c>
    </row>
    <row r="75" spans="1:5" ht="18" customHeight="1">
      <c r="A75" s="75" t="s">
        <v>175</v>
      </c>
      <c r="B75" s="267">
        <f>SUM(B76)</f>
        <v>45000</v>
      </c>
      <c r="C75" s="267">
        <f>SUM(C76)</f>
        <v>0</v>
      </c>
      <c r="D75" s="111">
        <f>IF(B75=0,"   ",C75/B75*100)</f>
        <v>0</v>
      </c>
      <c r="E75" s="112">
        <f>C75-B75</f>
        <v>-45000</v>
      </c>
    </row>
    <row r="76" spans="1:5" ht="31.5" customHeight="1">
      <c r="A76" s="145" t="s">
        <v>176</v>
      </c>
      <c r="B76" s="25">
        <v>45000</v>
      </c>
      <c r="C76" s="25">
        <v>0</v>
      </c>
      <c r="D76" s="26">
        <f>IF(B76=0,"   ",C76/B76*100)</f>
        <v>0</v>
      </c>
      <c r="E76" s="27">
        <f>C76-B76</f>
        <v>-45000</v>
      </c>
    </row>
    <row r="77" spans="1:5" ht="20.25" customHeight="1">
      <c r="A77" s="144" t="s">
        <v>13</v>
      </c>
      <c r="B77" s="25">
        <f>SUM(B82,B78+B91)</f>
        <v>355014</v>
      </c>
      <c r="C77" s="25">
        <f>SUM(C82,C78+C91)</f>
        <v>0</v>
      </c>
      <c r="D77" s="26">
        <f t="shared" si="0"/>
        <v>0</v>
      </c>
      <c r="E77" s="27">
        <f t="shared" si="1"/>
        <v>-355014</v>
      </c>
    </row>
    <row r="78" spans="1:5" ht="15" customHeight="1" thickBot="1">
      <c r="A78" s="95" t="s">
        <v>149</v>
      </c>
      <c r="B78" s="187">
        <f>SUM(B79+B80+B81)</f>
        <v>20000</v>
      </c>
      <c r="C78" s="187">
        <f>SUM(C79+C80+C81)</f>
        <v>0</v>
      </c>
      <c r="D78" s="26">
        <f>IF(B78=0,"   ",C78/B78*100)</f>
        <v>0</v>
      </c>
      <c r="E78" s="27">
        <f>C78-B78</f>
        <v>-20000</v>
      </c>
    </row>
    <row r="79" spans="1:5" ht="15" customHeight="1">
      <c r="A79" s="16" t="s">
        <v>283</v>
      </c>
      <c r="B79" s="25">
        <v>0</v>
      </c>
      <c r="C79" s="25">
        <v>0</v>
      </c>
      <c r="D79" s="26" t="str">
        <f>IF(B79=0,"   ",C79/B79*100)</f>
        <v>   </v>
      </c>
      <c r="E79" s="27">
        <f>C79-B79</f>
        <v>0</v>
      </c>
    </row>
    <row r="80" spans="1:5" ht="15" customHeight="1">
      <c r="A80" s="16" t="s">
        <v>287</v>
      </c>
      <c r="B80" s="25">
        <v>0</v>
      </c>
      <c r="C80" s="25">
        <v>0</v>
      </c>
      <c r="D80" s="26" t="str">
        <f>IF(B80=0,"   ",C80/B80*100)</f>
        <v>   </v>
      </c>
      <c r="E80" s="27">
        <f>C80-B80</f>
        <v>0</v>
      </c>
    </row>
    <row r="81" spans="1:5" ht="15" customHeight="1">
      <c r="A81" s="298" t="s">
        <v>274</v>
      </c>
      <c r="B81" s="25">
        <v>20000</v>
      </c>
      <c r="C81" s="25">
        <v>0</v>
      </c>
      <c r="D81" s="26">
        <f>IF(B81=0,"   ",C81/B81*100)</f>
        <v>0</v>
      </c>
      <c r="E81" s="335">
        <f>C81-B81</f>
        <v>-20000</v>
      </c>
    </row>
    <row r="82" spans="1:5" ht="15" customHeight="1">
      <c r="A82" s="16" t="s">
        <v>58</v>
      </c>
      <c r="B82" s="25">
        <f>B83+B84+B85+B86+B90</f>
        <v>334914</v>
      </c>
      <c r="C82" s="25">
        <f>C83+C84+C85+C86+C90</f>
        <v>0</v>
      </c>
      <c r="D82" s="26">
        <f t="shared" si="0"/>
        <v>0</v>
      </c>
      <c r="E82" s="42">
        <f t="shared" si="1"/>
        <v>-334914</v>
      </c>
    </row>
    <row r="83" spans="1:5" ht="15" customHeight="1">
      <c r="A83" s="16" t="s">
        <v>60</v>
      </c>
      <c r="B83" s="25">
        <v>220000</v>
      </c>
      <c r="C83" s="27">
        <v>0</v>
      </c>
      <c r="D83" s="26">
        <f t="shared" si="0"/>
        <v>0</v>
      </c>
      <c r="E83" s="42">
        <f t="shared" si="1"/>
        <v>-220000</v>
      </c>
    </row>
    <row r="84" spans="1:5" ht="15" customHeight="1">
      <c r="A84" s="104" t="s">
        <v>59</v>
      </c>
      <c r="B84" s="113">
        <v>10000</v>
      </c>
      <c r="C84" s="114">
        <v>0</v>
      </c>
      <c r="D84" s="111">
        <f t="shared" si="0"/>
        <v>0</v>
      </c>
      <c r="E84" s="112">
        <f t="shared" si="1"/>
        <v>-10000</v>
      </c>
    </row>
    <row r="85" spans="1:5" ht="29.25" customHeight="1">
      <c r="A85" s="104" t="s">
        <v>166</v>
      </c>
      <c r="B85" s="25">
        <v>0</v>
      </c>
      <c r="C85" s="27">
        <v>0</v>
      </c>
      <c r="D85" s="26" t="str">
        <f t="shared" si="0"/>
        <v>   </v>
      </c>
      <c r="E85" s="27">
        <f t="shared" si="1"/>
        <v>0</v>
      </c>
    </row>
    <row r="86" spans="1:5" ht="21.75" customHeight="1">
      <c r="A86" s="104" t="s">
        <v>203</v>
      </c>
      <c r="B86" s="25">
        <f>SUM(B87+B88+B89)</f>
        <v>104914</v>
      </c>
      <c r="C86" s="25">
        <f>SUM(C87+C88+C89)</f>
        <v>0</v>
      </c>
      <c r="D86" s="26">
        <f>IF(B86=0,"   ",C86/B86*100)</f>
        <v>0</v>
      </c>
      <c r="E86" s="27">
        <f>C86-B86</f>
        <v>-104914</v>
      </c>
    </row>
    <row r="87" spans="1:5" ht="29.25" customHeight="1">
      <c r="A87" s="104" t="s">
        <v>185</v>
      </c>
      <c r="B87" s="25">
        <v>62948.4</v>
      </c>
      <c r="C87" s="27">
        <v>0</v>
      </c>
      <c r="D87" s="26">
        <f>IF(B87=0,"   ",C87/B87*100)</f>
        <v>0</v>
      </c>
      <c r="E87" s="27">
        <f>C87-B87</f>
        <v>-62948.4</v>
      </c>
    </row>
    <row r="88" spans="1:5" ht="29.25" customHeight="1">
      <c r="A88" s="104" t="s">
        <v>188</v>
      </c>
      <c r="B88" s="25">
        <v>31474.2</v>
      </c>
      <c r="C88" s="27">
        <v>0</v>
      </c>
      <c r="D88" s="26">
        <f>IF(B88=0,"   ",C88/B88*100)</f>
        <v>0</v>
      </c>
      <c r="E88" s="27">
        <f>C88-B88</f>
        <v>-31474.2</v>
      </c>
    </row>
    <row r="89" spans="1:5" ht="29.25" customHeight="1">
      <c r="A89" s="104" t="s">
        <v>189</v>
      </c>
      <c r="B89" s="25">
        <v>10491.4</v>
      </c>
      <c r="C89" s="27">
        <v>0</v>
      </c>
      <c r="D89" s="26">
        <f>IF(B89=0,"   ",C89/B89*100)</f>
        <v>0</v>
      </c>
      <c r="E89" s="27">
        <f>C89-B89</f>
        <v>-10491.4</v>
      </c>
    </row>
    <row r="90" spans="1:5" ht="28.5" customHeight="1" thickBot="1">
      <c r="A90" s="104" t="s">
        <v>284</v>
      </c>
      <c r="B90" s="113">
        <v>0</v>
      </c>
      <c r="C90" s="114">
        <v>0</v>
      </c>
      <c r="D90" s="111" t="str">
        <f t="shared" si="0"/>
        <v>   </v>
      </c>
      <c r="E90" s="114">
        <f t="shared" si="1"/>
        <v>0</v>
      </c>
    </row>
    <row r="91" spans="1:5" ht="21" customHeight="1" thickBot="1">
      <c r="A91" s="145" t="s">
        <v>337</v>
      </c>
      <c r="B91" s="178">
        <f>SUM(B92)</f>
        <v>100</v>
      </c>
      <c r="C91" s="178">
        <f>SUM(C92)</f>
        <v>0</v>
      </c>
      <c r="D91" s="26">
        <f t="shared" si="0"/>
        <v>0</v>
      </c>
      <c r="E91" s="27">
        <f t="shared" si="1"/>
        <v>-100</v>
      </c>
    </row>
    <row r="92" spans="1:5" ht="14.25" customHeight="1">
      <c r="A92" s="145" t="s">
        <v>270</v>
      </c>
      <c r="B92" s="31">
        <v>100</v>
      </c>
      <c r="C92" s="70">
        <v>0</v>
      </c>
      <c r="D92" s="26">
        <f t="shared" si="0"/>
        <v>0</v>
      </c>
      <c r="E92" s="27">
        <f t="shared" si="1"/>
        <v>-100</v>
      </c>
    </row>
    <row r="93" spans="1:5" ht="18.75" customHeight="1" thickBot="1">
      <c r="A93" s="334" t="s">
        <v>17</v>
      </c>
      <c r="B93" s="187">
        <v>0</v>
      </c>
      <c r="C93" s="187">
        <v>0</v>
      </c>
      <c r="D93" s="142" t="str">
        <f t="shared" si="0"/>
        <v>   </v>
      </c>
      <c r="E93" s="143">
        <f t="shared" si="1"/>
        <v>0</v>
      </c>
    </row>
    <row r="94" spans="1:5" ht="19.5" customHeight="1" thickBot="1">
      <c r="A94" s="128" t="s">
        <v>41</v>
      </c>
      <c r="B94" s="180">
        <f>B95</f>
        <v>595860.8200000001</v>
      </c>
      <c r="C94" s="180">
        <f>C95</f>
        <v>278485.97</v>
      </c>
      <c r="D94" s="130">
        <f t="shared" si="0"/>
        <v>46.73674802112345</v>
      </c>
      <c r="E94" s="131">
        <f t="shared" si="1"/>
        <v>-317374.8500000001</v>
      </c>
    </row>
    <row r="95" spans="1:5" ht="12.75">
      <c r="A95" s="116" t="s">
        <v>42</v>
      </c>
      <c r="B95" s="117">
        <f>SUM(B96:B98)</f>
        <v>595860.8200000001</v>
      </c>
      <c r="C95" s="117">
        <f>SUM(C96:C98)</f>
        <v>278485.97</v>
      </c>
      <c r="D95" s="118">
        <f t="shared" si="0"/>
        <v>46.73674802112345</v>
      </c>
      <c r="E95" s="119">
        <f t="shared" si="1"/>
        <v>-317374.8500000001</v>
      </c>
    </row>
    <row r="96" spans="1:5" ht="12.75">
      <c r="A96" s="165" t="s">
        <v>142</v>
      </c>
      <c r="B96" s="117">
        <v>239400</v>
      </c>
      <c r="C96" s="125">
        <v>239400</v>
      </c>
      <c r="D96" s="118">
        <f t="shared" si="0"/>
        <v>100</v>
      </c>
      <c r="E96" s="119">
        <f t="shared" si="1"/>
        <v>0</v>
      </c>
    </row>
    <row r="97" spans="1:5" ht="12.75">
      <c r="A97" s="16" t="s">
        <v>221</v>
      </c>
      <c r="B97" s="117">
        <v>0</v>
      </c>
      <c r="C97" s="125">
        <v>0</v>
      </c>
      <c r="D97" s="118" t="str">
        <f t="shared" si="0"/>
        <v>   </v>
      </c>
      <c r="E97" s="119">
        <f t="shared" si="1"/>
        <v>0</v>
      </c>
    </row>
    <row r="98" spans="1:5" ht="12.75">
      <c r="A98" s="116" t="s">
        <v>201</v>
      </c>
      <c r="B98" s="117">
        <v>356460.82</v>
      </c>
      <c r="C98" s="125">
        <v>39085.97</v>
      </c>
      <c r="D98" s="118">
        <f t="shared" si="0"/>
        <v>10.96501152637196</v>
      </c>
      <c r="E98" s="119">
        <f t="shared" si="1"/>
        <v>-317374.85</v>
      </c>
    </row>
    <row r="99" spans="1:5" ht="18.75" customHeight="1">
      <c r="A99" s="16" t="s">
        <v>123</v>
      </c>
      <c r="B99" s="25">
        <f>SUM(B100,)</f>
        <v>5000</v>
      </c>
      <c r="C99" s="25">
        <f>SUM(C100,)</f>
        <v>0</v>
      </c>
      <c r="D99" s="26">
        <f t="shared" si="0"/>
        <v>0</v>
      </c>
      <c r="E99" s="42">
        <f t="shared" si="1"/>
        <v>-5000</v>
      </c>
    </row>
    <row r="100" spans="1:5" ht="14.25" customHeight="1">
      <c r="A100" s="104" t="s">
        <v>43</v>
      </c>
      <c r="B100" s="113">
        <v>5000</v>
      </c>
      <c r="C100" s="115">
        <v>0</v>
      </c>
      <c r="D100" s="111">
        <f t="shared" si="0"/>
        <v>0</v>
      </c>
      <c r="E100" s="112">
        <f t="shared" si="1"/>
        <v>-5000</v>
      </c>
    </row>
    <row r="101" spans="1:5" ht="22.5" customHeight="1">
      <c r="A101" s="169" t="s">
        <v>15</v>
      </c>
      <c r="B101" s="147">
        <f>SUM(B50,B57,B59,B61,B77,B93,B94,B99,)</f>
        <v>3587065.3500000006</v>
      </c>
      <c r="C101" s="147">
        <f>SUM(C50,C57,C59,C61,C77,C93,C94,C99,)</f>
        <v>701542.9299999999</v>
      </c>
      <c r="D101" s="139">
        <f>IF(B101=0,"   ",C101/B101*100)</f>
        <v>19.55757315656376</v>
      </c>
      <c r="E101" s="140">
        <f t="shared" si="1"/>
        <v>-2885522.420000001</v>
      </c>
    </row>
    <row r="102" spans="1:5" ht="42.75" customHeight="1">
      <c r="A102" s="80" t="s">
        <v>303</v>
      </c>
      <c r="B102" s="80"/>
      <c r="C102" s="337"/>
      <c r="D102" s="337"/>
      <c r="E102" s="337"/>
    </row>
    <row r="103" spans="1:5" ht="18" customHeight="1">
      <c r="A103" s="80" t="s">
        <v>153</v>
      </c>
      <c r="B103" s="80"/>
      <c r="C103" s="81" t="s">
        <v>304</v>
      </c>
      <c r="D103" s="82"/>
      <c r="E103" s="83"/>
    </row>
    <row r="104" spans="1:5" s="59" customFormat="1" ht="23.25" customHeight="1">
      <c r="A104" s="7"/>
      <c r="B104" s="7"/>
      <c r="C104" s="6"/>
      <c r="D104" s="7"/>
      <c r="E104" s="2"/>
    </row>
    <row r="105" spans="1:5" s="59" customFormat="1" ht="12" customHeight="1">
      <c r="A105" s="7"/>
      <c r="B105" s="7"/>
      <c r="C105" s="6"/>
      <c r="D105" s="7"/>
      <c r="E105" s="2"/>
    </row>
    <row r="106" spans="1:5" ht="12.75">
      <c r="A106" s="7"/>
      <c r="B106" s="7"/>
      <c r="C106" s="6"/>
      <c r="D106" s="7"/>
      <c r="E106" s="2"/>
    </row>
    <row r="107" spans="1:5" ht="12.75">
      <c r="A107" s="7"/>
      <c r="B107" s="7"/>
      <c r="C107" s="6"/>
      <c r="D107" s="7"/>
      <c r="E107" s="2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</sheetData>
  <sheetProtection/>
  <mergeCells count="2">
    <mergeCell ref="A1:E1"/>
    <mergeCell ref="C102:E102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5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tabSelected="1" zoomScalePageLayoutView="0" workbookViewId="0" topLeftCell="A10">
      <selection activeCell="C36" sqref="C36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7.25">
      <c r="A1" s="339" t="s">
        <v>327</v>
      </c>
      <c r="B1" s="339"/>
      <c r="C1" s="339"/>
      <c r="D1" s="339"/>
      <c r="E1" s="33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305</v>
      </c>
      <c r="C4" s="32" t="s">
        <v>323</v>
      </c>
      <c r="D4" s="19" t="s">
        <v>306</v>
      </c>
      <c r="E4" s="36" t="s">
        <v>307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07">
        <f>SUM(B8)</f>
        <v>49900</v>
      </c>
      <c r="C7" s="208">
        <f>SUM(C8)</f>
        <v>8940.39</v>
      </c>
      <c r="D7" s="26">
        <f aca="true" t="shared" si="0" ref="D7:D92">IF(B7=0,"   ",C7/B7*100)</f>
        <v>17.916613226452903</v>
      </c>
      <c r="E7" s="42">
        <f aca="true" t="shared" si="1" ref="E7:E94">C7-B7</f>
        <v>-40959.61</v>
      </c>
    </row>
    <row r="8" spans="1:5" ht="12.75" customHeight="1">
      <c r="A8" s="16" t="s">
        <v>44</v>
      </c>
      <c r="B8" s="209">
        <v>49900</v>
      </c>
      <c r="C8" s="224">
        <v>8940.39</v>
      </c>
      <c r="D8" s="26">
        <f t="shared" si="0"/>
        <v>17.916613226452903</v>
      </c>
      <c r="E8" s="42">
        <f t="shared" si="1"/>
        <v>-40959.61</v>
      </c>
    </row>
    <row r="9" spans="1:5" ht="12.75" customHeight="1">
      <c r="A9" s="64" t="s">
        <v>136</v>
      </c>
      <c r="B9" s="207">
        <f>SUM(B10)</f>
        <v>741400</v>
      </c>
      <c r="C9" s="210">
        <f>SUM(C10)</f>
        <v>174165.48</v>
      </c>
      <c r="D9" s="26">
        <f t="shared" si="0"/>
        <v>23.491432425141625</v>
      </c>
      <c r="E9" s="42">
        <f t="shared" si="1"/>
        <v>-567234.52</v>
      </c>
    </row>
    <row r="10" spans="1:5" ht="12.75" customHeight="1">
      <c r="A10" s="41" t="s">
        <v>137</v>
      </c>
      <c r="B10" s="209">
        <v>741400</v>
      </c>
      <c r="C10" s="224">
        <v>174165.48</v>
      </c>
      <c r="D10" s="26">
        <f t="shared" si="0"/>
        <v>23.491432425141625</v>
      </c>
      <c r="E10" s="42">
        <f t="shared" si="1"/>
        <v>-567234.52</v>
      </c>
    </row>
    <row r="11" spans="1:5" ht="16.5" customHeight="1">
      <c r="A11" s="16" t="s">
        <v>7</v>
      </c>
      <c r="B11" s="209">
        <f>SUM(B12:B12)</f>
        <v>24700</v>
      </c>
      <c r="C11" s="211">
        <f>SUM(C12:C12)</f>
        <v>15342.39</v>
      </c>
      <c r="D11" s="26">
        <f t="shared" si="0"/>
        <v>62.114939271255054</v>
      </c>
      <c r="E11" s="42">
        <f t="shared" si="1"/>
        <v>-9357.61</v>
      </c>
    </row>
    <row r="12" spans="1:5" ht="16.5" customHeight="1">
      <c r="A12" s="16" t="s">
        <v>26</v>
      </c>
      <c r="B12" s="209">
        <v>24700</v>
      </c>
      <c r="C12" s="224">
        <v>15342.39</v>
      </c>
      <c r="D12" s="26">
        <f t="shared" si="0"/>
        <v>62.114939271255054</v>
      </c>
      <c r="E12" s="42">
        <f t="shared" si="1"/>
        <v>-9357.61</v>
      </c>
    </row>
    <row r="13" spans="1:5" ht="15.75" customHeight="1">
      <c r="A13" s="16" t="s">
        <v>9</v>
      </c>
      <c r="B13" s="209">
        <f>SUM(B14:B15)</f>
        <v>479000</v>
      </c>
      <c r="C13" s="211">
        <f>SUM(C14:C15)</f>
        <v>186868.65</v>
      </c>
      <c r="D13" s="26">
        <f t="shared" si="0"/>
        <v>39.012244258872656</v>
      </c>
      <c r="E13" s="42">
        <f t="shared" si="1"/>
        <v>-292131.35</v>
      </c>
    </row>
    <row r="14" spans="1:5" ht="15.75" customHeight="1">
      <c r="A14" s="16" t="s">
        <v>27</v>
      </c>
      <c r="B14" s="209">
        <v>275000</v>
      </c>
      <c r="C14" s="224">
        <v>157800.35</v>
      </c>
      <c r="D14" s="26">
        <f t="shared" si="0"/>
        <v>57.38194545454546</v>
      </c>
      <c r="E14" s="42">
        <f t="shared" si="1"/>
        <v>-117199.65</v>
      </c>
    </row>
    <row r="15" spans="1:5" ht="14.25" customHeight="1">
      <c r="A15" s="41" t="s">
        <v>159</v>
      </c>
      <c r="B15" s="195">
        <f>SUM(B16:B17)</f>
        <v>204000</v>
      </c>
      <c r="C15" s="211">
        <f>SUM(C16:C17)</f>
        <v>29068.3</v>
      </c>
      <c r="D15" s="26">
        <f t="shared" si="0"/>
        <v>14.249166666666666</v>
      </c>
      <c r="E15" s="42">
        <f t="shared" si="1"/>
        <v>-174931.7</v>
      </c>
    </row>
    <row r="16" spans="1:5" ht="14.25" customHeight="1">
      <c r="A16" s="41" t="s">
        <v>160</v>
      </c>
      <c r="B16" s="195">
        <v>63200</v>
      </c>
      <c r="C16" s="224">
        <v>18198</v>
      </c>
      <c r="D16" s="26">
        <f t="shared" si="0"/>
        <v>28.794303797468356</v>
      </c>
      <c r="E16" s="42">
        <f t="shared" si="1"/>
        <v>-45002</v>
      </c>
    </row>
    <row r="17" spans="1:5" ht="14.25" customHeight="1">
      <c r="A17" s="41" t="s">
        <v>161</v>
      </c>
      <c r="B17" s="195">
        <v>140800</v>
      </c>
      <c r="C17" s="224">
        <v>10870.3</v>
      </c>
      <c r="D17" s="26">
        <f t="shared" si="0"/>
        <v>7.720383522727273</v>
      </c>
      <c r="E17" s="42">
        <f t="shared" si="1"/>
        <v>-129929.7</v>
      </c>
    </row>
    <row r="18" spans="1:5" ht="14.25" customHeight="1">
      <c r="A18" s="41" t="s">
        <v>194</v>
      </c>
      <c r="B18" s="195">
        <v>0</v>
      </c>
      <c r="C18" s="224">
        <v>0</v>
      </c>
      <c r="D18" s="26" t="str">
        <f t="shared" si="0"/>
        <v>   </v>
      </c>
      <c r="E18" s="42">
        <f t="shared" si="1"/>
        <v>0</v>
      </c>
    </row>
    <row r="19" spans="1:5" ht="15" customHeight="1">
      <c r="A19" s="16" t="s">
        <v>88</v>
      </c>
      <c r="B19" s="209">
        <v>0</v>
      </c>
      <c r="C19" s="211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09">
        <f>SUM(B21:B22)</f>
        <v>240600</v>
      </c>
      <c r="C20" s="211">
        <f>SUM(C21:C22)</f>
        <v>31592.52</v>
      </c>
      <c r="D20" s="26">
        <f t="shared" si="0"/>
        <v>13.13072319201995</v>
      </c>
      <c r="E20" s="42">
        <f t="shared" si="1"/>
        <v>-209007.48</v>
      </c>
    </row>
    <row r="21" spans="1:5" ht="13.5" customHeight="1">
      <c r="A21" s="41" t="s">
        <v>151</v>
      </c>
      <c r="B21" s="209">
        <v>140600</v>
      </c>
      <c r="C21" s="224">
        <v>8034</v>
      </c>
      <c r="D21" s="26">
        <f t="shared" si="0"/>
        <v>5.714082503556188</v>
      </c>
      <c r="E21" s="42">
        <f t="shared" si="1"/>
        <v>-132566</v>
      </c>
    </row>
    <row r="22" spans="1:5" ht="15.75" customHeight="1">
      <c r="A22" s="16" t="s">
        <v>30</v>
      </c>
      <c r="B22" s="209">
        <v>100000</v>
      </c>
      <c r="C22" s="224">
        <v>23558.52</v>
      </c>
      <c r="D22" s="26">
        <f t="shared" si="0"/>
        <v>23.558519999999998</v>
      </c>
      <c r="E22" s="42">
        <f t="shared" si="1"/>
        <v>-76441.48</v>
      </c>
    </row>
    <row r="23" spans="1:5" ht="17.25" customHeight="1">
      <c r="A23" s="39" t="s">
        <v>91</v>
      </c>
      <c r="B23" s="209">
        <v>0</v>
      </c>
      <c r="C23" s="224">
        <v>0</v>
      </c>
      <c r="D23" s="26" t="str">
        <f t="shared" si="0"/>
        <v>   </v>
      </c>
      <c r="E23" s="42">
        <f t="shared" si="1"/>
        <v>0</v>
      </c>
    </row>
    <row r="24" spans="1:5" ht="18.75" customHeight="1">
      <c r="A24" s="16" t="s">
        <v>78</v>
      </c>
      <c r="B24" s="209">
        <f>SUM(B26)</f>
        <v>0</v>
      </c>
      <c r="C24" s="211">
        <f>SUM(C25+C26)</f>
        <v>3640855</v>
      </c>
      <c r="D24" s="26" t="str">
        <f t="shared" si="0"/>
        <v>   </v>
      </c>
      <c r="E24" s="42">
        <f t="shared" si="1"/>
        <v>3640855</v>
      </c>
    </row>
    <row r="25" spans="1:5" ht="18.75" customHeight="1">
      <c r="A25" s="41" t="s">
        <v>133</v>
      </c>
      <c r="B25" s="209">
        <v>0</v>
      </c>
      <c r="C25" s="336">
        <v>13847</v>
      </c>
      <c r="D25" s="26" t="str">
        <f>IF(B25=0,"   ",C25/B25*100)</f>
        <v>   </v>
      </c>
      <c r="E25" s="42">
        <f>C25-B25</f>
        <v>13847</v>
      </c>
    </row>
    <row r="26" spans="1:5" ht="22.5" customHeight="1">
      <c r="A26" s="16" t="s">
        <v>195</v>
      </c>
      <c r="B26" s="209">
        <v>0</v>
      </c>
      <c r="C26" s="226">
        <v>3627008</v>
      </c>
      <c r="D26" s="26" t="str">
        <f t="shared" si="0"/>
        <v>   </v>
      </c>
      <c r="E26" s="42">
        <f t="shared" si="1"/>
        <v>3627008</v>
      </c>
    </row>
    <row r="27" spans="1:5" ht="16.5" customHeight="1">
      <c r="A27" s="16" t="s">
        <v>32</v>
      </c>
      <c r="B27" s="209">
        <f>B28+B29</f>
        <v>0</v>
      </c>
      <c r="C27" s="211">
        <f>C28+C29</f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46</v>
      </c>
      <c r="B28" s="209">
        <v>0</v>
      </c>
      <c r="C28" s="212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20</v>
      </c>
      <c r="B29" s="209">
        <v>0</v>
      </c>
      <c r="C29" s="212">
        <v>0</v>
      </c>
      <c r="D29" s="26"/>
      <c r="E29" s="42">
        <f t="shared" si="1"/>
        <v>0</v>
      </c>
    </row>
    <row r="30" spans="1:5" ht="12" customHeight="1">
      <c r="A30" s="16" t="s">
        <v>31</v>
      </c>
      <c r="B30" s="209">
        <v>0</v>
      </c>
      <c r="C30" s="211">
        <v>0</v>
      </c>
      <c r="D30" s="26" t="str">
        <f t="shared" si="0"/>
        <v>   </v>
      </c>
      <c r="E30" s="42">
        <f t="shared" si="1"/>
        <v>0</v>
      </c>
    </row>
    <row r="31" spans="1:5" ht="21" customHeight="1">
      <c r="A31" s="169" t="s">
        <v>10</v>
      </c>
      <c r="B31" s="204">
        <f>SUM(B7,B9,B11,B13,B20,B23,B24,B27,B30,B18)</f>
        <v>1535600</v>
      </c>
      <c r="C31" s="204">
        <f>SUM(C7,C9,C11,C13,C20,C23,C24,C27,C30,C18)</f>
        <v>4057764.43</v>
      </c>
      <c r="D31" s="139">
        <f t="shared" si="0"/>
        <v>264.24618585569164</v>
      </c>
      <c r="E31" s="140">
        <f t="shared" si="1"/>
        <v>2522164.43</v>
      </c>
    </row>
    <row r="32" spans="1:5" ht="21" customHeight="1">
      <c r="A32" s="183" t="s">
        <v>139</v>
      </c>
      <c r="B32" s="214">
        <f>SUM(B33:B36,B39:B43,B47)</f>
        <v>3780947.67</v>
      </c>
      <c r="C32" s="214">
        <f>SUM(C33:C36,C39:C43,C47)</f>
        <v>739822</v>
      </c>
      <c r="D32" s="139">
        <f t="shared" si="0"/>
        <v>19.567104984555368</v>
      </c>
      <c r="E32" s="140">
        <f t="shared" si="1"/>
        <v>-3041125.67</v>
      </c>
    </row>
    <row r="33" spans="1:5" ht="18" customHeight="1">
      <c r="A33" s="17" t="s">
        <v>34</v>
      </c>
      <c r="B33" s="207">
        <v>2136800</v>
      </c>
      <c r="C33" s="227">
        <v>534190</v>
      </c>
      <c r="D33" s="26">
        <f t="shared" si="0"/>
        <v>24.999532010482962</v>
      </c>
      <c r="E33" s="42">
        <f t="shared" si="1"/>
        <v>-1602610</v>
      </c>
    </row>
    <row r="34" spans="1:5" ht="18" customHeight="1">
      <c r="A34" s="17" t="s">
        <v>225</v>
      </c>
      <c r="B34" s="207">
        <v>0</v>
      </c>
      <c r="C34" s="227">
        <v>0</v>
      </c>
      <c r="D34" s="134" t="str">
        <f>IF(B34=0,"   ",C34/B34*100)</f>
        <v>   </v>
      </c>
      <c r="E34" s="135">
        <f>C34-B34</f>
        <v>0</v>
      </c>
    </row>
    <row r="35" spans="1:5" ht="28.5" customHeight="1">
      <c r="A35" s="132" t="s">
        <v>51</v>
      </c>
      <c r="B35" s="133">
        <v>103700</v>
      </c>
      <c r="C35" s="229">
        <v>30000</v>
      </c>
      <c r="D35" s="134">
        <f t="shared" si="0"/>
        <v>28.929604628736737</v>
      </c>
      <c r="E35" s="135">
        <f t="shared" si="1"/>
        <v>-73700</v>
      </c>
    </row>
    <row r="36" spans="1:5" ht="30.75" customHeight="1">
      <c r="A36" s="108" t="s">
        <v>147</v>
      </c>
      <c r="B36" s="133">
        <f>SUM(B37:B38)</f>
        <v>100</v>
      </c>
      <c r="C36" s="133">
        <f>SUM(C37:C38)</f>
        <v>0</v>
      </c>
      <c r="D36" s="134">
        <f t="shared" si="0"/>
        <v>0</v>
      </c>
      <c r="E36" s="135">
        <f t="shared" si="1"/>
        <v>-100</v>
      </c>
    </row>
    <row r="37" spans="1:5" ht="16.5" customHeight="1">
      <c r="A37" s="108" t="s">
        <v>162</v>
      </c>
      <c r="B37" s="215">
        <v>100</v>
      </c>
      <c r="C37" s="221">
        <v>0</v>
      </c>
      <c r="D37" s="134">
        <f aca="true" t="shared" si="2" ref="D37:D42">IF(B37=0,"   ",C37/B37*100)</f>
        <v>0</v>
      </c>
      <c r="E37" s="135">
        <f aca="true" t="shared" si="3" ref="E37:E42">C37-B37</f>
        <v>-100</v>
      </c>
    </row>
    <row r="38" spans="1:5" ht="30.75" customHeight="1">
      <c r="A38" s="108" t="s">
        <v>163</v>
      </c>
      <c r="B38" s="133">
        <v>0</v>
      </c>
      <c r="C38" s="136">
        <v>0</v>
      </c>
      <c r="D38" s="134" t="str">
        <f t="shared" si="2"/>
        <v>   </v>
      </c>
      <c r="E38" s="135">
        <f t="shared" si="3"/>
        <v>0</v>
      </c>
    </row>
    <row r="39" spans="1:5" ht="25.5" customHeight="1">
      <c r="A39" s="16" t="s">
        <v>286</v>
      </c>
      <c r="B39" s="133">
        <v>0</v>
      </c>
      <c r="C39" s="133">
        <v>0</v>
      </c>
      <c r="D39" s="134" t="str">
        <f t="shared" si="2"/>
        <v>   </v>
      </c>
      <c r="E39" s="135">
        <f t="shared" si="3"/>
        <v>0</v>
      </c>
    </row>
    <row r="40" spans="1:5" ht="25.5" customHeight="1">
      <c r="A40" s="16" t="s">
        <v>280</v>
      </c>
      <c r="B40" s="133">
        <v>0</v>
      </c>
      <c r="C40" s="133">
        <v>0</v>
      </c>
      <c r="D40" s="134" t="str">
        <f t="shared" si="2"/>
        <v>   </v>
      </c>
      <c r="E40" s="135">
        <f t="shared" si="3"/>
        <v>0</v>
      </c>
    </row>
    <row r="41" spans="1:5" ht="51" customHeight="1">
      <c r="A41" s="16" t="s">
        <v>234</v>
      </c>
      <c r="B41" s="133">
        <v>704900</v>
      </c>
      <c r="C41" s="133">
        <v>0</v>
      </c>
      <c r="D41" s="134">
        <f t="shared" si="2"/>
        <v>0</v>
      </c>
      <c r="E41" s="135">
        <f t="shared" si="3"/>
        <v>-704900</v>
      </c>
    </row>
    <row r="42" spans="1:5" ht="22.5" customHeight="1">
      <c r="A42" s="16" t="s">
        <v>261</v>
      </c>
      <c r="B42" s="133">
        <v>0</v>
      </c>
      <c r="C42" s="133">
        <v>0</v>
      </c>
      <c r="D42" s="134" t="str">
        <f t="shared" si="2"/>
        <v>   </v>
      </c>
      <c r="E42" s="135">
        <f t="shared" si="3"/>
        <v>0</v>
      </c>
    </row>
    <row r="43" spans="1:5" ht="15" customHeight="1">
      <c r="A43" s="16" t="s">
        <v>81</v>
      </c>
      <c r="B43" s="209">
        <f>SUM(B44:B46)</f>
        <v>767531</v>
      </c>
      <c r="C43" s="209">
        <f>SUM(C44:C46)</f>
        <v>175632</v>
      </c>
      <c r="D43" s="26">
        <f t="shared" si="0"/>
        <v>22.882723955123637</v>
      </c>
      <c r="E43" s="42">
        <f t="shared" si="1"/>
        <v>-591899</v>
      </c>
    </row>
    <row r="44" spans="1:5" ht="15" customHeight="1">
      <c r="A44" s="46" t="s">
        <v>186</v>
      </c>
      <c r="B44" s="209">
        <v>290031</v>
      </c>
      <c r="C44" s="209">
        <v>0</v>
      </c>
      <c r="D44" s="26">
        <f t="shared" si="0"/>
        <v>0</v>
      </c>
      <c r="E44" s="42">
        <f t="shared" si="1"/>
        <v>-290031</v>
      </c>
    </row>
    <row r="45" spans="1:5" ht="15" customHeight="1">
      <c r="A45" s="46" t="s">
        <v>311</v>
      </c>
      <c r="B45" s="209">
        <v>30000</v>
      </c>
      <c r="C45" s="209">
        <v>0</v>
      </c>
      <c r="D45" s="26">
        <f t="shared" si="0"/>
        <v>0</v>
      </c>
      <c r="E45" s="42">
        <f t="shared" si="1"/>
        <v>-30000</v>
      </c>
    </row>
    <row r="46" spans="1:5" s="7" customFormat="1" ht="15" customHeight="1">
      <c r="A46" s="46" t="s">
        <v>108</v>
      </c>
      <c r="B46" s="217">
        <v>447500</v>
      </c>
      <c r="C46" s="217">
        <v>175632</v>
      </c>
      <c r="D46" s="134">
        <f>IF(B46=0,"   ",C46/B46*100)</f>
        <v>39.24737430167598</v>
      </c>
      <c r="E46" s="135">
        <f>C46-B46</f>
        <v>-271868</v>
      </c>
    </row>
    <row r="47" spans="1:5" s="7" customFormat="1" ht="15" customHeight="1">
      <c r="A47" s="16" t="s">
        <v>196</v>
      </c>
      <c r="B47" s="217">
        <v>67916.67</v>
      </c>
      <c r="C47" s="217">
        <v>0</v>
      </c>
      <c r="D47" s="47">
        <f t="shared" si="0"/>
        <v>0</v>
      </c>
      <c r="E47" s="40">
        <f t="shared" si="1"/>
        <v>-67916.67</v>
      </c>
    </row>
    <row r="48" spans="1:5" ht="27" customHeight="1">
      <c r="A48" s="169" t="s">
        <v>11</v>
      </c>
      <c r="B48" s="147">
        <f>SUM(B31:B32,)</f>
        <v>5316547.67</v>
      </c>
      <c r="C48" s="147">
        <f>SUM(C31:C32,)</f>
        <v>4797586.43</v>
      </c>
      <c r="D48" s="26">
        <f t="shared" si="0"/>
        <v>90.23875506791045</v>
      </c>
      <c r="E48" s="42">
        <f t="shared" si="1"/>
        <v>-518961.2400000002</v>
      </c>
    </row>
    <row r="49" spans="1:5" ht="12.75" customHeight="1">
      <c r="A49" s="22" t="s">
        <v>12</v>
      </c>
      <c r="B49" s="44"/>
      <c r="C49" s="45"/>
      <c r="D49" s="26" t="str">
        <f t="shared" si="0"/>
        <v>   </v>
      </c>
      <c r="E49" s="42">
        <f t="shared" si="1"/>
        <v>0</v>
      </c>
    </row>
    <row r="50" spans="1:5" ht="21" customHeight="1">
      <c r="A50" s="16" t="s">
        <v>35</v>
      </c>
      <c r="B50" s="25">
        <f>SUM(B51,B53,B54)</f>
        <v>1540300</v>
      </c>
      <c r="C50" s="25">
        <f>SUM(C51,C53,C54)</f>
        <v>232355.27</v>
      </c>
      <c r="D50" s="26">
        <f t="shared" si="0"/>
        <v>15.085065896253976</v>
      </c>
      <c r="E50" s="42">
        <f t="shared" si="1"/>
        <v>-1307944.73</v>
      </c>
    </row>
    <row r="51" spans="1:5" ht="15" customHeight="1">
      <c r="A51" s="16" t="s">
        <v>36</v>
      </c>
      <c r="B51" s="25">
        <v>1499800</v>
      </c>
      <c r="C51" s="25">
        <v>232355.27</v>
      </c>
      <c r="D51" s="26">
        <f t="shared" si="0"/>
        <v>15.492416988931856</v>
      </c>
      <c r="E51" s="42">
        <f t="shared" si="1"/>
        <v>-1267444.73</v>
      </c>
    </row>
    <row r="52" spans="1:5" ht="15" customHeight="1">
      <c r="A52" s="85" t="s">
        <v>120</v>
      </c>
      <c r="B52" s="25">
        <v>991705</v>
      </c>
      <c r="C52" s="28">
        <v>122386.4</v>
      </c>
      <c r="D52" s="26">
        <f t="shared" si="0"/>
        <v>12.341008666891867</v>
      </c>
      <c r="E52" s="42">
        <f t="shared" si="1"/>
        <v>-869318.6</v>
      </c>
    </row>
    <row r="53" spans="1:5" ht="12.75" customHeight="1">
      <c r="A53" s="16" t="s">
        <v>94</v>
      </c>
      <c r="B53" s="25">
        <v>500</v>
      </c>
      <c r="C53" s="27">
        <v>0</v>
      </c>
      <c r="D53" s="26">
        <f t="shared" si="0"/>
        <v>0</v>
      </c>
      <c r="E53" s="42">
        <f t="shared" si="1"/>
        <v>-500</v>
      </c>
    </row>
    <row r="54" spans="1:5" ht="12.75" customHeight="1">
      <c r="A54" s="41" t="s">
        <v>52</v>
      </c>
      <c r="B54" s="27">
        <f>SUM(B56+B55)</f>
        <v>40000</v>
      </c>
      <c r="C54" s="27">
        <f>SUM(C56+C55)</f>
        <v>0</v>
      </c>
      <c r="D54" s="26">
        <f t="shared" si="0"/>
        <v>0</v>
      </c>
      <c r="E54" s="42">
        <f t="shared" si="1"/>
        <v>-40000</v>
      </c>
    </row>
    <row r="55" spans="1:5" ht="18.75" customHeight="1">
      <c r="A55" s="104" t="s">
        <v>232</v>
      </c>
      <c r="B55" s="27">
        <v>0</v>
      </c>
      <c r="C55" s="27">
        <v>0</v>
      </c>
      <c r="D55" s="26" t="str">
        <f>IF(B55=0,"   ",C55/B55*100)</f>
        <v>   </v>
      </c>
      <c r="E55" s="42">
        <f>C55-B55</f>
        <v>0</v>
      </c>
    </row>
    <row r="56" spans="1:5" ht="23.25" customHeight="1">
      <c r="A56" s="104" t="s">
        <v>242</v>
      </c>
      <c r="B56" s="25">
        <v>40000</v>
      </c>
      <c r="C56" s="27">
        <v>0</v>
      </c>
      <c r="D56" s="26">
        <f t="shared" si="0"/>
        <v>0</v>
      </c>
      <c r="E56" s="42">
        <f t="shared" si="1"/>
        <v>-40000</v>
      </c>
    </row>
    <row r="57" spans="1:5" ht="21.75" customHeight="1">
      <c r="A57" s="16" t="s">
        <v>49</v>
      </c>
      <c r="B57" s="27">
        <f>SUM(B58)</f>
        <v>103700</v>
      </c>
      <c r="C57" s="27">
        <f>SUM(C58)</f>
        <v>18655.19</v>
      </c>
      <c r="D57" s="26">
        <f t="shared" si="0"/>
        <v>17.98957569913211</v>
      </c>
      <c r="E57" s="42">
        <f t="shared" si="1"/>
        <v>-85044.81</v>
      </c>
    </row>
    <row r="58" spans="1:5" ht="13.5" customHeight="1">
      <c r="A58" s="39" t="s">
        <v>106</v>
      </c>
      <c r="B58" s="25">
        <v>103700</v>
      </c>
      <c r="C58" s="27">
        <v>18655.19</v>
      </c>
      <c r="D58" s="26">
        <f t="shared" si="0"/>
        <v>17.98957569913211</v>
      </c>
      <c r="E58" s="42">
        <f t="shared" si="1"/>
        <v>-85044.81</v>
      </c>
    </row>
    <row r="59" spans="1:5" ht="16.5" customHeight="1">
      <c r="A59" s="16" t="s">
        <v>37</v>
      </c>
      <c r="B59" s="25">
        <f>SUM(B60)</f>
        <v>1000</v>
      </c>
      <c r="C59" s="27">
        <f>SUM(C60)</f>
        <v>0</v>
      </c>
      <c r="D59" s="26">
        <f t="shared" si="0"/>
        <v>0</v>
      </c>
      <c r="E59" s="42">
        <f t="shared" si="1"/>
        <v>-1000</v>
      </c>
    </row>
    <row r="60" spans="1:5" ht="15" customHeight="1">
      <c r="A60" s="75" t="s">
        <v>127</v>
      </c>
      <c r="B60" s="25">
        <v>1000</v>
      </c>
      <c r="C60" s="27">
        <v>0</v>
      </c>
      <c r="D60" s="26">
        <f t="shared" si="0"/>
        <v>0</v>
      </c>
      <c r="E60" s="42">
        <f t="shared" si="1"/>
        <v>-1000</v>
      </c>
    </row>
    <row r="61" spans="1:5" ht="18.75" customHeight="1" thickBot="1">
      <c r="A61" s="16" t="s">
        <v>38</v>
      </c>
      <c r="B61" s="25">
        <f>SUM(B67,B62,B75)</f>
        <v>2148985.7</v>
      </c>
      <c r="C61" s="25">
        <f>SUM(C67,C62,C75)</f>
        <v>202351</v>
      </c>
      <c r="D61" s="26">
        <f t="shared" si="0"/>
        <v>9.416116635862211</v>
      </c>
      <c r="E61" s="42">
        <f t="shared" si="1"/>
        <v>-1946634.7000000002</v>
      </c>
    </row>
    <row r="62" spans="1:5" ht="18.75" customHeight="1" thickBot="1">
      <c r="A62" s="145" t="s">
        <v>164</v>
      </c>
      <c r="B62" s="98">
        <f>SUM(B63:B66)</f>
        <v>32000</v>
      </c>
      <c r="C62" s="25">
        <f>SUM(C63+C64)</f>
        <v>0</v>
      </c>
      <c r="D62" s="26">
        <f>IF(B62=0,"   ",C62/B62*100)</f>
        <v>0</v>
      </c>
      <c r="E62" s="42">
        <f>C62-B62</f>
        <v>-32000</v>
      </c>
    </row>
    <row r="63" spans="1:5" ht="15" customHeight="1">
      <c r="A63" s="145" t="s">
        <v>165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5" customHeight="1">
      <c r="A64" s="145" t="s">
        <v>187</v>
      </c>
      <c r="B64" s="25">
        <v>0</v>
      </c>
      <c r="C64" s="25">
        <v>0</v>
      </c>
      <c r="D64" s="26" t="str">
        <f>IF(B64=0,"   ",C64/B64*100)</f>
        <v>   </v>
      </c>
      <c r="E64" s="42">
        <f>C64-B64</f>
        <v>0</v>
      </c>
    </row>
    <row r="65" spans="1:5" ht="15" customHeight="1">
      <c r="A65" s="145" t="s">
        <v>312</v>
      </c>
      <c r="B65" s="25">
        <v>30000</v>
      </c>
      <c r="C65" s="25"/>
      <c r="D65" s="26"/>
      <c r="E65" s="42"/>
    </row>
    <row r="66" spans="1:5" ht="15" customHeight="1">
      <c r="A66" s="145" t="s">
        <v>313</v>
      </c>
      <c r="B66" s="25">
        <v>2000</v>
      </c>
      <c r="C66" s="25"/>
      <c r="D66" s="26"/>
      <c r="E66" s="42"/>
    </row>
    <row r="67" spans="1:5" ht="13.5" customHeight="1">
      <c r="A67" s="16" t="s">
        <v>39</v>
      </c>
      <c r="B67" s="25">
        <f>SUM(B68:B74)</f>
        <v>1978752.54</v>
      </c>
      <c r="C67" s="25">
        <f>SUM(C68:C74)</f>
        <v>202351</v>
      </c>
      <c r="D67" s="26">
        <f t="shared" si="0"/>
        <v>10.22619028451127</v>
      </c>
      <c r="E67" s="42">
        <f t="shared" si="1"/>
        <v>-1776401.54</v>
      </c>
    </row>
    <row r="68" spans="1:5" ht="17.25" customHeight="1">
      <c r="A68" s="75" t="s">
        <v>148</v>
      </c>
      <c r="B68" s="25">
        <v>0</v>
      </c>
      <c r="C68" s="25">
        <v>0</v>
      </c>
      <c r="D68" s="26" t="str">
        <f t="shared" si="0"/>
        <v>   </v>
      </c>
      <c r="E68" s="42">
        <f t="shared" si="1"/>
        <v>0</v>
      </c>
    </row>
    <row r="69" spans="1:5" ht="24" customHeight="1">
      <c r="A69" s="71" t="s">
        <v>245</v>
      </c>
      <c r="B69" s="25">
        <v>634952.54</v>
      </c>
      <c r="C69" s="25">
        <v>0</v>
      </c>
      <c r="D69" s="26">
        <f t="shared" si="0"/>
        <v>0</v>
      </c>
      <c r="E69" s="42">
        <f t="shared" si="1"/>
        <v>-634952.54</v>
      </c>
    </row>
    <row r="70" spans="1:5" ht="24" customHeight="1">
      <c r="A70" s="71" t="s">
        <v>246</v>
      </c>
      <c r="B70" s="25">
        <v>63200</v>
      </c>
      <c r="C70" s="25">
        <v>0</v>
      </c>
      <c r="D70" s="26">
        <f t="shared" si="0"/>
        <v>0</v>
      </c>
      <c r="E70" s="42">
        <f t="shared" si="1"/>
        <v>-63200</v>
      </c>
    </row>
    <row r="71" spans="1:5" ht="24" customHeight="1">
      <c r="A71" s="71" t="s">
        <v>247</v>
      </c>
      <c r="B71" s="25">
        <v>704900</v>
      </c>
      <c r="C71" s="25">
        <v>0</v>
      </c>
      <c r="D71" s="26">
        <f t="shared" si="0"/>
        <v>0</v>
      </c>
      <c r="E71" s="42">
        <f t="shared" si="1"/>
        <v>-704900</v>
      </c>
    </row>
    <row r="72" spans="1:5" ht="24" customHeight="1">
      <c r="A72" s="71" t="s">
        <v>248</v>
      </c>
      <c r="B72" s="25">
        <v>78400</v>
      </c>
      <c r="C72" s="25">
        <v>0</v>
      </c>
      <c r="D72" s="26">
        <f t="shared" si="0"/>
        <v>0</v>
      </c>
      <c r="E72" s="42">
        <f t="shared" si="1"/>
        <v>-78400</v>
      </c>
    </row>
    <row r="73" spans="1:5" ht="24" customHeight="1">
      <c r="A73" s="71" t="s">
        <v>249</v>
      </c>
      <c r="B73" s="25">
        <v>447500</v>
      </c>
      <c r="C73" s="25">
        <v>175632</v>
      </c>
      <c r="D73" s="26">
        <f t="shared" si="0"/>
        <v>39.24737430167598</v>
      </c>
      <c r="E73" s="42">
        <f t="shared" si="1"/>
        <v>-271868</v>
      </c>
    </row>
    <row r="74" spans="1:5" ht="26.25" customHeight="1">
      <c r="A74" s="145" t="s">
        <v>250</v>
      </c>
      <c r="B74" s="25">
        <v>49800</v>
      </c>
      <c r="C74" s="25">
        <v>26719</v>
      </c>
      <c r="D74" s="26">
        <f t="shared" si="0"/>
        <v>53.65261044176707</v>
      </c>
      <c r="E74" s="42">
        <f t="shared" si="1"/>
        <v>-23081</v>
      </c>
    </row>
    <row r="75" spans="1:5" ht="18.75" customHeight="1">
      <c r="A75" s="145" t="s">
        <v>175</v>
      </c>
      <c r="B75" s="25">
        <f>B76</f>
        <v>138233.16</v>
      </c>
      <c r="C75" s="25">
        <f>C76</f>
        <v>0</v>
      </c>
      <c r="D75" s="26">
        <f>IF(B75=0,"   ",C75/B75*100)</f>
        <v>0</v>
      </c>
      <c r="E75" s="42">
        <f>C75-B75</f>
        <v>-138233.16</v>
      </c>
    </row>
    <row r="76" spans="1:5" ht="26.25" customHeight="1">
      <c r="A76" s="104" t="s">
        <v>154</v>
      </c>
      <c r="B76" s="25">
        <v>138233.16</v>
      </c>
      <c r="C76" s="25">
        <v>0</v>
      </c>
      <c r="D76" s="26">
        <f>IF(B76=0,"   ",C76/B76*100)</f>
        <v>0</v>
      </c>
      <c r="E76" s="42">
        <f>C76-B76</f>
        <v>-138233.16</v>
      </c>
    </row>
    <row r="77" spans="1:5" ht="20.25" customHeight="1">
      <c r="A77" s="16" t="s">
        <v>13</v>
      </c>
      <c r="B77" s="25">
        <f>B79+B78+B87</f>
        <v>900355.54</v>
      </c>
      <c r="C77" s="25">
        <f>C79+C78</f>
        <v>65235.3</v>
      </c>
      <c r="D77" s="26">
        <f t="shared" si="0"/>
        <v>7.245504370417935</v>
      </c>
      <c r="E77" s="42">
        <f t="shared" si="1"/>
        <v>-835120.24</v>
      </c>
    </row>
    <row r="78" spans="1:5" ht="20.25" customHeight="1">
      <c r="A78" s="41" t="s">
        <v>149</v>
      </c>
      <c r="B78" s="25">
        <v>0</v>
      </c>
      <c r="C78" s="25">
        <v>0</v>
      </c>
      <c r="D78" s="26" t="str">
        <f t="shared" si="0"/>
        <v>   </v>
      </c>
      <c r="E78" s="42">
        <f t="shared" si="1"/>
        <v>0</v>
      </c>
    </row>
    <row r="79" spans="1:5" ht="12.75" customHeight="1">
      <c r="A79" s="16" t="s">
        <v>98</v>
      </c>
      <c r="B79" s="25">
        <f>B80+B81+B86+B82</f>
        <v>900255.54</v>
      </c>
      <c r="C79" s="25">
        <f>C80+C81+C86+C82</f>
        <v>65235.3</v>
      </c>
      <c r="D79" s="26">
        <f t="shared" si="0"/>
        <v>7.246309197941731</v>
      </c>
      <c r="E79" s="42">
        <f t="shared" si="1"/>
        <v>-835020.24</v>
      </c>
    </row>
    <row r="80" spans="1:5" ht="12.75" customHeight="1">
      <c r="A80" s="16" t="s">
        <v>99</v>
      </c>
      <c r="B80" s="25">
        <v>210000</v>
      </c>
      <c r="C80" s="25">
        <v>65235.3</v>
      </c>
      <c r="D80" s="26">
        <f t="shared" si="0"/>
        <v>31.06442857142857</v>
      </c>
      <c r="E80" s="42">
        <f t="shared" si="1"/>
        <v>-144764.7</v>
      </c>
    </row>
    <row r="81" spans="1:5" ht="12.75" customHeight="1">
      <c r="A81" s="16" t="s">
        <v>61</v>
      </c>
      <c r="B81" s="25">
        <v>206870.54</v>
      </c>
      <c r="C81" s="27">
        <v>0</v>
      </c>
      <c r="D81" s="26">
        <v>0</v>
      </c>
      <c r="E81" s="42">
        <f t="shared" si="1"/>
        <v>-206870.54</v>
      </c>
    </row>
    <row r="82" spans="1:5" ht="12.75" customHeight="1">
      <c r="A82" s="104" t="s">
        <v>205</v>
      </c>
      <c r="B82" s="25">
        <f>SUM(B83:B85)</f>
        <v>483385</v>
      </c>
      <c r="C82" s="25">
        <f>SUM(C83:C85)</f>
        <v>0</v>
      </c>
      <c r="D82" s="26">
        <v>0</v>
      </c>
      <c r="E82" s="42">
        <f>C82-B82</f>
        <v>-483385</v>
      </c>
    </row>
    <row r="83" spans="1:5" ht="29.25" customHeight="1">
      <c r="A83" s="104" t="s">
        <v>206</v>
      </c>
      <c r="B83" s="25">
        <v>290031</v>
      </c>
      <c r="C83" s="27">
        <v>0</v>
      </c>
      <c r="D83" s="26">
        <f t="shared" si="0"/>
        <v>0</v>
      </c>
      <c r="E83" s="27">
        <f t="shared" si="1"/>
        <v>-290031</v>
      </c>
    </row>
    <row r="84" spans="1:5" ht="25.5" customHeight="1">
      <c r="A84" s="104" t="s">
        <v>207</v>
      </c>
      <c r="B84" s="25">
        <v>125437.3</v>
      </c>
      <c r="C84" s="27">
        <v>0</v>
      </c>
      <c r="D84" s="26">
        <f t="shared" si="0"/>
        <v>0</v>
      </c>
      <c r="E84" s="27">
        <f t="shared" si="1"/>
        <v>-125437.3</v>
      </c>
    </row>
    <row r="85" spans="1:5" ht="23.25" customHeight="1">
      <c r="A85" s="104" t="s">
        <v>208</v>
      </c>
      <c r="B85" s="25">
        <v>67916.7</v>
      </c>
      <c r="C85" s="27">
        <v>0</v>
      </c>
      <c r="D85" s="26">
        <f t="shared" si="0"/>
        <v>0</v>
      </c>
      <c r="E85" s="27">
        <f t="shared" si="1"/>
        <v>-67916.7</v>
      </c>
    </row>
    <row r="86" spans="1:5" ht="19.5" customHeight="1" thickBot="1">
      <c r="A86" s="104" t="s">
        <v>284</v>
      </c>
      <c r="B86" s="121">
        <v>0</v>
      </c>
      <c r="C86" s="122">
        <v>0</v>
      </c>
      <c r="D86" s="26" t="str">
        <f t="shared" si="0"/>
        <v>   </v>
      </c>
      <c r="E86" s="27">
        <f t="shared" si="1"/>
        <v>0</v>
      </c>
    </row>
    <row r="87" spans="1:5" ht="19.5" customHeight="1" thickBot="1">
      <c r="A87" s="145" t="s">
        <v>337</v>
      </c>
      <c r="B87" s="178">
        <f>SUM(B88)</f>
        <v>100</v>
      </c>
      <c r="C87" s="178">
        <f>SUM(C88)</f>
        <v>0</v>
      </c>
      <c r="D87" s="26">
        <f>IF(B87=0,"   ",C87/B87*100)</f>
        <v>0</v>
      </c>
      <c r="E87" s="27">
        <f>C87-B87</f>
        <v>-100</v>
      </c>
    </row>
    <row r="88" spans="1:5" ht="19.5" customHeight="1">
      <c r="A88" s="145" t="s">
        <v>270</v>
      </c>
      <c r="B88" s="31">
        <v>100</v>
      </c>
      <c r="C88" s="70">
        <v>0</v>
      </c>
      <c r="D88" s="26">
        <f>IF(B88=0,"   ",C88/B88*100)</f>
        <v>0</v>
      </c>
      <c r="E88" s="27">
        <f>C88-B88</f>
        <v>-100</v>
      </c>
    </row>
    <row r="89" spans="1:5" ht="20.25" customHeight="1">
      <c r="A89" s="35" t="s">
        <v>17</v>
      </c>
      <c r="B89" s="31">
        <v>8000</v>
      </c>
      <c r="C89" s="31">
        <v>0</v>
      </c>
      <c r="D89" s="26">
        <f t="shared" si="0"/>
        <v>0</v>
      </c>
      <c r="E89" s="42">
        <f t="shared" si="1"/>
        <v>-8000</v>
      </c>
    </row>
    <row r="90" spans="1:5" ht="18" customHeight="1">
      <c r="A90" s="16" t="s">
        <v>41</v>
      </c>
      <c r="B90" s="24">
        <f>B91</f>
        <v>764200</v>
      </c>
      <c r="C90" s="24">
        <f>C91</f>
        <v>322060</v>
      </c>
      <c r="D90" s="26">
        <f t="shared" si="0"/>
        <v>42.14341795341534</v>
      </c>
      <c r="E90" s="42">
        <f t="shared" si="1"/>
        <v>-442140</v>
      </c>
    </row>
    <row r="91" spans="1:5" ht="12.75" customHeight="1">
      <c r="A91" s="16" t="s">
        <v>42</v>
      </c>
      <c r="B91" s="25">
        <v>764200</v>
      </c>
      <c r="C91" s="27">
        <v>322060</v>
      </c>
      <c r="D91" s="26">
        <f t="shared" si="0"/>
        <v>42.14341795341534</v>
      </c>
      <c r="E91" s="42">
        <f t="shared" si="1"/>
        <v>-442140</v>
      </c>
    </row>
    <row r="92" spans="1:5" ht="16.5" customHeight="1">
      <c r="A92" s="16" t="s">
        <v>123</v>
      </c>
      <c r="B92" s="25">
        <f>SUM(B93:B93)</f>
        <v>12000</v>
      </c>
      <c r="C92" s="25">
        <f>SUM(C93:C93)</f>
        <v>0</v>
      </c>
      <c r="D92" s="26">
        <f t="shared" si="0"/>
        <v>0</v>
      </c>
      <c r="E92" s="42">
        <f t="shared" si="1"/>
        <v>-12000</v>
      </c>
    </row>
    <row r="93" spans="1:5" ht="16.5" customHeight="1">
      <c r="A93" s="16" t="s">
        <v>43</v>
      </c>
      <c r="B93" s="25">
        <v>12000</v>
      </c>
      <c r="C93" s="25">
        <v>0</v>
      </c>
      <c r="D93" s="26">
        <f>IF(B93=0,"   ",C93/B93*100)</f>
        <v>0</v>
      </c>
      <c r="E93" s="42">
        <f>C93-B93</f>
        <v>-12000</v>
      </c>
    </row>
    <row r="94" spans="1:5" ht="22.5" customHeight="1">
      <c r="A94" s="169" t="s">
        <v>15</v>
      </c>
      <c r="B94" s="147">
        <f>SUM(B50,B57,B59,B61,B77,B89,B90,B92,)</f>
        <v>5478541.24</v>
      </c>
      <c r="C94" s="147">
        <f>SUM(C50,C57,C59,C61,C77,C89,C90,C92,)</f>
        <v>840656.76</v>
      </c>
      <c r="D94" s="139">
        <f>IF(B94=0,"   ",C94/B94*100)</f>
        <v>15.34453649563109</v>
      </c>
      <c r="E94" s="140">
        <f t="shared" si="1"/>
        <v>-4637884.48</v>
      </c>
    </row>
    <row r="95" spans="1:5" s="59" customFormat="1" ht="30" customHeight="1">
      <c r="A95" s="80" t="s">
        <v>303</v>
      </c>
      <c r="B95" s="80"/>
      <c r="C95" s="337"/>
      <c r="D95" s="337"/>
      <c r="E95" s="337"/>
    </row>
    <row r="96" spans="1:5" s="59" customFormat="1" ht="18" customHeight="1">
      <c r="A96" s="80" t="s">
        <v>153</v>
      </c>
      <c r="B96" s="80"/>
      <c r="C96" s="81" t="s">
        <v>304</v>
      </c>
      <c r="D96" s="82"/>
      <c r="E96" s="83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</sheetData>
  <sheetProtection/>
  <mergeCells count="2">
    <mergeCell ref="A1:E1"/>
    <mergeCell ref="C95:E95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zoomScalePageLayoutView="0" workbookViewId="0" topLeftCell="A28">
      <selection activeCell="C40" sqref="C40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7.25">
      <c r="A1" s="339" t="s">
        <v>328</v>
      </c>
      <c r="B1" s="339"/>
      <c r="C1" s="339"/>
      <c r="D1" s="339"/>
      <c r="E1" s="33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305</v>
      </c>
      <c r="C4" s="32" t="s">
        <v>323</v>
      </c>
      <c r="D4" s="19" t="s">
        <v>308</v>
      </c>
      <c r="E4" s="36" t="s">
        <v>307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48" t="s">
        <v>45</v>
      </c>
      <c r="B7" s="146">
        <f>SUM(B8)</f>
        <v>73200</v>
      </c>
      <c r="C7" s="146">
        <f>SUM(C8)</f>
        <v>15847.06</v>
      </c>
      <c r="D7" s="137">
        <f aca="true" t="shared" si="0" ref="D7:D101">IF(B7=0,"   ",C7/B7*100)</f>
        <v>21.64898907103825</v>
      </c>
      <c r="E7" s="138">
        <f aca="true" t="shared" si="1" ref="E7:E102">C7-B7</f>
        <v>-57352.94</v>
      </c>
    </row>
    <row r="8" spans="1:5" ht="12" customHeight="1">
      <c r="A8" s="85" t="s">
        <v>44</v>
      </c>
      <c r="B8" s="84">
        <v>73200</v>
      </c>
      <c r="C8" s="228">
        <v>15847.06</v>
      </c>
      <c r="D8" s="137">
        <f t="shared" si="0"/>
        <v>21.64898907103825</v>
      </c>
      <c r="E8" s="138">
        <f t="shared" si="1"/>
        <v>-57352.94</v>
      </c>
    </row>
    <row r="9" spans="1:5" ht="16.5" customHeight="1">
      <c r="A9" s="148" t="s">
        <v>136</v>
      </c>
      <c r="B9" s="191">
        <f>SUM(B10)</f>
        <v>1103100</v>
      </c>
      <c r="C9" s="191">
        <f>SUM(C10)</f>
        <v>259109.37</v>
      </c>
      <c r="D9" s="137">
        <f t="shared" si="0"/>
        <v>23.489200435137338</v>
      </c>
      <c r="E9" s="138">
        <f t="shared" si="1"/>
        <v>-843990.63</v>
      </c>
    </row>
    <row r="10" spans="1:5" ht="15" customHeight="1">
      <c r="A10" s="85" t="s">
        <v>137</v>
      </c>
      <c r="B10" s="192">
        <v>1103100</v>
      </c>
      <c r="C10" s="228">
        <v>259109.37</v>
      </c>
      <c r="D10" s="137">
        <f t="shared" si="0"/>
        <v>23.489200435137338</v>
      </c>
      <c r="E10" s="138">
        <f t="shared" si="1"/>
        <v>-843990.63</v>
      </c>
    </row>
    <row r="11" spans="1:5" ht="12.75">
      <c r="A11" s="85" t="s">
        <v>7</v>
      </c>
      <c r="B11" s="192">
        <f>SUM(B12:B12)</f>
        <v>47400</v>
      </c>
      <c r="C11" s="192">
        <f>SUM(C12:C12)</f>
        <v>60619.5</v>
      </c>
      <c r="D11" s="137">
        <f t="shared" si="0"/>
        <v>127.8892405063291</v>
      </c>
      <c r="E11" s="138">
        <f t="shared" si="1"/>
        <v>13219.5</v>
      </c>
    </row>
    <row r="12" spans="1:5" ht="16.5" customHeight="1">
      <c r="A12" s="85" t="s">
        <v>26</v>
      </c>
      <c r="B12" s="192">
        <v>47400</v>
      </c>
      <c r="C12" s="228">
        <v>60619.5</v>
      </c>
      <c r="D12" s="137">
        <f t="shared" si="0"/>
        <v>127.8892405063291</v>
      </c>
      <c r="E12" s="138">
        <f t="shared" si="1"/>
        <v>13219.5</v>
      </c>
    </row>
    <row r="13" spans="1:5" ht="16.5" customHeight="1">
      <c r="A13" s="85" t="s">
        <v>9</v>
      </c>
      <c r="B13" s="192">
        <f>SUM(B14:B15)</f>
        <v>419000</v>
      </c>
      <c r="C13" s="192">
        <f>SUM(C14:C15)</f>
        <v>44408.240000000005</v>
      </c>
      <c r="D13" s="137">
        <f t="shared" si="0"/>
        <v>10.598625298329358</v>
      </c>
      <c r="E13" s="138">
        <f t="shared" si="1"/>
        <v>-374591.76</v>
      </c>
    </row>
    <row r="14" spans="1:5" ht="15" customHeight="1">
      <c r="A14" s="85" t="s">
        <v>27</v>
      </c>
      <c r="B14" s="192">
        <v>231000</v>
      </c>
      <c r="C14" s="228">
        <v>25870.16</v>
      </c>
      <c r="D14" s="137">
        <f t="shared" si="0"/>
        <v>11.199203463203464</v>
      </c>
      <c r="E14" s="138">
        <f t="shared" si="1"/>
        <v>-205129.84</v>
      </c>
    </row>
    <row r="15" spans="1:5" ht="15.75" customHeight="1">
      <c r="A15" s="41" t="s">
        <v>159</v>
      </c>
      <c r="B15" s="192">
        <f>SUM(B16:B17)</f>
        <v>188000</v>
      </c>
      <c r="C15" s="192">
        <f>SUM(C16:C17)</f>
        <v>18538.08</v>
      </c>
      <c r="D15" s="137">
        <f t="shared" si="0"/>
        <v>9.860680851063831</v>
      </c>
      <c r="E15" s="138">
        <f t="shared" si="1"/>
        <v>-169461.91999999998</v>
      </c>
    </row>
    <row r="16" spans="1:5" ht="14.25" customHeight="1">
      <c r="A16" s="41" t="s">
        <v>160</v>
      </c>
      <c r="B16" s="192">
        <v>20100</v>
      </c>
      <c r="C16" s="228">
        <v>11490</v>
      </c>
      <c r="D16" s="137">
        <f t="shared" si="0"/>
        <v>57.16417910447761</v>
      </c>
      <c r="E16" s="138">
        <f t="shared" si="1"/>
        <v>-8610</v>
      </c>
    </row>
    <row r="17" spans="1:5" ht="12.75" customHeight="1">
      <c r="A17" s="41" t="s">
        <v>161</v>
      </c>
      <c r="B17" s="192">
        <v>167900</v>
      </c>
      <c r="C17" s="228">
        <v>7048.08</v>
      </c>
      <c r="D17" s="137">
        <f t="shared" si="0"/>
        <v>4.197784395473496</v>
      </c>
      <c r="E17" s="138">
        <f t="shared" si="1"/>
        <v>-160851.92</v>
      </c>
    </row>
    <row r="18" spans="1:5" ht="12.75" customHeight="1">
      <c r="A18" s="41" t="s">
        <v>194</v>
      </c>
      <c r="B18" s="192">
        <v>0</v>
      </c>
      <c r="C18" s="228">
        <v>500</v>
      </c>
      <c r="D18" s="137" t="str">
        <f t="shared" si="0"/>
        <v>   </v>
      </c>
      <c r="E18" s="138">
        <f t="shared" si="1"/>
        <v>500</v>
      </c>
    </row>
    <row r="19" spans="1:5" ht="13.5" customHeight="1">
      <c r="A19" s="85" t="s">
        <v>88</v>
      </c>
      <c r="B19" s="192">
        <v>0</v>
      </c>
      <c r="C19" s="193">
        <v>0</v>
      </c>
      <c r="D19" s="137" t="str">
        <f t="shared" si="0"/>
        <v>   </v>
      </c>
      <c r="E19" s="138">
        <f t="shared" si="1"/>
        <v>0</v>
      </c>
    </row>
    <row r="20" spans="1:5" ht="24.75" customHeight="1">
      <c r="A20" s="85" t="s">
        <v>28</v>
      </c>
      <c r="B20" s="192">
        <f>B21+B22</f>
        <v>39600</v>
      </c>
      <c r="C20" s="192">
        <f>SUM(C21:C22)</f>
        <v>9.84</v>
      </c>
      <c r="D20" s="137">
        <f t="shared" si="0"/>
        <v>0.02484848484848485</v>
      </c>
      <c r="E20" s="138">
        <f t="shared" si="1"/>
        <v>-39590.16</v>
      </c>
    </row>
    <row r="21" spans="1:5" ht="14.25" customHeight="1">
      <c r="A21" s="41" t="s">
        <v>151</v>
      </c>
      <c r="B21" s="192">
        <v>39600</v>
      </c>
      <c r="C21" s="192">
        <v>9.84</v>
      </c>
      <c r="D21" s="137">
        <f t="shared" si="0"/>
        <v>0.02484848484848485</v>
      </c>
      <c r="E21" s="138">
        <f t="shared" si="1"/>
        <v>-39590.16</v>
      </c>
    </row>
    <row r="22" spans="1:5" ht="12" customHeight="1">
      <c r="A22" s="85" t="s">
        <v>30</v>
      </c>
      <c r="B22" s="192">
        <v>0</v>
      </c>
      <c r="C22" s="193">
        <v>0</v>
      </c>
      <c r="D22" s="137" t="str">
        <f t="shared" si="0"/>
        <v>   </v>
      </c>
      <c r="E22" s="138">
        <f t="shared" si="1"/>
        <v>0</v>
      </c>
    </row>
    <row r="23" spans="1:5" ht="12.75" customHeight="1">
      <c r="A23" s="85" t="s">
        <v>83</v>
      </c>
      <c r="B23" s="192">
        <v>0</v>
      </c>
      <c r="C23" s="193">
        <v>0</v>
      </c>
      <c r="D23" s="137" t="str">
        <f t="shared" si="0"/>
        <v>   </v>
      </c>
      <c r="E23" s="138">
        <f t="shared" si="1"/>
        <v>0</v>
      </c>
    </row>
    <row r="24" spans="1:5" ht="13.5" customHeight="1">
      <c r="A24" s="85" t="s">
        <v>78</v>
      </c>
      <c r="B24" s="192">
        <f>SUM(B25:B25)</f>
        <v>0</v>
      </c>
      <c r="C24" s="192">
        <f>SUM(C25:C25)</f>
        <v>0</v>
      </c>
      <c r="D24" s="137" t="str">
        <f t="shared" si="0"/>
        <v>   </v>
      </c>
      <c r="E24" s="138">
        <f t="shared" si="1"/>
        <v>0</v>
      </c>
    </row>
    <row r="25" spans="1:5" ht="13.5" customHeight="1">
      <c r="A25" s="85" t="s">
        <v>124</v>
      </c>
      <c r="B25" s="192">
        <v>0</v>
      </c>
      <c r="C25" s="192"/>
      <c r="D25" s="137" t="str">
        <f t="shared" si="0"/>
        <v>   </v>
      </c>
      <c r="E25" s="138"/>
    </row>
    <row r="26" spans="1:5" ht="12.75">
      <c r="A26" s="85" t="s">
        <v>32</v>
      </c>
      <c r="B26" s="192">
        <f>B27</f>
        <v>0</v>
      </c>
      <c r="C26" s="192">
        <f>C27</f>
        <v>196.72</v>
      </c>
      <c r="D26" s="137" t="str">
        <f t="shared" si="0"/>
        <v>   </v>
      </c>
      <c r="E26" s="138">
        <f t="shared" si="1"/>
        <v>196.72</v>
      </c>
    </row>
    <row r="27" spans="1:5" ht="12.75">
      <c r="A27" s="16" t="s">
        <v>46</v>
      </c>
      <c r="B27" s="192">
        <v>0</v>
      </c>
      <c r="C27" s="192">
        <v>196.72</v>
      </c>
      <c r="D27" s="137" t="str">
        <f t="shared" si="0"/>
        <v>   </v>
      </c>
      <c r="E27" s="138">
        <f t="shared" si="1"/>
        <v>196.72</v>
      </c>
    </row>
    <row r="28" spans="1:5" ht="12.75">
      <c r="A28" s="85" t="s">
        <v>31</v>
      </c>
      <c r="B28" s="192">
        <v>0</v>
      </c>
      <c r="C28" s="192">
        <v>0</v>
      </c>
      <c r="D28" s="137" t="str">
        <f t="shared" si="0"/>
        <v>   </v>
      </c>
      <c r="E28" s="138">
        <f t="shared" si="1"/>
        <v>0</v>
      </c>
    </row>
    <row r="29" spans="1:5" ht="18" customHeight="1">
      <c r="A29" s="154" t="s">
        <v>10</v>
      </c>
      <c r="B29" s="171">
        <f>B7+B9+B11+B13+B19+B20+B24+B26+B28+B18</f>
        <v>1682300</v>
      </c>
      <c r="C29" s="171">
        <f>C7+C9+C11+C13+C19+C20+C24+C26+C28+C18</f>
        <v>380690.73</v>
      </c>
      <c r="D29" s="139">
        <f t="shared" si="0"/>
        <v>22.629182072163108</v>
      </c>
      <c r="E29" s="140">
        <f t="shared" si="1"/>
        <v>-1301609.27</v>
      </c>
    </row>
    <row r="30" spans="1:5" ht="18" customHeight="1">
      <c r="A30" s="155" t="s">
        <v>139</v>
      </c>
      <c r="B30" s="182">
        <f>SUM(B31:B34,B37,B38,B43,B44,B45)</f>
        <v>6228100</v>
      </c>
      <c r="C30" s="182">
        <f>SUM(C31:C34,C37,C38,C43,C44,C45)</f>
        <v>1348028.8</v>
      </c>
      <c r="D30" s="139">
        <f t="shared" si="0"/>
        <v>21.644302435734815</v>
      </c>
      <c r="E30" s="140">
        <f t="shared" si="1"/>
        <v>-4880071.2</v>
      </c>
    </row>
    <row r="31" spans="1:5" ht="16.5" customHeight="1">
      <c r="A31" s="156" t="s">
        <v>34</v>
      </c>
      <c r="B31" s="157">
        <v>4359000</v>
      </c>
      <c r="C31" s="228">
        <v>1089750</v>
      </c>
      <c r="D31" s="151">
        <f t="shared" si="0"/>
        <v>25</v>
      </c>
      <c r="E31" s="152">
        <f t="shared" si="1"/>
        <v>-3269250</v>
      </c>
    </row>
    <row r="32" spans="1:5" ht="16.5" customHeight="1">
      <c r="A32" s="17" t="s">
        <v>225</v>
      </c>
      <c r="B32" s="157">
        <v>0</v>
      </c>
      <c r="C32" s="228">
        <v>0</v>
      </c>
      <c r="D32" s="151" t="str">
        <f>IF(B32=0,"   ",C32/B32*100)</f>
        <v>   </v>
      </c>
      <c r="E32" s="152">
        <f>C32-B32</f>
        <v>0</v>
      </c>
    </row>
    <row r="33" spans="1:5" ht="27" customHeight="1">
      <c r="A33" s="153" t="s">
        <v>51</v>
      </c>
      <c r="B33" s="192">
        <v>103700</v>
      </c>
      <c r="C33" s="228">
        <v>29200</v>
      </c>
      <c r="D33" s="151">
        <f t="shared" si="0"/>
        <v>28.15814850530376</v>
      </c>
      <c r="E33" s="152">
        <f t="shared" si="1"/>
        <v>-74500</v>
      </c>
    </row>
    <row r="34" spans="1:5" ht="27" customHeight="1">
      <c r="A34" s="153" t="s">
        <v>147</v>
      </c>
      <c r="B34" s="192">
        <f>SUM(B35:B36)</f>
        <v>100</v>
      </c>
      <c r="C34" s="192">
        <f>SUM(C35:C36)</f>
        <v>0</v>
      </c>
      <c r="D34" s="151">
        <f t="shared" si="0"/>
        <v>0</v>
      </c>
      <c r="E34" s="152">
        <f t="shared" si="1"/>
        <v>-100</v>
      </c>
    </row>
    <row r="35" spans="1:5" ht="17.25" customHeight="1">
      <c r="A35" s="108" t="s">
        <v>162</v>
      </c>
      <c r="B35" s="192">
        <v>100</v>
      </c>
      <c r="C35" s="192">
        <v>0</v>
      </c>
      <c r="D35" s="151">
        <f t="shared" si="0"/>
        <v>0</v>
      </c>
      <c r="E35" s="152">
        <f t="shared" si="1"/>
        <v>-100</v>
      </c>
    </row>
    <row r="36" spans="1:5" ht="27" customHeight="1">
      <c r="A36" s="108" t="s">
        <v>163</v>
      </c>
      <c r="B36" s="192">
        <v>0</v>
      </c>
      <c r="C36" s="192">
        <v>0</v>
      </c>
      <c r="D36" s="151" t="str">
        <f>IF(B36=0,"   ",C36/B36*100)</f>
        <v>   </v>
      </c>
      <c r="E36" s="152">
        <f>C36-B36</f>
        <v>0</v>
      </c>
    </row>
    <row r="37" spans="1:5" ht="54.75" customHeight="1">
      <c r="A37" s="16" t="s">
        <v>234</v>
      </c>
      <c r="B37" s="192">
        <v>978300</v>
      </c>
      <c r="C37" s="192">
        <v>0</v>
      </c>
      <c r="D37" s="151">
        <f>IF(B37=0,"   ",C37/B37*100)</f>
        <v>0</v>
      </c>
      <c r="E37" s="152">
        <f>C37-B37</f>
        <v>-978300</v>
      </c>
    </row>
    <row r="38" spans="1:5" ht="17.25" customHeight="1">
      <c r="A38" s="153" t="s">
        <v>55</v>
      </c>
      <c r="B38" s="192">
        <f>B39+B42+B41+B40</f>
        <v>787000</v>
      </c>
      <c r="C38" s="192">
        <f>C39+C42+C41+C40</f>
        <v>229078.8</v>
      </c>
      <c r="D38" s="151">
        <f t="shared" si="0"/>
        <v>29.10785260482846</v>
      </c>
      <c r="E38" s="152">
        <f t="shared" si="1"/>
        <v>-557921.2</v>
      </c>
    </row>
    <row r="39" spans="1:5" s="7" customFormat="1" ht="14.25" customHeight="1">
      <c r="A39" s="46" t="s">
        <v>108</v>
      </c>
      <c r="B39" s="192">
        <v>664700</v>
      </c>
      <c r="C39" s="192">
        <v>229078.8</v>
      </c>
      <c r="D39" s="47">
        <f t="shared" si="0"/>
        <v>34.46348728749812</v>
      </c>
      <c r="E39" s="172">
        <f t="shared" si="1"/>
        <v>-435621.2</v>
      </c>
    </row>
    <row r="40" spans="1:5" s="7" customFormat="1" ht="14.25" customHeight="1">
      <c r="A40" s="46" t="s">
        <v>311</v>
      </c>
      <c r="B40" s="192">
        <v>122300</v>
      </c>
      <c r="C40" s="192">
        <v>0</v>
      </c>
      <c r="D40" s="47">
        <f t="shared" si="0"/>
        <v>0</v>
      </c>
      <c r="E40" s="172">
        <f t="shared" si="1"/>
        <v>-122300</v>
      </c>
    </row>
    <row r="41" spans="1:5" s="7" customFormat="1" ht="14.25" customHeight="1">
      <c r="A41" s="46" t="s">
        <v>278</v>
      </c>
      <c r="B41" s="192">
        <v>0</v>
      </c>
      <c r="C41" s="192">
        <v>0</v>
      </c>
      <c r="D41" s="47" t="str">
        <f t="shared" si="0"/>
        <v>   </v>
      </c>
      <c r="E41" s="172">
        <f t="shared" si="1"/>
        <v>0</v>
      </c>
    </row>
    <row r="42" spans="1:5" s="7" customFormat="1" ht="14.25" customHeight="1">
      <c r="A42" s="46" t="s">
        <v>186</v>
      </c>
      <c r="B42" s="192">
        <v>0</v>
      </c>
      <c r="C42" s="192">
        <v>0</v>
      </c>
      <c r="D42" s="47" t="str">
        <f t="shared" si="0"/>
        <v>   </v>
      </c>
      <c r="E42" s="172">
        <f t="shared" si="1"/>
        <v>0</v>
      </c>
    </row>
    <row r="43" spans="1:5" ht="39" customHeight="1">
      <c r="A43" s="153" t="s">
        <v>102</v>
      </c>
      <c r="B43" s="192">
        <v>0</v>
      </c>
      <c r="C43" s="228">
        <v>0</v>
      </c>
      <c r="D43" s="151" t="str">
        <f t="shared" si="0"/>
        <v>   </v>
      </c>
      <c r="E43" s="152">
        <f t="shared" si="1"/>
        <v>0</v>
      </c>
    </row>
    <row r="44" spans="1:5" ht="29.25" customHeight="1">
      <c r="A44" s="16" t="s">
        <v>294</v>
      </c>
      <c r="B44" s="192">
        <v>0</v>
      </c>
      <c r="C44" s="228">
        <v>0</v>
      </c>
      <c r="D44" s="151" t="str">
        <f t="shared" si="0"/>
        <v>   </v>
      </c>
      <c r="E44" s="152">
        <f t="shared" si="1"/>
        <v>0</v>
      </c>
    </row>
    <row r="45" spans="1:5" ht="15.75" customHeight="1">
      <c r="A45" s="16" t="s">
        <v>196</v>
      </c>
      <c r="B45" s="192">
        <v>0</v>
      </c>
      <c r="C45" s="192">
        <v>0</v>
      </c>
      <c r="D45" s="151" t="str">
        <f t="shared" si="0"/>
        <v>   </v>
      </c>
      <c r="E45" s="152">
        <f t="shared" si="1"/>
        <v>0</v>
      </c>
    </row>
    <row r="46" spans="1:5" ht="27" customHeight="1">
      <c r="A46" s="154" t="s">
        <v>11</v>
      </c>
      <c r="B46" s="147">
        <f>SUM(B29,B30,)</f>
        <v>7910400</v>
      </c>
      <c r="C46" s="147">
        <f>SUM(C29,C30,)</f>
        <v>1728719.53</v>
      </c>
      <c r="D46" s="139">
        <f t="shared" si="0"/>
        <v>21.853756194377024</v>
      </c>
      <c r="E46" s="140">
        <f t="shared" si="1"/>
        <v>-6181680.47</v>
      </c>
    </row>
    <row r="47" spans="1:5" ht="20.25" customHeight="1">
      <c r="A47" s="30"/>
      <c r="B47" s="157"/>
      <c r="C47" s="149"/>
      <c r="D47" s="151" t="str">
        <f t="shared" si="0"/>
        <v>   </v>
      </c>
      <c r="E47" s="152">
        <f t="shared" si="1"/>
        <v>0</v>
      </c>
    </row>
    <row r="48" spans="1:5" ht="12.75">
      <c r="A48" s="158" t="s">
        <v>12</v>
      </c>
      <c r="B48" s="147"/>
      <c r="C48" s="159"/>
      <c r="D48" s="151" t="str">
        <f t="shared" si="0"/>
        <v>   </v>
      </c>
      <c r="E48" s="152">
        <f t="shared" si="1"/>
        <v>0</v>
      </c>
    </row>
    <row r="49" spans="1:5" ht="19.5" customHeight="1">
      <c r="A49" s="153" t="s">
        <v>35</v>
      </c>
      <c r="B49" s="149">
        <f>SUM(B50,B52,B53)</f>
        <v>1547651.91</v>
      </c>
      <c r="C49" s="149">
        <f>SUM(C50,C52,C53)</f>
        <v>242865.35</v>
      </c>
      <c r="D49" s="151">
        <f t="shared" si="0"/>
        <v>15.69250478293921</v>
      </c>
      <c r="E49" s="152">
        <f t="shared" si="1"/>
        <v>-1304786.5599999998</v>
      </c>
    </row>
    <row r="50" spans="1:5" ht="13.5" customHeight="1">
      <c r="A50" s="153" t="s">
        <v>36</v>
      </c>
      <c r="B50" s="149">
        <v>1387151.91</v>
      </c>
      <c r="C50" s="149">
        <v>242865.35</v>
      </c>
      <c r="D50" s="151">
        <f t="shared" si="0"/>
        <v>17.50820139086281</v>
      </c>
      <c r="E50" s="152">
        <f t="shared" si="1"/>
        <v>-1144286.5599999998</v>
      </c>
    </row>
    <row r="51" spans="1:5" ht="12.75">
      <c r="A51" s="153" t="s">
        <v>120</v>
      </c>
      <c r="B51" s="149">
        <v>889017</v>
      </c>
      <c r="C51" s="159">
        <v>160374.78</v>
      </c>
      <c r="D51" s="151">
        <f t="shared" si="0"/>
        <v>18.039562798011737</v>
      </c>
      <c r="E51" s="152">
        <f t="shared" si="1"/>
        <v>-728642.22</v>
      </c>
    </row>
    <row r="52" spans="1:5" ht="12.75">
      <c r="A52" s="153" t="s">
        <v>94</v>
      </c>
      <c r="B52" s="149">
        <v>500</v>
      </c>
      <c r="C52" s="150">
        <v>0</v>
      </c>
      <c r="D52" s="151">
        <f t="shared" si="0"/>
        <v>0</v>
      </c>
      <c r="E52" s="152">
        <f t="shared" si="1"/>
        <v>-500</v>
      </c>
    </row>
    <row r="53" spans="1:5" ht="12.75">
      <c r="A53" s="41" t="s">
        <v>52</v>
      </c>
      <c r="B53" s="150">
        <f>SUM(B54+B55)</f>
        <v>160000</v>
      </c>
      <c r="C53" s="150">
        <f>SUM(C54+C55)</f>
        <v>0</v>
      </c>
      <c r="D53" s="151">
        <f>IF(B53=0,"   ",C53/B53*100)</f>
        <v>0</v>
      </c>
      <c r="E53" s="152">
        <f>C53-B53</f>
        <v>-160000</v>
      </c>
    </row>
    <row r="54" spans="1:5" ht="26.25">
      <c r="A54" s="104" t="s">
        <v>242</v>
      </c>
      <c r="B54" s="149">
        <v>10000</v>
      </c>
      <c r="C54" s="150">
        <v>0</v>
      </c>
      <c r="D54" s="151">
        <f>IF(B54=0,"   ",C54/B54*100)</f>
        <v>0</v>
      </c>
      <c r="E54" s="152">
        <f>C54-B54</f>
        <v>-10000</v>
      </c>
    </row>
    <row r="55" spans="1:5" ht="12.75">
      <c r="A55" s="104" t="s">
        <v>252</v>
      </c>
      <c r="B55" s="149">
        <v>150000</v>
      </c>
      <c r="C55" s="150">
        <v>0</v>
      </c>
      <c r="D55" s="151">
        <f>IF(B55=0,"   ",C55/B55*100)</f>
        <v>0</v>
      </c>
      <c r="E55" s="152">
        <f>C55-B55</f>
        <v>-150000</v>
      </c>
    </row>
    <row r="56" spans="1:5" ht="18.75" customHeight="1">
      <c r="A56" s="153" t="s">
        <v>49</v>
      </c>
      <c r="B56" s="150">
        <f>SUM(B57)</f>
        <v>103700</v>
      </c>
      <c r="C56" s="150">
        <f>SUM(C57)</f>
        <v>18655.19</v>
      </c>
      <c r="D56" s="151">
        <f t="shared" si="0"/>
        <v>17.98957569913211</v>
      </c>
      <c r="E56" s="152">
        <f t="shared" si="1"/>
        <v>-85044.81</v>
      </c>
    </row>
    <row r="57" spans="1:5" ht="13.5" customHeight="1">
      <c r="A57" s="46" t="s">
        <v>106</v>
      </c>
      <c r="B57" s="149">
        <v>103700</v>
      </c>
      <c r="C57" s="150">
        <v>18655.19</v>
      </c>
      <c r="D57" s="151">
        <f t="shared" si="0"/>
        <v>17.98957569913211</v>
      </c>
      <c r="E57" s="152">
        <f t="shared" si="1"/>
        <v>-85044.81</v>
      </c>
    </row>
    <row r="58" spans="1:5" ht="17.25" customHeight="1">
      <c r="A58" s="153" t="s">
        <v>37</v>
      </c>
      <c r="B58" s="149">
        <f>SUM(B59)</f>
        <v>1000</v>
      </c>
      <c r="C58" s="149">
        <f>SUM(C59)</f>
        <v>0</v>
      </c>
      <c r="D58" s="151">
        <f t="shared" si="0"/>
        <v>0</v>
      </c>
      <c r="E58" s="152">
        <f t="shared" si="1"/>
        <v>-1000</v>
      </c>
    </row>
    <row r="59" spans="1:5" ht="15" customHeight="1">
      <c r="A59" s="75" t="s">
        <v>127</v>
      </c>
      <c r="B59" s="149">
        <v>1000</v>
      </c>
      <c r="C59" s="150">
        <v>0</v>
      </c>
      <c r="D59" s="151">
        <f t="shared" si="0"/>
        <v>0</v>
      </c>
      <c r="E59" s="152">
        <f t="shared" si="1"/>
        <v>-1000</v>
      </c>
    </row>
    <row r="60" spans="1:5" ht="15.75" customHeight="1">
      <c r="A60" s="153" t="s">
        <v>38</v>
      </c>
      <c r="B60" s="149">
        <f>B66+B61+B74</f>
        <v>3108527.09</v>
      </c>
      <c r="C60" s="149">
        <f>C66+C61+C74</f>
        <v>361975.10000000003</v>
      </c>
      <c r="D60" s="151">
        <f t="shared" si="0"/>
        <v>11.64458566774144</v>
      </c>
      <c r="E60" s="152">
        <f t="shared" si="1"/>
        <v>-2746551.9899999998</v>
      </c>
    </row>
    <row r="61" spans="1:5" ht="15.75" customHeight="1">
      <c r="A61" s="75" t="s">
        <v>164</v>
      </c>
      <c r="B61" s="25">
        <f>SUM(B62:B65)</f>
        <v>130200</v>
      </c>
      <c r="C61" s="25">
        <f>SUM(C62:C65)</f>
        <v>0</v>
      </c>
      <c r="D61" s="151">
        <f>IF(B61=0,"   ",C61/B61*100)</f>
        <v>0</v>
      </c>
      <c r="E61" s="152">
        <f>C61-B61</f>
        <v>-130200</v>
      </c>
    </row>
    <row r="62" spans="1:5" ht="15.75" customHeight="1">
      <c r="A62" s="75" t="s">
        <v>165</v>
      </c>
      <c r="B62" s="25">
        <v>0</v>
      </c>
      <c r="C62" s="149">
        <v>0</v>
      </c>
      <c r="D62" s="151" t="str">
        <f>IF(B62=0,"   ",C62/B62*100)</f>
        <v>   </v>
      </c>
      <c r="E62" s="152">
        <f>C62-B62</f>
        <v>0</v>
      </c>
    </row>
    <row r="63" spans="1:5" ht="15.75" customHeight="1">
      <c r="A63" s="75" t="s">
        <v>187</v>
      </c>
      <c r="B63" s="25">
        <v>0</v>
      </c>
      <c r="C63" s="149">
        <v>0</v>
      </c>
      <c r="D63" s="151" t="str">
        <f>IF(B63=0,"   ",C63/B63*100)</f>
        <v>   </v>
      </c>
      <c r="E63" s="152">
        <f>C63-B63</f>
        <v>0</v>
      </c>
    </row>
    <row r="64" spans="1:5" ht="15.75" customHeight="1">
      <c r="A64" s="75" t="s">
        <v>312</v>
      </c>
      <c r="B64" s="25">
        <v>122300</v>
      </c>
      <c r="C64" s="149">
        <v>0</v>
      </c>
      <c r="D64" s="151">
        <f>IF(B64=0,"   ",C64/B64*100)</f>
        <v>0</v>
      </c>
      <c r="E64" s="152">
        <f>C64-B64</f>
        <v>-122300</v>
      </c>
    </row>
    <row r="65" spans="1:5" ht="15.75" customHeight="1">
      <c r="A65" s="75" t="s">
        <v>313</v>
      </c>
      <c r="B65" s="25">
        <v>7900</v>
      </c>
      <c r="C65" s="149">
        <v>0</v>
      </c>
      <c r="D65" s="151">
        <f>IF(B65=0,"   ",C65/B65*100)</f>
        <v>0</v>
      </c>
      <c r="E65" s="152">
        <f>C65-B65</f>
        <v>-7900</v>
      </c>
    </row>
    <row r="66" spans="1:5" ht="12.75">
      <c r="A66" s="160" t="s">
        <v>130</v>
      </c>
      <c r="B66" s="149">
        <f>SUM(B67:B73)</f>
        <v>2832610</v>
      </c>
      <c r="C66" s="149">
        <f>SUM(C67:C73)</f>
        <v>361975.10000000003</v>
      </c>
      <c r="D66" s="151">
        <f t="shared" si="0"/>
        <v>12.778854130995795</v>
      </c>
      <c r="E66" s="152">
        <f t="shared" si="1"/>
        <v>-2470634.9</v>
      </c>
    </row>
    <row r="67" spans="1:5" ht="21.75" customHeight="1">
      <c r="A67" s="75" t="s">
        <v>148</v>
      </c>
      <c r="B67" s="149">
        <v>100000</v>
      </c>
      <c r="C67" s="149">
        <v>0</v>
      </c>
      <c r="D67" s="151">
        <f t="shared" si="0"/>
        <v>0</v>
      </c>
      <c r="E67" s="152">
        <f t="shared" si="1"/>
        <v>-100000</v>
      </c>
    </row>
    <row r="68" spans="1:5" ht="30.75" customHeight="1">
      <c r="A68" s="71" t="s">
        <v>245</v>
      </c>
      <c r="B68" s="149">
        <v>525610</v>
      </c>
      <c r="C68" s="149">
        <v>83443.1</v>
      </c>
      <c r="D68" s="151">
        <f t="shared" si="0"/>
        <v>15.875478016019484</v>
      </c>
      <c r="E68" s="152">
        <f t="shared" si="1"/>
        <v>-442166.9</v>
      </c>
    </row>
    <row r="69" spans="1:5" ht="30" customHeight="1">
      <c r="A69" s="71" t="s">
        <v>246</v>
      </c>
      <c r="B69" s="149">
        <v>381400</v>
      </c>
      <c r="C69" s="149">
        <v>0</v>
      </c>
      <c r="D69" s="151">
        <f t="shared" si="0"/>
        <v>0</v>
      </c>
      <c r="E69" s="152">
        <f t="shared" si="1"/>
        <v>-381400</v>
      </c>
    </row>
    <row r="70" spans="1:5" ht="26.25" customHeight="1">
      <c r="A70" s="71" t="s">
        <v>247</v>
      </c>
      <c r="B70" s="149">
        <v>978300</v>
      </c>
      <c r="C70" s="149">
        <v>0</v>
      </c>
      <c r="D70" s="151">
        <f t="shared" si="0"/>
        <v>0</v>
      </c>
      <c r="E70" s="152">
        <f t="shared" si="1"/>
        <v>-978300</v>
      </c>
    </row>
    <row r="71" spans="1:5" ht="27" customHeight="1">
      <c r="A71" s="71" t="s">
        <v>248</v>
      </c>
      <c r="B71" s="149">
        <v>108700</v>
      </c>
      <c r="C71" s="149">
        <v>0</v>
      </c>
      <c r="D71" s="151">
        <f t="shared" si="0"/>
        <v>0</v>
      </c>
      <c r="E71" s="152">
        <f t="shared" si="1"/>
        <v>-108700</v>
      </c>
    </row>
    <row r="72" spans="1:5" ht="24" customHeight="1">
      <c r="A72" s="71" t="s">
        <v>249</v>
      </c>
      <c r="B72" s="149">
        <v>664700</v>
      </c>
      <c r="C72" s="149">
        <v>229078.8</v>
      </c>
      <c r="D72" s="151">
        <f>IF(B72=0,"   ",C72/B72*100)</f>
        <v>34.46348728749812</v>
      </c>
      <c r="E72" s="152">
        <f>C72-B72</f>
        <v>-435621.2</v>
      </c>
    </row>
    <row r="73" spans="1:5" ht="31.5" customHeight="1">
      <c r="A73" s="71" t="s">
        <v>250</v>
      </c>
      <c r="B73" s="149">
        <v>73900</v>
      </c>
      <c r="C73" s="149">
        <v>49453.2</v>
      </c>
      <c r="D73" s="151">
        <f t="shared" si="0"/>
        <v>66.9190798376184</v>
      </c>
      <c r="E73" s="152">
        <f t="shared" si="1"/>
        <v>-24446.800000000003</v>
      </c>
    </row>
    <row r="74" spans="1:5" ht="23.25" customHeight="1">
      <c r="A74" s="95" t="s">
        <v>175</v>
      </c>
      <c r="B74" s="149">
        <f>SUM(B76+B75)</f>
        <v>145717.09</v>
      </c>
      <c r="C74" s="149">
        <f>SUM(C76+C75)</f>
        <v>0</v>
      </c>
      <c r="D74" s="151">
        <f>IF(B74=0,"   ",C74/B74*100)</f>
        <v>0</v>
      </c>
      <c r="E74" s="152">
        <f>C74-B74</f>
        <v>-145717.09</v>
      </c>
    </row>
    <row r="75" spans="1:5" ht="23.25" customHeight="1">
      <c r="A75" s="104" t="s">
        <v>154</v>
      </c>
      <c r="B75" s="149">
        <v>95717.09</v>
      </c>
      <c r="C75" s="149">
        <v>0</v>
      </c>
      <c r="D75" s="151">
        <f>IF(B75=0,"   ",C75/B75*100)</f>
        <v>0</v>
      </c>
      <c r="E75" s="152">
        <f>C75-B75</f>
        <v>-95717.09</v>
      </c>
    </row>
    <row r="76" spans="1:5" ht="23.25" customHeight="1">
      <c r="A76" s="75" t="s">
        <v>176</v>
      </c>
      <c r="B76" s="149">
        <v>50000</v>
      </c>
      <c r="C76" s="149">
        <v>0</v>
      </c>
      <c r="D76" s="151">
        <f>IF(B76=0,"   ",C76/B76*100)</f>
        <v>0</v>
      </c>
      <c r="E76" s="152">
        <f>C76-B76</f>
        <v>-50000</v>
      </c>
    </row>
    <row r="77" spans="1:5" ht="17.25" customHeight="1">
      <c r="A77" s="153" t="s">
        <v>13</v>
      </c>
      <c r="B77" s="149">
        <f>SUM(B86,B78+B95)</f>
        <v>821500</v>
      </c>
      <c r="C77" s="149">
        <f>C78+C86</f>
        <v>53634.23</v>
      </c>
      <c r="D77" s="151">
        <f t="shared" si="0"/>
        <v>6.528816798539258</v>
      </c>
      <c r="E77" s="152">
        <f t="shared" si="1"/>
        <v>-767865.77</v>
      </c>
    </row>
    <row r="78" spans="1:5" ht="15.75" customHeight="1">
      <c r="A78" s="153" t="s">
        <v>90</v>
      </c>
      <c r="B78" s="149">
        <f>SUM(B79+B82)</f>
        <v>35000</v>
      </c>
      <c r="C78" s="149">
        <f>SUM(C79+C82)</f>
        <v>0</v>
      </c>
      <c r="D78" s="151">
        <f t="shared" si="0"/>
        <v>0</v>
      </c>
      <c r="E78" s="152">
        <f t="shared" si="1"/>
        <v>-35000</v>
      </c>
    </row>
    <row r="79" spans="1:5" ht="15.75" customHeight="1">
      <c r="A79" s="298" t="s">
        <v>274</v>
      </c>
      <c r="B79" s="149">
        <v>35000</v>
      </c>
      <c r="C79" s="149">
        <v>0</v>
      </c>
      <c r="D79" s="151">
        <f>IF(B79=0,"   ",C79/B79*100)</f>
        <v>0</v>
      </c>
      <c r="E79" s="152">
        <f>C79-B79</f>
        <v>-35000</v>
      </c>
    </row>
    <row r="80" spans="1:5" ht="15.75" customHeight="1">
      <c r="A80" s="16" t="s">
        <v>283</v>
      </c>
      <c r="B80" s="149">
        <v>0</v>
      </c>
      <c r="C80" s="149">
        <v>0</v>
      </c>
      <c r="D80" s="151" t="str">
        <f>IF(B80=0,"   ",C80/B80*100)</f>
        <v>   </v>
      </c>
      <c r="E80" s="152">
        <f>C80-B80</f>
        <v>0</v>
      </c>
    </row>
    <row r="81" spans="1:5" ht="15.75" customHeight="1">
      <c r="A81" s="16" t="s">
        <v>292</v>
      </c>
      <c r="B81" s="149">
        <v>0</v>
      </c>
      <c r="C81" s="149">
        <v>0</v>
      </c>
      <c r="D81" s="151" t="str">
        <f>IF(B81=0,"   ",C81/B81*100)</f>
        <v>   </v>
      </c>
      <c r="E81" s="152">
        <f>C81-B81</f>
        <v>0</v>
      </c>
    </row>
    <row r="82" spans="1:5" ht="15.75" customHeight="1">
      <c r="A82" s="104" t="s">
        <v>203</v>
      </c>
      <c r="B82" s="149">
        <f>B84+B83+B85</f>
        <v>0</v>
      </c>
      <c r="C82" s="149">
        <f>C84+C83+C85</f>
        <v>0</v>
      </c>
      <c r="D82" s="151" t="str">
        <f>IF(B82=0,"   ",C82/B82*100)</f>
        <v>   </v>
      </c>
      <c r="E82" s="152">
        <f>C82-B82</f>
        <v>0</v>
      </c>
    </row>
    <row r="83" spans="1:5" ht="27.75" customHeight="1">
      <c r="A83" s="104" t="s">
        <v>185</v>
      </c>
      <c r="B83" s="149">
        <v>0</v>
      </c>
      <c r="C83" s="149">
        <v>0</v>
      </c>
      <c r="D83" s="151" t="str">
        <f t="shared" si="0"/>
        <v>   </v>
      </c>
      <c r="E83" s="152">
        <f t="shared" si="1"/>
        <v>0</v>
      </c>
    </row>
    <row r="84" spans="1:5" ht="27.75" customHeight="1">
      <c r="A84" s="104" t="s">
        <v>197</v>
      </c>
      <c r="B84" s="149">
        <v>0</v>
      </c>
      <c r="C84" s="149">
        <v>0</v>
      </c>
      <c r="D84" s="151" t="str">
        <f t="shared" si="0"/>
        <v>   </v>
      </c>
      <c r="E84" s="152">
        <f t="shared" si="1"/>
        <v>0</v>
      </c>
    </row>
    <row r="85" spans="1:5" ht="27.75" customHeight="1">
      <c r="A85" s="104" t="s">
        <v>209</v>
      </c>
      <c r="B85" s="149">
        <v>0</v>
      </c>
      <c r="C85" s="149">
        <v>0</v>
      </c>
      <c r="D85" s="151" t="str">
        <f t="shared" si="0"/>
        <v>   </v>
      </c>
      <c r="E85" s="152">
        <f t="shared" si="1"/>
        <v>0</v>
      </c>
    </row>
    <row r="86" spans="1:5" ht="12.75">
      <c r="A86" s="153" t="s">
        <v>58</v>
      </c>
      <c r="B86" s="149">
        <f>B87+B88+B89+B90+B94</f>
        <v>786400</v>
      </c>
      <c r="C86" s="149">
        <f>C87+C88+C89+C90+C94</f>
        <v>53634.23</v>
      </c>
      <c r="D86" s="151">
        <f t="shared" si="0"/>
        <v>6.820222533062055</v>
      </c>
      <c r="E86" s="152">
        <f t="shared" si="1"/>
        <v>-732765.77</v>
      </c>
    </row>
    <row r="87" spans="1:5" ht="12.75">
      <c r="A87" s="153" t="s">
        <v>56</v>
      </c>
      <c r="B87" s="149">
        <v>382800</v>
      </c>
      <c r="C87" s="149">
        <v>53634.23</v>
      </c>
      <c r="D87" s="151">
        <f t="shared" si="0"/>
        <v>14.011031870428422</v>
      </c>
      <c r="E87" s="152">
        <f t="shared" si="1"/>
        <v>-329165.77</v>
      </c>
    </row>
    <row r="88" spans="1:5" ht="12.75">
      <c r="A88" s="153" t="s">
        <v>59</v>
      </c>
      <c r="B88" s="149">
        <v>403600</v>
      </c>
      <c r="C88" s="150">
        <v>0</v>
      </c>
      <c r="D88" s="151">
        <f t="shared" si="0"/>
        <v>0</v>
      </c>
      <c r="E88" s="152">
        <f t="shared" si="1"/>
        <v>-403600</v>
      </c>
    </row>
    <row r="89" spans="1:5" ht="26.25">
      <c r="A89" s="104" t="s">
        <v>166</v>
      </c>
      <c r="B89" s="149">
        <v>0</v>
      </c>
      <c r="C89" s="150">
        <v>0</v>
      </c>
      <c r="D89" s="151" t="str">
        <f>IF(B89=0,"   ",C89/B89*100)</f>
        <v>   </v>
      </c>
      <c r="E89" s="152">
        <f>C89-B89</f>
        <v>0</v>
      </c>
    </row>
    <row r="90" spans="1:5" ht="12.75">
      <c r="A90" s="104" t="s">
        <v>203</v>
      </c>
      <c r="B90" s="149">
        <f>B92+B91+B93</f>
        <v>0</v>
      </c>
      <c r="C90" s="149">
        <f>C92+C91+C93</f>
        <v>0</v>
      </c>
      <c r="D90" s="151" t="str">
        <f>IF(B90=0,"   ",C90/B90*100)</f>
        <v>   </v>
      </c>
      <c r="E90" s="152">
        <f>C90-B90</f>
        <v>0</v>
      </c>
    </row>
    <row r="91" spans="1:5" ht="26.25">
      <c r="A91" s="104" t="s">
        <v>185</v>
      </c>
      <c r="B91" s="149">
        <v>0</v>
      </c>
      <c r="C91" s="150">
        <v>0</v>
      </c>
      <c r="D91" s="151" t="str">
        <f>IF(B91=0,"   ",C91/B91*100)</f>
        <v>   </v>
      </c>
      <c r="E91" s="152">
        <f>C91-B91</f>
        <v>0</v>
      </c>
    </row>
    <row r="92" spans="1:5" ht="26.25">
      <c r="A92" s="104" t="s">
        <v>197</v>
      </c>
      <c r="B92" s="149">
        <v>0</v>
      </c>
      <c r="C92" s="150">
        <v>0</v>
      </c>
      <c r="D92" s="151" t="str">
        <f>IF(B92=0,"   ",C92/B92*100)</f>
        <v>   </v>
      </c>
      <c r="E92" s="152">
        <f>C92-B92</f>
        <v>0</v>
      </c>
    </row>
    <row r="93" spans="1:5" ht="26.25">
      <c r="A93" s="104" t="s">
        <v>209</v>
      </c>
      <c r="B93" s="149">
        <v>0</v>
      </c>
      <c r="C93" s="150">
        <v>0</v>
      </c>
      <c r="D93" s="151" t="str">
        <f>IF(B93=0,"   ",C93/B93*100)</f>
        <v>   </v>
      </c>
      <c r="E93" s="152">
        <f>C93-B93</f>
        <v>0</v>
      </c>
    </row>
    <row r="94" spans="1:5" ht="21.75" customHeight="1" thickBot="1">
      <c r="A94" s="104" t="s">
        <v>284</v>
      </c>
      <c r="B94" s="149">
        <v>0</v>
      </c>
      <c r="C94" s="150">
        <v>0</v>
      </c>
      <c r="D94" s="151" t="str">
        <f t="shared" si="0"/>
        <v>   </v>
      </c>
      <c r="E94" s="152">
        <f t="shared" si="1"/>
        <v>0</v>
      </c>
    </row>
    <row r="95" spans="1:5" ht="15.75" customHeight="1" thickBot="1">
      <c r="A95" s="145" t="s">
        <v>337</v>
      </c>
      <c r="B95" s="178">
        <f>SUM(B96)</f>
        <v>100</v>
      </c>
      <c r="C95" s="178">
        <f>SUM(C96)</f>
        <v>0</v>
      </c>
      <c r="D95" s="151">
        <f>IF(B95=0,"   ",C95/B95*100)</f>
        <v>0</v>
      </c>
      <c r="E95" s="152">
        <f>C95-B95</f>
        <v>-100</v>
      </c>
    </row>
    <row r="96" spans="1:5" ht="15" customHeight="1">
      <c r="A96" s="145" t="s">
        <v>270</v>
      </c>
      <c r="B96" s="31">
        <v>100</v>
      </c>
      <c r="C96" s="70">
        <v>0</v>
      </c>
      <c r="D96" s="151">
        <f>IF(B96=0,"   ",C96/B96*100)</f>
        <v>0</v>
      </c>
      <c r="E96" s="152">
        <f>C96-B96</f>
        <v>-100</v>
      </c>
    </row>
    <row r="97" spans="1:5" ht="12.75" customHeight="1">
      <c r="A97" s="161" t="s">
        <v>17</v>
      </c>
      <c r="B97" s="162">
        <v>0</v>
      </c>
      <c r="C97" s="162">
        <v>0</v>
      </c>
      <c r="D97" s="163" t="str">
        <f t="shared" si="0"/>
        <v>   </v>
      </c>
      <c r="E97" s="164">
        <f t="shared" si="1"/>
        <v>0</v>
      </c>
    </row>
    <row r="98" spans="1:5" ht="19.5" customHeight="1">
      <c r="A98" s="165" t="s">
        <v>41</v>
      </c>
      <c r="B98" s="166">
        <f>B99</f>
        <v>2524000</v>
      </c>
      <c r="C98" s="166">
        <f>C99</f>
        <v>856150</v>
      </c>
      <c r="D98" s="163">
        <f t="shared" si="0"/>
        <v>33.920364500792395</v>
      </c>
      <c r="E98" s="164">
        <f t="shared" si="1"/>
        <v>-1667850</v>
      </c>
    </row>
    <row r="99" spans="1:5" ht="15" customHeight="1">
      <c r="A99" s="165" t="s">
        <v>42</v>
      </c>
      <c r="B99" s="162">
        <v>2524000</v>
      </c>
      <c r="C99" s="167">
        <v>856150</v>
      </c>
      <c r="D99" s="163">
        <f t="shared" si="0"/>
        <v>33.920364500792395</v>
      </c>
      <c r="E99" s="164">
        <f t="shared" si="1"/>
        <v>-1667850</v>
      </c>
    </row>
    <row r="100" spans="1:5" ht="14.25" customHeight="1">
      <c r="A100" s="165" t="s">
        <v>123</v>
      </c>
      <c r="B100" s="162">
        <f>SUM(B101,)</f>
        <v>20000</v>
      </c>
      <c r="C100" s="162">
        <f>SUM(C101,)</f>
        <v>0</v>
      </c>
      <c r="D100" s="163">
        <f t="shared" si="0"/>
        <v>0</v>
      </c>
      <c r="E100" s="164">
        <f t="shared" si="1"/>
        <v>-20000</v>
      </c>
    </row>
    <row r="101" spans="1:5" ht="12.75">
      <c r="A101" s="165" t="s">
        <v>43</v>
      </c>
      <c r="B101" s="162">
        <v>20000</v>
      </c>
      <c r="C101" s="168">
        <v>0</v>
      </c>
      <c r="D101" s="163">
        <f t="shared" si="0"/>
        <v>0</v>
      </c>
      <c r="E101" s="164">
        <f t="shared" si="1"/>
        <v>-20000</v>
      </c>
    </row>
    <row r="102" spans="1:5" ht="27.75" customHeight="1">
      <c r="A102" s="154" t="s">
        <v>15</v>
      </c>
      <c r="B102" s="147">
        <f>SUM(B49,B56,B58,B60,B77,B97,B98,B100,)</f>
        <v>8126379</v>
      </c>
      <c r="C102" s="147">
        <f>SUM(C49,C56,C58,C60,C77,C97,C98,C100,)</f>
        <v>1533279.87</v>
      </c>
      <c r="D102" s="139">
        <f>IF(B102=0,"   ",C102/B102*100)</f>
        <v>18.867934537633552</v>
      </c>
      <c r="E102" s="140">
        <f t="shared" si="1"/>
        <v>-6593099.13</v>
      </c>
    </row>
    <row r="103" spans="1:5" s="59" customFormat="1" ht="31.5" customHeight="1">
      <c r="A103" s="80" t="s">
        <v>303</v>
      </c>
      <c r="B103" s="80"/>
      <c r="C103" s="337"/>
      <c r="D103" s="337"/>
      <c r="E103" s="337"/>
    </row>
    <row r="104" spans="1:5" s="59" customFormat="1" ht="12" customHeight="1">
      <c r="A104" s="80" t="s">
        <v>153</v>
      </c>
      <c r="B104" s="80"/>
      <c r="C104" s="81" t="s">
        <v>304</v>
      </c>
      <c r="D104" s="82"/>
      <c r="E104" s="83"/>
    </row>
    <row r="105" spans="1:5" ht="12.75">
      <c r="A105" s="173"/>
      <c r="B105" s="173"/>
      <c r="C105" s="174"/>
      <c r="D105" s="173"/>
      <c r="E105" s="175"/>
    </row>
    <row r="106" spans="1:5" ht="12.75">
      <c r="A106" s="173"/>
      <c r="B106" s="173"/>
      <c r="C106" s="174"/>
      <c r="D106" s="173"/>
      <c r="E106" s="175"/>
    </row>
    <row r="107" spans="1:5" ht="12.75">
      <c r="A107" s="176"/>
      <c r="B107" s="176"/>
      <c r="C107" s="176"/>
      <c r="D107" s="176"/>
      <c r="E107" s="176"/>
    </row>
    <row r="108" spans="1:5" ht="12.75">
      <c r="A108" s="176"/>
      <c r="B108" s="176"/>
      <c r="C108" s="176"/>
      <c r="D108" s="176"/>
      <c r="E108" s="176"/>
    </row>
    <row r="109" spans="1:5" ht="12.75">
      <c r="A109" s="176"/>
      <c r="B109" s="176"/>
      <c r="C109" s="176"/>
      <c r="D109" s="176"/>
      <c r="E109" s="176"/>
    </row>
    <row r="110" spans="1:5" ht="12.75">
      <c r="A110" s="176"/>
      <c r="B110" s="176"/>
      <c r="C110" s="176"/>
      <c r="D110" s="176"/>
      <c r="E110" s="176"/>
    </row>
    <row r="111" spans="1:5" ht="12.75">
      <c r="A111" s="176"/>
      <c r="B111" s="176"/>
      <c r="C111" s="176"/>
      <c r="D111" s="176"/>
      <c r="E111" s="176"/>
    </row>
    <row r="112" spans="1:5" ht="12.75">
      <c r="A112" s="176"/>
      <c r="B112" s="176"/>
      <c r="C112" s="176"/>
      <c r="D112" s="176"/>
      <c r="E112" s="176"/>
    </row>
  </sheetData>
  <sheetProtection/>
  <mergeCells count="2">
    <mergeCell ref="A1:E1"/>
    <mergeCell ref="C103:E103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3"/>
  <sheetViews>
    <sheetView zoomScalePageLayoutView="0" workbookViewId="0" topLeftCell="A22">
      <selection activeCell="C35" sqref="C35"/>
    </sheetView>
  </sheetViews>
  <sheetFormatPr defaultColWidth="9.00390625" defaultRowHeight="12.75"/>
  <cols>
    <col min="1" max="1" width="109.87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7.25">
      <c r="A1" s="339" t="s">
        <v>329</v>
      </c>
      <c r="B1" s="339"/>
      <c r="C1" s="339"/>
      <c r="D1" s="339"/>
      <c r="E1" s="33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8">
      <c r="A4" s="34" t="s">
        <v>1</v>
      </c>
      <c r="B4" s="19" t="s">
        <v>305</v>
      </c>
      <c r="C4" s="32" t="s">
        <v>323</v>
      </c>
      <c r="D4" s="19" t="s">
        <v>306</v>
      </c>
      <c r="E4" s="36" t="s">
        <v>307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46">
        <f>SUM(B8)</f>
        <v>56400</v>
      </c>
      <c r="C7" s="146">
        <f>C8</f>
        <v>26577.44</v>
      </c>
      <c r="D7" s="137">
        <f aca="true" t="shared" si="0" ref="D7:D106">IF(B7=0,"   ",C7/B7*100)</f>
        <v>47.123120567375885</v>
      </c>
      <c r="E7" s="138">
        <f aca="true" t="shared" si="1" ref="E7:E107">C7-B7</f>
        <v>-29822.56</v>
      </c>
    </row>
    <row r="8" spans="1:5" ht="12.75">
      <c r="A8" s="16" t="s">
        <v>44</v>
      </c>
      <c r="B8" s="84">
        <v>56400</v>
      </c>
      <c r="C8" s="228">
        <v>26577.44</v>
      </c>
      <c r="D8" s="137">
        <f t="shared" si="0"/>
        <v>47.123120567375885</v>
      </c>
      <c r="E8" s="138">
        <f t="shared" si="1"/>
        <v>-29822.56</v>
      </c>
    </row>
    <row r="9" spans="1:5" ht="12.75">
      <c r="A9" s="64" t="s">
        <v>136</v>
      </c>
      <c r="B9" s="191">
        <f>SUM(B10)</f>
        <v>509900</v>
      </c>
      <c r="C9" s="191">
        <f>SUM(C10)</f>
        <v>119776.95</v>
      </c>
      <c r="D9" s="137">
        <f t="shared" si="0"/>
        <v>23.490282408315355</v>
      </c>
      <c r="E9" s="138">
        <f t="shared" si="1"/>
        <v>-390123.05</v>
      </c>
    </row>
    <row r="10" spans="1:5" ht="12.75">
      <c r="A10" s="41" t="s">
        <v>137</v>
      </c>
      <c r="B10" s="192">
        <v>509900</v>
      </c>
      <c r="C10" s="228">
        <v>119776.95</v>
      </c>
      <c r="D10" s="137">
        <f t="shared" si="0"/>
        <v>23.490282408315355</v>
      </c>
      <c r="E10" s="138">
        <f t="shared" si="1"/>
        <v>-390123.05</v>
      </c>
    </row>
    <row r="11" spans="1:5" ht="13.5" customHeight="1">
      <c r="A11" s="16" t="s">
        <v>7</v>
      </c>
      <c r="B11" s="192">
        <f>SUM(B12:B12)</f>
        <v>85800</v>
      </c>
      <c r="C11" s="192">
        <f>SUM(C12:C12)</f>
        <v>150558.9</v>
      </c>
      <c r="D11" s="137">
        <f t="shared" si="0"/>
        <v>175.47657342657342</v>
      </c>
      <c r="E11" s="138">
        <f t="shared" si="1"/>
        <v>64758.899999999994</v>
      </c>
    </row>
    <row r="12" spans="1:5" ht="13.5" customHeight="1">
      <c r="A12" s="16" t="s">
        <v>26</v>
      </c>
      <c r="B12" s="192">
        <v>85800</v>
      </c>
      <c r="C12" s="228">
        <v>150558.9</v>
      </c>
      <c r="D12" s="137">
        <f t="shared" si="0"/>
        <v>175.47657342657342</v>
      </c>
      <c r="E12" s="138">
        <f t="shared" si="1"/>
        <v>64758.899999999994</v>
      </c>
    </row>
    <row r="13" spans="1:5" ht="12.75">
      <c r="A13" s="16" t="s">
        <v>9</v>
      </c>
      <c r="B13" s="192">
        <f>SUM(B14:B15)</f>
        <v>381000</v>
      </c>
      <c r="C13" s="192">
        <f>SUM(C14:C15)</f>
        <v>12349.710000000001</v>
      </c>
      <c r="D13" s="137">
        <f t="shared" si="0"/>
        <v>3.241393700787402</v>
      </c>
      <c r="E13" s="138">
        <f t="shared" si="1"/>
        <v>-368650.29</v>
      </c>
    </row>
    <row r="14" spans="1:5" ht="19.5" customHeight="1">
      <c r="A14" s="16" t="s">
        <v>27</v>
      </c>
      <c r="B14" s="192">
        <v>122000</v>
      </c>
      <c r="C14" s="228">
        <v>2911.69</v>
      </c>
      <c r="D14" s="137">
        <f t="shared" si="0"/>
        <v>2.386631147540984</v>
      </c>
      <c r="E14" s="138">
        <f t="shared" si="1"/>
        <v>-119088.31</v>
      </c>
    </row>
    <row r="15" spans="1:5" ht="18.75" customHeight="1">
      <c r="A15" s="41" t="s">
        <v>159</v>
      </c>
      <c r="B15" s="192">
        <f>SUM(B16:B17)</f>
        <v>259000</v>
      </c>
      <c r="C15" s="192">
        <f>SUM(C16:C17)</f>
        <v>9438.02</v>
      </c>
      <c r="D15" s="137">
        <f t="shared" si="0"/>
        <v>3.6440231660231666</v>
      </c>
      <c r="E15" s="138">
        <f t="shared" si="1"/>
        <v>-249561.98</v>
      </c>
    </row>
    <row r="16" spans="1:5" ht="18.75" customHeight="1">
      <c r="A16" s="41" t="s">
        <v>160</v>
      </c>
      <c r="B16" s="192">
        <v>27000</v>
      </c>
      <c r="C16" s="228">
        <v>2279</v>
      </c>
      <c r="D16" s="137">
        <f t="shared" si="0"/>
        <v>8.44074074074074</v>
      </c>
      <c r="E16" s="138">
        <f t="shared" si="1"/>
        <v>-24721</v>
      </c>
    </row>
    <row r="17" spans="1:5" ht="18" customHeight="1">
      <c r="A17" s="41" t="s">
        <v>161</v>
      </c>
      <c r="B17" s="192">
        <v>232000</v>
      </c>
      <c r="C17" s="228">
        <v>7159.02</v>
      </c>
      <c r="D17" s="137">
        <f t="shared" si="0"/>
        <v>3.085784482758621</v>
      </c>
      <c r="E17" s="138">
        <f t="shared" si="1"/>
        <v>-224840.98</v>
      </c>
    </row>
    <row r="18" spans="1:5" ht="18" customHeight="1">
      <c r="A18" s="41" t="s">
        <v>194</v>
      </c>
      <c r="B18" s="192">
        <v>0</v>
      </c>
      <c r="C18" s="228">
        <v>0</v>
      </c>
      <c r="D18" s="137" t="str">
        <f t="shared" si="0"/>
        <v>   </v>
      </c>
      <c r="E18" s="138">
        <f t="shared" si="1"/>
        <v>0</v>
      </c>
    </row>
    <row r="19" spans="1:5" ht="15" customHeight="1">
      <c r="A19" s="16" t="s">
        <v>88</v>
      </c>
      <c r="B19" s="192">
        <v>0</v>
      </c>
      <c r="C19" s="193">
        <v>0</v>
      </c>
      <c r="D19" s="137" t="str">
        <f t="shared" si="0"/>
        <v>   </v>
      </c>
      <c r="E19" s="138">
        <f t="shared" si="1"/>
        <v>0</v>
      </c>
    </row>
    <row r="20" spans="1:5" ht="26.25" customHeight="1">
      <c r="A20" s="16" t="s">
        <v>28</v>
      </c>
      <c r="B20" s="192">
        <f>B22+B21</f>
        <v>88800</v>
      </c>
      <c r="C20" s="191">
        <f>SUM(C21:C22)</f>
        <v>101.85</v>
      </c>
      <c r="D20" s="137">
        <f t="shared" si="0"/>
        <v>0.11469594594594593</v>
      </c>
      <c r="E20" s="138">
        <f t="shared" si="1"/>
        <v>-88698.15</v>
      </c>
    </row>
    <row r="21" spans="1:5" ht="15.75" customHeight="1">
      <c r="A21" s="41" t="s">
        <v>151</v>
      </c>
      <c r="B21" s="192">
        <v>88800</v>
      </c>
      <c r="C21" s="193">
        <v>101.85</v>
      </c>
      <c r="D21" s="137">
        <f t="shared" si="0"/>
        <v>0.11469594594594593</v>
      </c>
      <c r="E21" s="138">
        <f t="shared" si="1"/>
        <v>-88698.15</v>
      </c>
    </row>
    <row r="22" spans="1:5" ht="15" customHeight="1">
      <c r="A22" s="16" t="s">
        <v>30</v>
      </c>
      <c r="B22" s="192">
        <v>0</v>
      </c>
      <c r="C22" s="193">
        <v>0</v>
      </c>
      <c r="D22" s="137" t="str">
        <f t="shared" si="0"/>
        <v>   </v>
      </c>
      <c r="E22" s="138">
        <f t="shared" si="1"/>
        <v>0</v>
      </c>
    </row>
    <row r="23" spans="1:5" ht="18.75" customHeight="1">
      <c r="A23" s="39" t="s">
        <v>91</v>
      </c>
      <c r="B23" s="192">
        <v>0</v>
      </c>
      <c r="C23" s="193">
        <v>0</v>
      </c>
      <c r="D23" s="137" t="str">
        <f t="shared" si="0"/>
        <v>   </v>
      </c>
      <c r="E23" s="138">
        <f t="shared" si="1"/>
        <v>0</v>
      </c>
    </row>
    <row r="24" spans="1:5" ht="18.75" customHeight="1">
      <c r="A24" s="16" t="s">
        <v>76</v>
      </c>
      <c r="B24" s="192">
        <f>SUM(B25)</f>
        <v>0</v>
      </c>
      <c r="C24" s="192">
        <f>SUM(C25)</f>
        <v>0</v>
      </c>
      <c r="D24" s="137" t="str">
        <f t="shared" si="0"/>
        <v>   </v>
      </c>
      <c r="E24" s="138">
        <f t="shared" si="1"/>
        <v>0</v>
      </c>
    </row>
    <row r="25" spans="1:5" ht="24.75" customHeight="1">
      <c r="A25" s="16" t="s">
        <v>77</v>
      </c>
      <c r="B25" s="192">
        <v>0</v>
      </c>
      <c r="C25" s="193">
        <v>0</v>
      </c>
      <c r="D25" s="137" t="str">
        <f t="shared" si="0"/>
        <v>   </v>
      </c>
      <c r="E25" s="138">
        <f t="shared" si="1"/>
        <v>0</v>
      </c>
    </row>
    <row r="26" spans="1:5" ht="24.75" customHeight="1">
      <c r="A26" s="16" t="s">
        <v>31</v>
      </c>
      <c r="B26" s="192">
        <v>0</v>
      </c>
      <c r="C26" s="193">
        <v>0</v>
      </c>
      <c r="D26" s="137" t="str">
        <f t="shared" si="0"/>
        <v>   </v>
      </c>
      <c r="E26" s="138">
        <f t="shared" si="1"/>
        <v>0</v>
      </c>
    </row>
    <row r="27" spans="1:5" ht="17.25" customHeight="1">
      <c r="A27" s="16" t="s">
        <v>32</v>
      </c>
      <c r="B27" s="191">
        <f>B28+B29</f>
        <v>0</v>
      </c>
      <c r="C27" s="191">
        <f>C28+C29</f>
        <v>-0.74</v>
      </c>
      <c r="D27" s="137" t="str">
        <f t="shared" si="0"/>
        <v>   </v>
      </c>
      <c r="E27" s="138">
        <f t="shared" si="1"/>
        <v>-0.74</v>
      </c>
    </row>
    <row r="28" spans="1:5" ht="14.25" customHeight="1">
      <c r="A28" s="16" t="s">
        <v>135</v>
      </c>
      <c r="B28" s="192">
        <v>0</v>
      </c>
      <c r="C28" s="193">
        <v>-0.74</v>
      </c>
      <c r="D28" s="137" t="str">
        <f t="shared" si="0"/>
        <v>   </v>
      </c>
      <c r="E28" s="138">
        <f t="shared" si="1"/>
        <v>-0.74</v>
      </c>
    </row>
    <row r="29" spans="1:5" ht="14.25" customHeight="1">
      <c r="A29" s="16" t="s">
        <v>109</v>
      </c>
      <c r="B29" s="192">
        <v>0</v>
      </c>
      <c r="C29" s="192">
        <v>0</v>
      </c>
      <c r="D29" s="137" t="str">
        <f t="shared" si="0"/>
        <v>   </v>
      </c>
      <c r="E29" s="138">
        <f t="shared" si="1"/>
        <v>0</v>
      </c>
    </row>
    <row r="30" spans="1:5" ht="18" customHeight="1">
      <c r="A30" s="169" t="s">
        <v>10</v>
      </c>
      <c r="B30" s="147">
        <f>SUM(B7,B9,B11,B13,B19,B20,B23,B24,B26,B28,B29,B18)</f>
        <v>1121900</v>
      </c>
      <c r="C30" s="147">
        <f>SUM(C7,C9,C11,C13,C19,C20,C23,C24,C26,C28,C29,C18)</f>
        <v>309364.11</v>
      </c>
      <c r="D30" s="139">
        <f t="shared" si="0"/>
        <v>27.575016489883232</v>
      </c>
      <c r="E30" s="140">
        <f t="shared" si="1"/>
        <v>-812535.89</v>
      </c>
    </row>
    <row r="31" spans="1:5" ht="18" customHeight="1">
      <c r="A31" s="145" t="s">
        <v>139</v>
      </c>
      <c r="B31" s="182">
        <f>SUM(B32:B35,B38,B39,B40,B45+B47)</f>
        <v>2453000</v>
      </c>
      <c r="C31" s="182">
        <f>SUM(C32:C35,C38,C39,C40,C45+C47)</f>
        <v>575630</v>
      </c>
      <c r="D31" s="139">
        <f t="shared" si="0"/>
        <v>23.466367713004484</v>
      </c>
      <c r="E31" s="140">
        <f t="shared" si="1"/>
        <v>-1877370</v>
      </c>
    </row>
    <row r="32" spans="1:5" ht="16.5" customHeight="1">
      <c r="A32" s="64" t="s">
        <v>34</v>
      </c>
      <c r="B32" s="157">
        <v>1570200</v>
      </c>
      <c r="C32" s="228">
        <v>392550</v>
      </c>
      <c r="D32" s="151">
        <f t="shared" si="0"/>
        <v>25</v>
      </c>
      <c r="E32" s="152">
        <f t="shared" si="1"/>
        <v>-1177650</v>
      </c>
    </row>
    <row r="33" spans="1:5" ht="16.5" customHeight="1">
      <c r="A33" s="17" t="s">
        <v>225</v>
      </c>
      <c r="B33" s="157">
        <v>0</v>
      </c>
      <c r="C33" s="228">
        <v>0</v>
      </c>
      <c r="D33" s="151" t="str">
        <f>IF(B33=0,"   ",C33/B33*100)</f>
        <v>   </v>
      </c>
      <c r="E33" s="152">
        <f>C33-B33</f>
        <v>0</v>
      </c>
    </row>
    <row r="34" spans="1:5" ht="24.75" customHeight="1">
      <c r="A34" s="41" t="s">
        <v>51</v>
      </c>
      <c r="B34" s="192">
        <v>103700</v>
      </c>
      <c r="C34" s="228">
        <v>29000</v>
      </c>
      <c r="D34" s="151">
        <f t="shared" si="0"/>
        <v>27.965284474445518</v>
      </c>
      <c r="E34" s="152">
        <f t="shared" si="1"/>
        <v>-74700</v>
      </c>
    </row>
    <row r="35" spans="1:5" ht="24.75" customHeight="1">
      <c r="A35" s="41" t="s">
        <v>147</v>
      </c>
      <c r="B35" s="192">
        <f>SUM(B36:B37)</f>
        <v>100</v>
      </c>
      <c r="C35" s="192">
        <f>SUM(C36:C37)</f>
        <v>0</v>
      </c>
      <c r="D35" s="151">
        <f t="shared" si="0"/>
        <v>0</v>
      </c>
      <c r="E35" s="152">
        <f t="shared" si="1"/>
        <v>-100</v>
      </c>
    </row>
    <row r="36" spans="1:5" ht="16.5" customHeight="1">
      <c r="A36" s="108" t="s">
        <v>162</v>
      </c>
      <c r="B36" s="192">
        <v>100</v>
      </c>
      <c r="C36" s="193">
        <v>0</v>
      </c>
      <c r="D36" s="151">
        <f>IF(B36=0,"   ",C36/B36*100)</f>
        <v>0</v>
      </c>
      <c r="E36" s="152">
        <f>C36-B36</f>
        <v>-100</v>
      </c>
    </row>
    <row r="37" spans="1:5" ht="26.25" customHeight="1">
      <c r="A37" s="108" t="s">
        <v>163</v>
      </c>
      <c r="B37" s="192">
        <v>0</v>
      </c>
      <c r="C37" s="193">
        <v>0</v>
      </c>
      <c r="D37" s="151" t="str">
        <f>IF(B37=0,"   ",C37/B37*100)</f>
        <v>   </v>
      </c>
      <c r="E37" s="152">
        <f>C37-B37</f>
        <v>0</v>
      </c>
    </row>
    <row r="38" spans="1:5" ht="56.25" customHeight="1">
      <c r="A38" s="16" t="s">
        <v>234</v>
      </c>
      <c r="B38" s="192">
        <v>434000</v>
      </c>
      <c r="C38" s="193">
        <v>0</v>
      </c>
      <c r="D38" s="151">
        <f>IF(B38=0,"   ",C38/B38*100)</f>
        <v>0</v>
      </c>
      <c r="E38" s="152">
        <f>C38-B38</f>
        <v>-434000</v>
      </c>
    </row>
    <row r="39" spans="1:5" ht="26.25" customHeight="1">
      <c r="A39" s="16" t="s">
        <v>295</v>
      </c>
      <c r="B39" s="192">
        <v>0</v>
      </c>
      <c r="C39" s="193">
        <v>0</v>
      </c>
      <c r="D39" s="151" t="str">
        <f>IF(B39=0,"   ",C39/B39*100)</f>
        <v>   </v>
      </c>
      <c r="E39" s="152">
        <f>C39-B39</f>
        <v>0</v>
      </c>
    </row>
    <row r="40" spans="1:5" ht="14.25" customHeight="1">
      <c r="A40" s="41" t="s">
        <v>80</v>
      </c>
      <c r="B40" s="192">
        <f>B41+B44+B43+B42</f>
        <v>345000</v>
      </c>
      <c r="C40" s="192">
        <f>C41+C44+C43+C42</f>
        <v>154080</v>
      </c>
      <c r="D40" s="151">
        <f t="shared" si="0"/>
        <v>44.66086956521739</v>
      </c>
      <c r="E40" s="152">
        <f t="shared" si="1"/>
        <v>-190920</v>
      </c>
    </row>
    <row r="41" spans="1:5" ht="16.5" customHeight="1">
      <c r="A41" s="41" t="s">
        <v>108</v>
      </c>
      <c r="B41" s="192">
        <v>308100</v>
      </c>
      <c r="C41" s="193">
        <v>154080</v>
      </c>
      <c r="D41" s="151">
        <f t="shared" si="0"/>
        <v>50.0097370983447</v>
      </c>
      <c r="E41" s="152">
        <f t="shared" si="1"/>
        <v>-154020</v>
      </c>
    </row>
    <row r="42" spans="1:5" ht="16.5" customHeight="1">
      <c r="A42" s="46" t="s">
        <v>311</v>
      </c>
      <c r="B42" s="192">
        <v>36900</v>
      </c>
      <c r="C42" s="193">
        <v>0</v>
      </c>
      <c r="D42" s="151">
        <f t="shared" si="0"/>
        <v>0</v>
      </c>
      <c r="E42" s="152">
        <f t="shared" si="1"/>
        <v>-36900</v>
      </c>
    </row>
    <row r="43" spans="1:5" ht="16.5" customHeight="1">
      <c r="A43" s="46" t="s">
        <v>278</v>
      </c>
      <c r="B43" s="192">
        <v>0</v>
      </c>
      <c r="C43" s="193">
        <v>0</v>
      </c>
      <c r="D43" s="151" t="str">
        <f t="shared" si="0"/>
        <v>   </v>
      </c>
      <c r="E43" s="152">
        <f t="shared" si="1"/>
        <v>0</v>
      </c>
    </row>
    <row r="44" spans="1:5" ht="16.5" customHeight="1">
      <c r="A44" s="46" t="s">
        <v>186</v>
      </c>
      <c r="B44" s="192">
        <v>0</v>
      </c>
      <c r="C44" s="193">
        <v>0</v>
      </c>
      <c r="D44" s="151" t="str">
        <f t="shared" si="0"/>
        <v>   </v>
      </c>
      <c r="E44" s="152">
        <f t="shared" si="1"/>
        <v>0</v>
      </c>
    </row>
    <row r="45" spans="1:5" ht="27" customHeight="1">
      <c r="A45" s="41" t="s">
        <v>280</v>
      </c>
      <c r="B45" s="192">
        <v>0</v>
      </c>
      <c r="C45" s="193">
        <v>0</v>
      </c>
      <c r="D45" s="151" t="str">
        <f t="shared" si="0"/>
        <v>   </v>
      </c>
      <c r="E45" s="152">
        <f t="shared" si="1"/>
        <v>0</v>
      </c>
    </row>
    <row r="46" spans="1:5" ht="37.5" customHeight="1">
      <c r="A46" s="41" t="s">
        <v>102</v>
      </c>
      <c r="B46" s="192">
        <v>0</v>
      </c>
      <c r="C46" s="192">
        <v>0</v>
      </c>
      <c r="D46" s="151" t="str">
        <f t="shared" si="0"/>
        <v>   </v>
      </c>
      <c r="E46" s="152">
        <f t="shared" si="1"/>
        <v>0</v>
      </c>
    </row>
    <row r="47" spans="1:5" ht="15" customHeight="1">
      <c r="A47" s="16" t="s">
        <v>196</v>
      </c>
      <c r="B47" s="192">
        <v>0</v>
      </c>
      <c r="C47" s="228">
        <v>0</v>
      </c>
      <c r="D47" s="151" t="str">
        <f t="shared" si="0"/>
        <v>   </v>
      </c>
      <c r="E47" s="152">
        <f t="shared" si="1"/>
        <v>0</v>
      </c>
    </row>
    <row r="48" spans="1:5" ht="27" customHeight="1">
      <c r="A48" s="169" t="s">
        <v>11</v>
      </c>
      <c r="B48" s="147">
        <f>SUM(B30,B31,)</f>
        <v>3574900</v>
      </c>
      <c r="C48" s="147">
        <f>SUM(C30,C31,)</f>
        <v>884994.11</v>
      </c>
      <c r="D48" s="139">
        <f t="shared" si="0"/>
        <v>24.755772469159975</v>
      </c>
      <c r="E48" s="140">
        <f t="shared" si="1"/>
        <v>-2689905.89</v>
      </c>
    </row>
    <row r="49" spans="1:5" ht="21.75" customHeight="1">
      <c r="A49" s="170" t="s">
        <v>12</v>
      </c>
      <c r="B49" s="147"/>
      <c r="C49" s="159"/>
      <c r="D49" s="151" t="str">
        <f t="shared" si="0"/>
        <v>   </v>
      </c>
      <c r="E49" s="152">
        <f t="shared" si="1"/>
        <v>0</v>
      </c>
    </row>
    <row r="50" spans="1:5" ht="16.5" customHeight="1">
      <c r="A50" s="41" t="s">
        <v>35</v>
      </c>
      <c r="B50" s="149">
        <f>SUM(B51,B53:B54)</f>
        <v>1187500</v>
      </c>
      <c r="C50" s="149">
        <f>SUM(C51,C53:C54)</f>
        <v>253606.1</v>
      </c>
      <c r="D50" s="151">
        <f t="shared" si="0"/>
        <v>21.356303157894736</v>
      </c>
      <c r="E50" s="152">
        <f t="shared" si="1"/>
        <v>-933893.9</v>
      </c>
    </row>
    <row r="51" spans="1:5" ht="13.5" customHeight="1">
      <c r="A51" s="41" t="s">
        <v>36</v>
      </c>
      <c r="B51" s="149">
        <v>1187000</v>
      </c>
      <c r="C51" s="149">
        <v>253606.1</v>
      </c>
      <c r="D51" s="151">
        <f t="shared" si="0"/>
        <v>21.36529907329402</v>
      </c>
      <c r="E51" s="152">
        <f t="shared" si="1"/>
        <v>-933393.9</v>
      </c>
    </row>
    <row r="52" spans="1:5" ht="12.75">
      <c r="A52" s="41" t="s">
        <v>121</v>
      </c>
      <c r="B52" s="149">
        <v>778418</v>
      </c>
      <c r="C52" s="159">
        <v>135963.81</v>
      </c>
      <c r="D52" s="151">
        <f t="shared" si="0"/>
        <v>17.466683709780607</v>
      </c>
      <c r="E52" s="152">
        <f t="shared" si="1"/>
        <v>-642454.19</v>
      </c>
    </row>
    <row r="53" spans="1:5" ht="12.75">
      <c r="A53" s="41" t="s">
        <v>94</v>
      </c>
      <c r="B53" s="149">
        <v>500</v>
      </c>
      <c r="C53" s="150">
        <v>0</v>
      </c>
      <c r="D53" s="151">
        <f t="shared" si="0"/>
        <v>0</v>
      </c>
      <c r="E53" s="152">
        <f t="shared" si="1"/>
        <v>-500</v>
      </c>
    </row>
    <row r="54" spans="1:5" ht="12.75">
      <c r="A54" s="41" t="s">
        <v>52</v>
      </c>
      <c r="B54" s="150">
        <f>SUM(B55)</f>
        <v>0</v>
      </c>
      <c r="C54" s="150">
        <f>SUM(C55)</f>
        <v>0</v>
      </c>
      <c r="D54" s="151" t="str">
        <f t="shared" si="0"/>
        <v>   </v>
      </c>
      <c r="E54" s="152">
        <f t="shared" si="1"/>
        <v>0</v>
      </c>
    </row>
    <row r="55" spans="1:5" ht="26.25">
      <c r="A55" s="104" t="s">
        <v>242</v>
      </c>
      <c r="B55" s="149">
        <v>0</v>
      </c>
      <c r="C55" s="150">
        <v>0</v>
      </c>
      <c r="D55" s="151" t="str">
        <f t="shared" si="0"/>
        <v>   </v>
      </c>
      <c r="E55" s="152">
        <f t="shared" si="1"/>
        <v>0</v>
      </c>
    </row>
    <row r="56" spans="1:5" ht="16.5" customHeight="1">
      <c r="A56" s="41" t="s">
        <v>49</v>
      </c>
      <c r="B56" s="150">
        <f>SUM(B57)</f>
        <v>103700</v>
      </c>
      <c r="C56" s="150">
        <f>SUM(C57)</f>
        <v>18655.18</v>
      </c>
      <c r="D56" s="151">
        <f t="shared" si="0"/>
        <v>17.98956605593057</v>
      </c>
      <c r="E56" s="152">
        <f t="shared" si="1"/>
        <v>-85044.82</v>
      </c>
    </row>
    <row r="57" spans="1:5" ht="17.25" customHeight="1">
      <c r="A57" s="39" t="s">
        <v>106</v>
      </c>
      <c r="B57" s="149">
        <v>103700</v>
      </c>
      <c r="C57" s="150">
        <v>18655.18</v>
      </c>
      <c r="D57" s="151">
        <f t="shared" si="0"/>
        <v>17.98956605593057</v>
      </c>
      <c r="E57" s="152">
        <f t="shared" si="1"/>
        <v>-85044.82</v>
      </c>
    </row>
    <row r="58" spans="1:5" ht="22.5" customHeight="1">
      <c r="A58" s="41" t="s">
        <v>37</v>
      </c>
      <c r="B58" s="149">
        <f>SUM(B59)</f>
        <v>2000</v>
      </c>
      <c r="C58" s="150">
        <f>SUM(C59)</f>
        <v>0</v>
      </c>
      <c r="D58" s="151">
        <f t="shared" si="0"/>
        <v>0</v>
      </c>
      <c r="E58" s="152">
        <f t="shared" si="1"/>
        <v>-2000</v>
      </c>
    </row>
    <row r="59" spans="1:5" ht="17.25" customHeight="1">
      <c r="A59" s="75" t="s">
        <v>127</v>
      </c>
      <c r="B59" s="149">
        <v>2000</v>
      </c>
      <c r="C59" s="150">
        <v>0</v>
      </c>
      <c r="D59" s="151">
        <f t="shared" si="0"/>
        <v>0</v>
      </c>
      <c r="E59" s="152">
        <f t="shared" si="1"/>
        <v>-2000</v>
      </c>
    </row>
    <row r="60" spans="1:5" ht="18.75" customHeight="1">
      <c r="A60" s="41" t="s">
        <v>38</v>
      </c>
      <c r="B60" s="149">
        <f>B68+B61+B76+B66</f>
        <v>1370062.02</v>
      </c>
      <c r="C60" s="149">
        <f>C68+C61+C76+C66</f>
        <v>235323.59</v>
      </c>
      <c r="D60" s="151">
        <f t="shared" si="0"/>
        <v>17.176126815047393</v>
      </c>
      <c r="E60" s="152">
        <f t="shared" si="1"/>
        <v>-1134738.43</v>
      </c>
    </row>
    <row r="61" spans="1:5" ht="18.75" customHeight="1">
      <c r="A61" s="75" t="s">
        <v>164</v>
      </c>
      <c r="B61" s="25">
        <f>SUM(B64,B65)</f>
        <v>39200</v>
      </c>
      <c r="C61" s="25">
        <f>SUM(C64,C65)</f>
        <v>0</v>
      </c>
      <c r="D61" s="151">
        <f aca="true" t="shared" si="2" ref="D61:D67">IF(B61=0,"   ",C61/B61*100)</f>
        <v>0</v>
      </c>
      <c r="E61" s="152">
        <f aca="true" t="shared" si="3" ref="E61:E67">C61-B61</f>
        <v>-39200</v>
      </c>
    </row>
    <row r="62" spans="1:5" ht="18.75" customHeight="1">
      <c r="A62" s="75" t="s">
        <v>165</v>
      </c>
      <c r="B62" s="25">
        <v>0</v>
      </c>
      <c r="C62" s="149">
        <v>0</v>
      </c>
      <c r="D62" s="151" t="str">
        <f t="shared" si="2"/>
        <v>   </v>
      </c>
      <c r="E62" s="152">
        <f t="shared" si="3"/>
        <v>0</v>
      </c>
    </row>
    <row r="63" spans="1:5" ht="18.75" customHeight="1">
      <c r="A63" s="75" t="s">
        <v>187</v>
      </c>
      <c r="B63" s="25">
        <v>0</v>
      </c>
      <c r="C63" s="149">
        <v>0</v>
      </c>
      <c r="D63" s="151" t="str">
        <f t="shared" si="2"/>
        <v>   </v>
      </c>
      <c r="E63" s="152">
        <f t="shared" si="3"/>
        <v>0</v>
      </c>
    </row>
    <row r="64" spans="1:5" ht="18.75" customHeight="1">
      <c r="A64" s="75" t="s">
        <v>312</v>
      </c>
      <c r="B64" s="25">
        <v>36900</v>
      </c>
      <c r="C64" s="149">
        <v>0</v>
      </c>
      <c r="D64" s="151">
        <f t="shared" si="2"/>
        <v>0</v>
      </c>
      <c r="E64" s="152">
        <f t="shared" si="3"/>
        <v>-36900</v>
      </c>
    </row>
    <row r="65" spans="1:5" ht="18.75" customHeight="1">
      <c r="A65" s="75" t="s">
        <v>313</v>
      </c>
      <c r="B65" s="25">
        <v>2300</v>
      </c>
      <c r="C65" s="149">
        <v>0</v>
      </c>
      <c r="D65" s="151">
        <f t="shared" si="2"/>
        <v>0</v>
      </c>
      <c r="E65" s="152">
        <f t="shared" si="3"/>
        <v>-2300</v>
      </c>
    </row>
    <row r="66" spans="1:5" ht="18.75" customHeight="1">
      <c r="A66" s="145" t="s">
        <v>227</v>
      </c>
      <c r="B66" s="25">
        <f>SUM(B67)</f>
        <v>0</v>
      </c>
      <c r="C66" s="25">
        <f>SUM(C67)</f>
        <v>0</v>
      </c>
      <c r="D66" s="151" t="str">
        <f t="shared" si="2"/>
        <v>   </v>
      </c>
      <c r="E66" s="152">
        <f t="shared" si="3"/>
        <v>0</v>
      </c>
    </row>
    <row r="67" spans="1:5" ht="18.75" customHeight="1">
      <c r="A67" s="145" t="s">
        <v>228</v>
      </c>
      <c r="B67" s="25">
        <v>0</v>
      </c>
      <c r="C67" s="149">
        <v>0</v>
      </c>
      <c r="D67" s="151" t="str">
        <f t="shared" si="2"/>
        <v>   </v>
      </c>
      <c r="E67" s="152">
        <f t="shared" si="3"/>
        <v>0</v>
      </c>
    </row>
    <row r="68" spans="1:5" ht="12.75">
      <c r="A68" s="145" t="s">
        <v>130</v>
      </c>
      <c r="B68" s="149">
        <f>SUM(B69:B75)</f>
        <v>1290862.02</v>
      </c>
      <c r="C68" s="149">
        <f>SUM(C69:C75)</f>
        <v>235323.59</v>
      </c>
      <c r="D68" s="151">
        <f t="shared" si="0"/>
        <v>18.22995690894988</v>
      </c>
      <c r="E68" s="152">
        <f t="shared" si="1"/>
        <v>-1055538.43</v>
      </c>
    </row>
    <row r="69" spans="1:5" ht="16.5" customHeight="1">
      <c r="A69" s="75" t="s">
        <v>148</v>
      </c>
      <c r="B69" s="149">
        <v>40000</v>
      </c>
      <c r="C69" s="149">
        <v>0</v>
      </c>
      <c r="D69" s="151">
        <f t="shared" si="0"/>
        <v>0</v>
      </c>
      <c r="E69" s="152">
        <f t="shared" si="1"/>
        <v>-40000</v>
      </c>
    </row>
    <row r="70" spans="1:5" ht="27" customHeight="1">
      <c r="A70" s="71" t="s">
        <v>245</v>
      </c>
      <c r="B70" s="149">
        <v>408862.02</v>
      </c>
      <c r="C70" s="149">
        <v>64123.59</v>
      </c>
      <c r="D70" s="151">
        <f>IF(B70=0,"   ",C70/B70*100)</f>
        <v>15.68343031715198</v>
      </c>
      <c r="E70" s="152">
        <f>C70-B70</f>
        <v>-344738.43000000005</v>
      </c>
    </row>
    <row r="71" spans="1:5" ht="26.25">
      <c r="A71" s="71" t="s">
        <v>246</v>
      </c>
      <c r="B71" s="149">
        <v>17300</v>
      </c>
      <c r="C71" s="149">
        <v>0</v>
      </c>
      <c r="D71" s="151">
        <f t="shared" si="0"/>
        <v>0</v>
      </c>
      <c r="E71" s="152">
        <f t="shared" si="1"/>
        <v>-17300</v>
      </c>
    </row>
    <row r="72" spans="1:5" ht="26.25">
      <c r="A72" s="71" t="s">
        <v>247</v>
      </c>
      <c r="B72" s="149">
        <v>434000</v>
      </c>
      <c r="C72" s="149">
        <v>0</v>
      </c>
      <c r="D72" s="151">
        <f t="shared" si="0"/>
        <v>0</v>
      </c>
      <c r="E72" s="152">
        <f t="shared" si="1"/>
        <v>-434000</v>
      </c>
    </row>
    <row r="73" spans="1:5" ht="26.25">
      <c r="A73" s="71" t="s">
        <v>248</v>
      </c>
      <c r="B73" s="149">
        <v>48300</v>
      </c>
      <c r="C73" s="149">
        <v>0</v>
      </c>
      <c r="D73" s="151">
        <f t="shared" si="0"/>
        <v>0</v>
      </c>
      <c r="E73" s="152">
        <f t="shared" si="1"/>
        <v>-48300</v>
      </c>
    </row>
    <row r="74" spans="1:5" ht="26.25">
      <c r="A74" s="71" t="s">
        <v>249</v>
      </c>
      <c r="B74" s="149">
        <v>308100</v>
      </c>
      <c r="C74" s="149">
        <v>154080</v>
      </c>
      <c r="D74" s="151">
        <f t="shared" si="0"/>
        <v>50.0097370983447</v>
      </c>
      <c r="E74" s="152">
        <f t="shared" si="1"/>
        <v>-154020</v>
      </c>
    </row>
    <row r="75" spans="1:5" ht="27" thickBot="1">
      <c r="A75" s="145" t="s">
        <v>250</v>
      </c>
      <c r="B75" s="149">
        <v>34300</v>
      </c>
      <c r="C75" s="149">
        <v>17120</v>
      </c>
      <c r="D75" s="151">
        <f t="shared" si="0"/>
        <v>49.91253644314869</v>
      </c>
      <c r="E75" s="152">
        <f t="shared" si="1"/>
        <v>-17180</v>
      </c>
    </row>
    <row r="76" spans="1:5" ht="13.5" thickBot="1">
      <c r="A76" s="145" t="s">
        <v>175</v>
      </c>
      <c r="B76" s="98">
        <f>SUM(B77)</f>
        <v>40000</v>
      </c>
      <c r="C76" s="98">
        <f>SUM(C77)</f>
        <v>0</v>
      </c>
      <c r="D76" s="151">
        <f>IF(B76=0,"   ",C76/B76*100)</f>
        <v>0</v>
      </c>
      <c r="E76" s="152">
        <f>C76-B76</f>
        <v>-40000</v>
      </c>
    </row>
    <row r="77" spans="1:5" ht="26.25">
      <c r="A77" s="104" t="s">
        <v>154</v>
      </c>
      <c r="B77" s="149">
        <v>40000</v>
      </c>
      <c r="C77" s="149">
        <v>0</v>
      </c>
      <c r="D77" s="151">
        <f>IF(B77=0,"   ",C77/B77*100)</f>
        <v>0</v>
      </c>
      <c r="E77" s="152">
        <f>C77-B77</f>
        <v>-40000</v>
      </c>
    </row>
    <row r="78" spans="1:5" ht="21.75" customHeight="1">
      <c r="A78" s="41" t="s">
        <v>13</v>
      </c>
      <c r="B78" s="149">
        <f>B88+B79+B96</f>
        <v>539693.51</v>
      </c>
      <c r="C78" s="149">
        <f>C88+C79</f>
        <v>30637.76</v>
      </c>
      <c r="D78" s="151">
        <f t="shared" si="0"/>
        <v>5.6768813099123605</v>
      </c>
      <c r="E78" s="152">
        <f t="shared" si="1"/>
        <v>-509055.75</v>
      </c>
    </row>
    <row r="79" spans="1:5" ht="17.25" customHeight="1">
      <c r="A79" s="41" t="s">
        <v>149</v>
      </c>
      <c r="B79" s="149">
        <f>B83+B80+B81+B82</f>
        <v>8000</v>
      </c>
      <c r="C79" s="149">
        <f>C83+C80+C81+C82</f>
        <v>0</v>
      </c>
      <c r="D79" s="151">
        <f aca="true" t="shared" si="4" ref="D79:D87">IF(B79=0,"   ",C79/B79*100)</f>
        <v>0</v>
      </c>
      <c r="E79" s="152">
        <f aca="true" t="shared" si="5" ref="E79:E87">C79-B79</f>
        <v>-8000</v>
      </c>
    </row>
    <row r="80" spans="1:5" ht="28.5" customHeight="1">
      <c r="A80" s="16" t="s">
        <v>193</v>
      </c>
      <c r="B80" s="149">
        <v>8000</v>
      </c>
      <c r="C80" s="149">
        <v>0</v>
      </c>
      <c r="D80" s="151">
        <f t="shared" si="4"/>
        <v>0</v>
      </c>
      <c r="E80" s="152">
        <f t="shared" si="5"/>
        <v>-8000</v>
      </c>
    </row>
    <row r="81" spans="1:5" ht="17.25" customHeight="1">
      <c r="A81" s="104" t="s">
        <v>274</v>
      </c>
      <c r="B81" s="149">
        <v>0</v>
      </c>
      <c r="C81" s="149">
        <v>0</v>
      </c>
      <c r="D81" s="151" t="str">
        <f t="shared" si="4"/>
        <v>   </v>
      </c>
      <c r="E81" s="152">
        <f t="shared" si="5"/>
        <v>0</v>
      </c>
    </row>
    <row r="82" spans="1:5" ht="17.25" customHeight="1">
      <c r="A82" s="16" t="s">
        <v>283</v>
      </c>
      <c r="B82" s="149">
        <v>0</v>
      </c>
      <c r="C82" s="149">
        <v>0</v>
      </c>
      <c r="D82" s="151" t="str">
        <f t="shared" si="4"/>
        <v>   </v>
      </c>
      <c r="E82" s="152">
        <f t="shared" si="5"/>
        <v>0</v>
      </c>
    </row>
    <row r="83" spans="1:5" ht="17.25" customHeight="1">
      <c r="A83" s="16" t="s">
        <v>287</v>
      </c>
      <c r="B83" s="149">
        <v>0</v>
      </c>
      <c r="C83" s="149">
        <v>0</v>
      </c>
      <c r="D83" s="151" t="str">
        <f t="shared" si="4"/>
        <v>   </v>
      </c>
      <c r="E83" s="152">
        <f t="shared" si="5"/>
        <v>0</v>
      </c>
    </row>
    <row r="84" spans="1:5" ht="28.5" customHeight="1">
      <c r="A84" s="104" t="s">
        <v>275</v>
      </c>
      <c r="B84" s="149">
        <f>SUM(B85:B87)</f>
        <v>0</v>
      </c>
      <c r="C84" s="149">
        <f>SUM(C85:C87)</f>
        <v>0</v>
      </c>
      <c r="D84" s="151" t="str">
        <f t="shared" si="4"/>
        <v>   </v>
      </c>
      <c r="E84" s="152">
        <f t="shared" si="5"/>
        <v>0</v>
      </c>
    </row>
    <row r="85" spans="1:5" ht="28.5" customHeight="1">
      <c r="A85" s="104" t="s">
        <v>185</v>
      </c>
      <c r="B85" s="150">
        <v>0</v>
      </c>
      <c r="C85" s="150">
        <v>0</v>
      </c>
      <c r="D85" s="151" t="str">
        <f t="shared" si="4"/>
        <v>   </v>
      </c>
      <c r="E85" s="152">
        <f t="shared" si="5"/>
        <v>0</v>
      </c>
    </row>
    <row r="86" spans="1:5" ht="27.75" customHeight="1">
      <c r="A86" s="104" t="s">
        <v>197</v>
      </c>
      <c r="B86" s="150">
        <v>0</v>
      </c>
      <c r="C86" s="150">
        <v>0</v>
      </c>
      <c r="D86" s="151" t="str">
        <f t="shared" si="4"/>
        <v>   </v>
      </c>
      <c r="E86" s="152">
        <f t="shared" si="5"/>
        <v>0</v>
      </c>
    </row>
    <row r="87" spans="1:5" ht="22.5" customHeight="1">
      <c r="A87" s="104" t="s">
        <v>209</v>
      </c>
      <c r="B87" s="150">
        <v>0</v>
      </c>
      <c r="C87" s="150">
        <v>0</v>
      </c>
      <c r="D87" s="151" t="str">
        <f t="shared" si="4"/>
        <v>   </v>
      </c>
      <c r="E87" s="152">
        <f t="shared" si="5"/>
        <v>0</v>
      </c>
    </row>
    <row r="88" spans="1:5" ht="12.75">
      <c r="A88" s="41" t="s">
        <v>63</v>
      </c>
      <c r="B88" s="149">
        <f>B89+B90+B91+B95</f>
        <v>531593.51</v>
      </c>
      <c r="C88" s="149">
        <f>C89+C90+C91+C95</f>
        <v>30637.76</v>
      </c>
      <c r="D88" s="151">
        <f t="shared" si="0"/>
        <v>5.763381121789842</v>
      </c>
      <c r="E88" s="152">
        <f t="shared" si="1"/>
        <v>-500955.75</v>
      </c>
    </row>
    <row r="89" spans="1:5" ht="12.75">
      <c r="A89" s="41" t="s">
        <v>62</v>
      </c>
      <c r="B89" s="149">
        <v>160000</v>
      </c>
      <c r="C89" s="150">
        <v>30637.76</v>
      </c>
      <c r="D89" s="151">
        <f t="shared" si="0"/>
        <v>19.1486</v>
      </c>
      <c r="E89" s="152">
        <f t="shared" si="1"/>
        <v>-129362.24</v>
      </c>
    </row>
    <row r="90" spans="1:5" ht="12.75">
      <c r="A90" s="41" t="s">
        <v>129</v>
      </c>
      <c r="B90" s="149">
        <v>371593.51</v>
      </c>
      <c r="C90" s="149">
        <v>0</v>
      </c>
      <c r="D90" s="151">
        <f t="shared" si="0"/>
        <v>0</v>
      </c>
      <c r="E90" s="152">
        <f t="shared" si="1"/>
        <v>-371593.51</v>
      </c>
    </row>
    <row r="91" spans="1:5" ht="12.75">
      <c r="A91" s="104" t="s">
        <v>203</v>
      </c>
      <c r="B91" s="149">
        <f>SUM(B92:B94)</f>
        <v>0</v>
      </c>
      <c r="C91" s="149">
        <f>SUM(C92:C94)</f>
        <v>0</v>
      </c>
      <c r="D91" s="151" t="str">
        <f t="shared" si="0"/>
        <v>   </v>
      </c>
      <c r="E91" s="152">
        <f t="shared" si="1"/>
        <v>0</v>
      </c>
    </row>
    <row r="92" spans="1:5" ht="26.25">
      <c r="A92" s="104" t="s">
        <v>185</v>
      </c>
      <c r="B92" s="149">
        <v>0</v>
      </c>
      <c r="C92" s="149">
        <v>0</v>
      </c>
      <c r="D92" s="151" t="str">
        <f t="shared" si="0"/>
        <v>   </v>
      </c>
      <c r="E92" s="152">
        <f t="shared" si="1"/>
        <v>0</v>
      </c>
    </row>
    <row r="93" spans="1:5" ht="26.25">
      <c r="A93" s="104" t="s">
        <v>197</v>
      </c>
      <c r="B93" s="149">
        <v>0</v>
      </c>
      <c r="C93" s="149">
        <v>0</v>
      </c>
      <c r="D93" s="151" t="str">
        <f>IF(B93=0,"   ",C93/B93*100)</f>
        <v>   </v>
      </c>
      <c r="E93" s="152">
        <f>C93-B93</f>
        <v>0</v>
      </c>
    </row>
    <row r="94" spans="1:5" ht="26.25">
      <c r="A94" s="104" t="s">
        <v>209</v>
      </c>
      <c r="B94" s="149">
        <v>0</v>
      </c>
      <c r="C94" s="149">
        <v>0</v>
      </c>
      <c r="D94" s="151" t="str">
        <f>IF(B94=0,"   ",C94/B94*100)</f>
        <v>   </v>
      </c>
      <c r="E94" s="152">
        <f>C94-B94</f>
        <v>0</v>
      </c>
    </row>
    <row r="95" spans="1:5" ht="27" thickBot="1">
      <c r="A95" s="104" t="s">
        <v>284</v>
      </c>
      <c r="B95" s="149">
        <v>0</v>
      </c>
      <c r="C95" s="149">
        <v>0</v>
      </c>
      <c r="D95" s="151" t="str">
        <f>IF(B95=0,"   ",C95/B95*100)</f>
        <v>   </v>
      </c>
      <c r="E95" s="152">
        <f>C95-B95</f>
        <v>0</v>
      </c>
    </row>
    <row r="96" spans="1:5" ht="13.5" thickBot="1">
      <c r="A96" s="145" t="s">
        <v>337</v>
      </c>
      <c r="B96" s="178">
        <f>SUM(B97)</f>
        <v>100</v>
      </c>
      <c r="C96" s="178">
        <f>SUM(C97)</f>
        <v>0</v>
      </c>
      <c r="D96" s="151"/>
      <c r="E96" s="152"/>
    </row>
    <row r="97" spans="1:5" ht="12.75">
      <c r="A97" s="145" t="s">
        <v>270</v>
      </c>
      <c r="B97" s="31">
        <v>100</v>
      </c>
      <c r="C97" s="70">
        <v>0</v>
      </c>
      <c r="D97" s="151"/>
      <c r="E97" s="152"/>
    </row>
    <row r="98" spans="1:5" ht="21.75" customHeight="1">
      <c r="A98" s="18" t="s">
        <v>17</v>
      </c>
      <c r="B98" s="149">
        <v>8000</v>
      </c>
      <c r="C98" s="149">
        <v>0</v>
      </c>
      <c r="D98" s="151">
        <f t="shared" si="0"/>
        <v>0</v>
      </c>
      <c r="E98" s="152">
        <f t="shared" si="1"/>
        <v>-8000</v>
      </c>
    </row>
    <row r="99" spans="1:5" ht="22.5" customHeight="1">
      <c r="A99" s="41" t="s">
        <v>41</v>
      </c>
      <c r="B99" s="157">
        <f>B100</f>
        <v>601800</v>
      </c>
      <c r="C99" s="157">
        <f>C100</f>
        <v>304800</v>
      </c>
      <c r="D99" s="151">
        <f t="shared" si="0"/>
        <v>50.64805583250249</v>
      </c>
      <c r="E99" s="152">
        <f t="shared" si="1"/>
        <v>-297000</v>
      </c>
    </row>
    <row r="100" spans="1:5" ht="12.75">
      <c r="A100" s="41" t="s">
        <v>42</v>
      </c>
      <c r="B100" s="149">
        <f>SUM(B101:B104)</f>
        <v>601800</v>
      </c>
      <c r="C100" s="149">
        <f>SUM(C101:C104)</f>
        <v>304800</v>
      </c>
      <c r="D100" s="151">
        <f t="shared" si="0"/>
        <v>50.64805583250249</v>
      </c>
      <c r="E100" s="152">
        <f t="shared" si="1"/>
        <v>-297000</v>
      </c>
    </row>
    <row r="101" spans="1:5" ht="12.75">
      <c r="A101" s="165" t="s">
        <v>142</v>
      </c>
      <c r="B101" s="149">
        <v>501800</v>
      </c>
      <c r="C101" s="150">
        <v>304800</v>
      </c>
      <c r="D101" s="151">
        <f t="shared" si="0"/>
        <v>60.74133120765245</v>
      </c>
      <c r="E101" s="152">
        <f t="shared" si="1"/>
        <v>-197000</v>
      </c>
    </row>
    <row r="102" spans="1:5" ht="12.75">
      <c r="A102" s="116" t="s">
        <v>298</v>
      </c>
      <c r="B102" s="149">
        <v>0</v>
      </c>
      <c r="C102" s="150">
        <v>0</v>
      </c>
      <c r="D102" s="151" t="str">
        <f t="shared" si="0"/>
        <v>   </v>
      </c>
      <c r="E102" s="152">
        <f t="shared" si="1"/>
        <v>0</v>
      </c>
    </row>
    <row r="103" spans="1:5" ht="12.75">
      <c r="A103" s="116" t="s">
        <v>299</v>
      </c>
      <c r="B103" s="149">
        <v>0</v>
      </c>
      <c r="C103" s="150">
        <v>0</v>
      </c>
      <c r="D103" s="151" t="str">
        <f t="shared" si="0"/>
        <v>   </v>
      </c>
      <c r="E103" s="152">
        <f t="shared" si="1"/>
        <v>0</v>
      </c>
    </row>
    <row r="104" spans="1:5" ht="12.75">
      <c r="A104" s="116" t="s">
        <v>300</v>
      </c>
      <c r="B104" s="149">
        <v>100000</v>
      </c>
      <c r="C104" s="150">
        <v>0</v>
      </c>
      <c r="D104" s="151">
        <f t="shared" si="0"/>
        <v>0</v>
      </c>
      <c r="E104" s="152">
        <f t="shared" si="1"/>
        <v>-100000</v>
      </c>
    </row>
    <row r="105" spans="1:5" ht="16.5" customHeight="1">
      <c r="A105" s="41" t="s">
        <v>123</v>
      </c>
      <c r="B105" s="149">
        <f>SUM(B106,)</f>
        <v>20000</v>
      </c>
      <c r="C105" s="149">
        <f>SUM(C106,)</f>
        <v>0</v>
      </c>
      <c r="D105" s="151">
        <f t="shared" si="0"/>
        <v>0</v>
      </c>
      <c r="E105" s="152">
        <f t="shared" si="1"/>
        <v>-20000</v>
      </c>
    </row>
    <row r="106" spans="1:5" ht="12.75">
      <c r="A106" s="41" t="s">
        <v>43</v>
      </c>
      <c r="B106" s="149">
        <v>20000</v>
      </c>
      <c r="C106" s="159">
        <v>0</v>
      </c>
      <c r="D106" s="151">
        <f t="shared" si="0"/>
        <v>0</v>
      </c>
      <c r="E106" s="152">
        <f t="shared" si="1"/>
        <v>-20000</v>
      </c>
    </row>
    <row r="107" spans="1:5" ht="28.5" customHeight="1">
      <c r="A107" s="169" t="s">
        <v>15</v>
      </c>
      <c r="B107" s="147">
        <f>SUM(B50,B56,B58,B60,B78,B98,B99,B105,)</f>
        <v>3832755.5300000003</v>
      </c>
      <c r="C107" s="147">
        <f>SUM(C50,C56,C58,C60,C78,C98,C99,C105,)</f>
        <v>843022.63</v>
      </c>
      <c r="D107" s="139">
        <f>IF(B107=0,"   ",C107/B107*100)</f>
        <v>21.995210062354275</v>
      </c>
      <c r="E107" s="140">
        <f t="shared" si="1"/>
        <v>-2989732.9000000004</v>
      </c>
    </row>
    <row r="108" spans="1:5" s="59" customFormat="1" ht="33" customHeight="1">
      <c r="A108" s="80" t="s">
        <v>303</v>
      </c>
      <c r="B108" s="80"/>
      <c r="C108" s="337"/>
      <c r="D108" s="337"/>
      <c r="E108" s="337"/>
    </row>
    <row r="109" spans="1:5" s="59" customFormat="1" ht="12" customHeight="1">
      <c r="A109" s="80" t="s">
        <v>153</v>
      </c>
      <c r="B109" s="80"/>
      <c r="C109" s="81" t="s">
        <v>304</v>
      </c>
      <c r="D109" s="82"/>
      <c r="E109" s="83"/>
    </row>
    <row r="110" spans="1:5" ht="12.75">
      <c r="A110" s="7"/>
      <c r="B110" s="7"/>
      <c r="C110" s="6"/>
      <c r="D110" s="7"/>
      <c r="E110" s="2"/>
    </row>
    <row r="111" spans="1:5" ht="12.75">
      <c r="A111" s="7"/>
      <c r="B111" s="7"/>
      <c r="C111" s="6"/>
      <c r="D111" s="7"/>
      <c r="E111" s="2"/>
    </row>
    <row r="112" spans="1:5" ht="12.75">
      <c r="A112" s="7"/>
      <c r="B112" s="7"/>
      <c r="C112" s="6"/>
      <c r="D112" s="7"/>
      <c r="E112" s="2"/>
    </row>
    <row r="113" spans="1:5" ht="12.75">
      <c r="A113" s="7"/>
      <c r="B113" s="7"/>
      <c r="C113" s="6"/>
      <c r="D113" s="7"/>
      <c r="E113" s="2"/>
    </row>
  </sheetData>
  <sheetProtection/>
  <mergeCells count="2">
    <mergeCell ref="A1:E1"/>
    <mergeCell ref="C108:E108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9"/>
  <sheetViews>
    <sheetView zoomScalePageLayoutView="0" workbookViewId="0" topLeftCell="A49">
      <selection activeCell="C38" sqref="C38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20.125" style="0" customWidth="1"/>
    <col min="5" max="5" width="16.375" style="0" customWidth="1"/>
  </cols>
  <sheetData>
    <row r="1" spans="1:5" ht="17.25">
      <c r="A1" s="339" t="s">
        <v>330</v>
      </c>
      <c r="B1" s="339"/>
      <c r="C1" s="339"/>
      <c r="D1" s="339"/>
      <c r="E1" s="33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237" t="s">
        <v>1</v>
      </c>
      <c r="B4" s="238" t="s">
        <v>305</v>
      </c>
      <c r="C4" s="239" t="s">
        <v>323</v>
      </c>
      <c r="D4" s="238" t="s">
        <v>308</v>
      </c>
      <c r="E4" s="240" t="s">
        <v>307</v>
      </c>
    </row>
    <row r="5" spans="1:5" ht="15">
      <c r="A5" s="241">
        <v>1</v>
      </c>
      <c r="B5" s="242">
        <v>2</v>
      </c>
      <c r="C5" s="243">
        <v>3</v>
      </c>
      <c r="D5" s="244">
        <v>4</v>
      </c>
      <c r="E5" s="245">
        <v>5</v>
      </c>
    </row>
    <row r="6" spans="1:5" ht="15.75">
      <c r="A6" s="246" t="s">
        <v>2</v>
      </c>
      <c r="B6" s="247"/>
      <c r="C6" s="248"/>
      <c r="D6" s="249"/>
      <c r="E6" s="250"/>
    </row>
    <row r="7" spans="1:5" ht="19.5" customHeight="1">
      <c r="A7" s="251" t="s">
        <v>45</v>
      </c>
      <c r="B7" s="269">
        <f>SUM(B8)</f>
        <v>10740600</v>
      </c>
      <c r="C7" s="269">
        <f>SUM(C8)</f>
        <v>2087929.64</v>
      </c>
      <c r="D7" s="253">
        <f aca="true" t="shared" si="0" ref="D7:D119">IF(B7=0,"   ",C7/B7*100)</f>
        <v>19.439599649926446</v>
      </c>
      <c r="E7" s="254">
        <f aca="true" t="shared" si="1" ref="E7:E153">C7-B7</f>
        <v>-8652670.36</v>
      </c>
    </row>
    <row r="8" spans="1:5" ht="15">
      <c r="A8" s="255" t="s">
        <v>44</v>
      </c>
      <c r="B8" s="249">
        <v>10740600</v>
      </c>
      <c r="C8" s="270">
        <v>2087929.64</v>
      </c>
      <c r="D8" s="253">
        <f t="shared" si="0"/>
        <v>19.439599649926446</v>
      </c>
      <c r="E8" s="254">
        <f t="shared" si="1"/>
        <v>-8652670.36</v>
      </c>
    </row>
    <row r="9" spans="1:5" ht="18.75" customHeight="1">
      <c r="A9" s="251" t="s">
        <v>136</v>
      </c>
      <c r="B9" s="269">
        <f>SUM(B10)</f>
        <v>1438700</v>
      </c>
      <c r="C9" s="269">
        <f>SUM(C10)</f>
        <v>337942.17</v>
      </c>
      <c r="D9" s="253">
        <f t="shared" si="0"/>
        <v>23.489411969138803</v>
      </c>
      <c r="E9" s="254">
        <f t="shared" si="1"/>
        <v>-1100757.83</v>
      </c>
    </row>
    <row r="10" spans="1:5" ht="15">
      <c r="A10" s="255" t="s">
        <v>137</v>
      </c>
      <c r="B10" s="249">
        <v>1438700</v>
      </c>
      <c r="C10" s="270">
        <v>337942.17</v>
      </c>
      <c r="D10" s="253">
        <f t="shared" si="0"/>
        <v>23.489411969138803</v>
      </c>
      <c r="E10" s="254">
        <f t="shared" si="1"/>
        <v>-1100757.83</v>
      </c>
    </row>
    <row r="11" spans="1:5" ht="17.25" customHeight="1">
      <c r="A11" s="255" t="s">
        <v>7</v>
      </c>
      <c r="B11" s="249">
        <f>SUM(B12:B12)</f>
        <v>0</v>
      </c>
      <c r="C11" s="269">
        <f>SUM(C12)</f>
        <v>0</v>
      </c>
      <c r="D11" s="253" t="str">
        <f t="shared" si="0"/>
        <v>   </v>
      </c>
      <c r="E11" s="254">
        <f t="shared" si="1"/>
        <v>0</v>
      </c>
    </row>
    <row r="12" spans="1:5" ht="15">
      <c r="A12" s="255" t="s">
        <v>26</v>
      </c>
      <c r="B12" s="249">
        <v>0</v>
      </c>
      <c r="C12" s="270">
        <v>0</v>
      </c>
      <c r="D12" s="253" t="str">
        <f t="shared" si="0"/>
        <v>   </v>
      </c>
      <c r="E12" s="254">
        <f t="shared" si="1"/>
        <v>0</v>
      </c>
    </row>
    <row r="13" spans="1:5" ht="16.5" customHeight="1">
      <c r="A13" s="255" t="s">
        <v>9</v>
      </c>
      <c r="B13" s="249">
        <f>SUM(B14:B15)</f>
        <v>6755000</v>
      </c>
      <c r="C13" s="249">
        <f>SUM(C14:C15)</f>
        <v>687041.2</v>
      </c>
      <c r="D13" s="253">
        <f t="shared" si="0"/>
        <v>10.170854182087343</v>
      </c>
      <c r="E13" s="254">
        <f t="shared" si="1"/>
        <v>-6067958.8</v>
      </c>
    </row>
    <row r="14" spans="1:5" ht="15">
      <c r="A14" s="255" t="s">
        <v>27</v>
      </c>
      <c r="B14" s="249">
        <v>4165000</v>
      </c>
      <c r="C14" s="270">
        <v>260145.02</v>
      </c>
      <c r="D14" s="253">
        <f t="shared" si="0"/>
        <v>6.245978871548619</v>
      </c>
      <c r="E14" s="254">
        <f t="shared" si="1"/>
        <v>-3904854.98</v>
      </c>
    </row>
    <row r="15" spans="1:5" ht="15">
      <c r="A15" s="255" t="s">
        <v>159</v>
      </c>
      <c r="B15" s="249">
        <f>SUM(B16:B17)</f>
        <v>2590000</v>
      </c>
      <c r="C15" s="249">
        <f>SUM(C16:C17)</f>
        <v>426896.18</v>
      </c>
      <c r="D15" s="253">
        <f t="shared" si="0"/>
        <v>16.482477992277992</v>
      </c>
      <c r="E15" s="254">
        <f t="shared" si="1"/>
        <v>-2163103.82</v>
      </c>
    </row>
    <row r="16" spans="1:5" ht="15">
      <c r="A16" s="255" t="s">
        <v>160</v>
      </c>
      <c r="B16" s="249">
        <v>1100000</v>
      </c>
      <c r="C16" s="270">
        <v>324819.95</v>
      </c>
      <c r="D16" s="253">
        <f t="shared" si="0"/>
        <v>29.529086363636363</v>
      </c>
      <c r="E16" s="254">
        <f t="shared" si="1"/>
        <v>-775180.05</v>
      </c>
    </row>
    <row r="17" spans="1:5" ht="15">
      <c r="A17" s="255" t="s">
        <v>161</v>
      </c>
      <c r="B17" s="249">
        <v>1490000</v>
      </c>
      <c r="C17" s="270">
        <v>102076.23</v>
      </c>
      <c r="D17" s="253">
        <f t="shared" si="0"/>
        <v>6.850753691275167</v>
      </c>
      <c r="E17" s="254">
        <f t="shared" si="1"/>
        <v>-1387923.77</v>
      </c>
    </row>
    <row r="18" spans="1:5" ht="30.75">
      <c r="A18" s="255" t="s">
        <v>89</v>
      </c>
      <c r="B18" s="249">
        <v>0</v>
      </c>
      <c r="C18" s="271">
        <v>0</v>
      </c>
      <c r="D18" s="253" t="str">
        <f t="shared" si="0"/>
        <v>   </v>
      </c>
      <c r="E18" s="254">
        <f t="shared" si="1"/>
        <v>0</v>
      </c>
    </row>
    <row r="19" spans="1:5" ht="32.25" customHeight="1">
      <c r="A19" s="255" t="s">
        <v>28</v>
      </c>
      <c r="B19" s="249">
        <f>SUM(B20:B24)</f>
        <v>1135000</v>
      </c>
      <c r="C19" s="249">
        <f>SUM(C20:C24)</f>
        <v>416739</v>
      </c>
      <c r="D19" s="253">
        <f t="shared" si="0"/>
        <v>36.71709251101321</v>
      </c>
      <c r="E19" s="254">
        <f t="shared" si="1"/>
        <v>-718261</v>
      </c>
    </row>
    <row r="20" spans="1:5" ht="15">
      <c r="A20" s="272" t="s">
        <v>152</v>
      </c>
      <c r="B20" s="249">
        <v>872000</v>
      </c>
      <c r="C20" s="270">
        <v>249623.17</v>
      </c>
      <c r="D20" s="253">
        <f t="shared" si="0"/>
        <v>28.626510321100916</v>
      </c>
      <c r="E20" s="254">
        <f t="shared" si="1"/>
        <v>-622376.83</v>
      </c>
    </row>
    <row r="21" spans="1:5" ht="15">
      <c r="A21" s="255" t="s">
        <v>151</v>
      </c>
      <c r="B21" s="249">
        <v>0</v>
      </c>
      <c r="C21" s="271">
        <v>0</v>
      </c>
      <c r="D21" s="253" t="str">
        <f t="shared" si="0"/>
        <v>   </v>
      </c>
      <c r="E21" s="254">
        <f t="shared" si="1"/>
        <v>0</v>
      </c>
    </row>
    <row r="22" spans="1:5" ht="33" customHeight="1">
      <c r="A22" s="255" t="s">
        <v>30</v>
      </c>
      <c r="B22" s="249">
        <v>13000</v>
      </c>
      <c r="C22" s="270">
        <v>4585.9</v>
      </c>
      <c r="D22" s="253">
        <f t="shared" si="0"/>
        <v>35.276153846153846</v>
      </c>
      <c r="E22" s="254">
        <f t="shared" si="1"/>
        <v>-8414.1</v>
      </c>
    </row>
    <row r="23" spans="1:5" ht="31.5" customHeight="1">
      <c r="A23" s="255" t="s">
        <v>343</v>
      </c>
      <c r="B23" s="249">
        <v>0</v>
      </c>
      <c r="C23" s="270">
        <v>2292.95</v>
      </c>
      <c r="D23" s="253" t="str">
        <f>IF(B23=0,"   ",C23/B23*100)</f>
        <v>   </v>
      </c>
      <c r="E23" s="254">
        <f>C23-B23</f>
        <v>2292.95</v>
      </c>
    </row>
    <row r="24" spans="1:5" ht="42" customHeight="1">
      <c r="A24" s="255" t="s">
        <v>198</v>
      </c>
      <c r="B24" s="249">
        <v>250000</v>
      </c>
      <c r="C24" s="270">
        <v>160236.98</v>
      </c>
      <c r="D24" s="253">
        <f t="shared" si="0"/>
        <v>64.094792</v>
      </c>
      <c r="E24" s="254">
        <f t="shared" si="1"/>
        <v>-89763.01999999999</v>
      </c>
    </row>
    <row r="25" spans="1:5" ht="19.5" customHeight="1">
      <c r="A25" s="255" t="s">
        <v>91</v>
      </c>
      <c r="B25" s="249">
        <v>0</v>
      </c>
      <c r="C25" s="270">
        <v>0</v>
      </c>
      <c r="D25" s="253" t="str">
        <f t="shared" si="0"/>
        <v>   </v>
      </c>
      <c r="E25" s="254">
        <f t="shared" si="1"/>
        <v>0</v>
      </c>
    </row>
    <row r="26" spans="1:5" ht="15.75" customHeight="1">
      <c r="A26" s="255" t="s">
        <v>76</v>
      </c>
      <c r="B26" s="249">
        <f>SUM(B27:B28)</f>
        <v>0</v>
      </c>
      <c r="C26" s="249">
        <f>SUM(C27:C28)</f>
        <v>162547.25</v>
      </c>
      <c r="D26" s="253" t="str">
        <f t="shared" si="0"/>
        <v>   </v>
      </c>
      <c r="E26" s="254">
        <f t="shared" si="1"/>
        <v>162547.25</v>
      </c>
    </row>
    <row r="27" spans="1:5" ht="15.75" customHeight="1">
      <c r="A27" s="255" t="s">
        <v>199</v>
      </c>
      <c r="B27" s="249">
        <v>0</v>
      </c>
      <c r="C27" s="249">
        <v>0</v>
      </c>
      <c r="D27" s="253" t="str">
        <f t="shared" si="0"/>
        <v>   </v>
      </c>
      <c r="E27" s="254">
        <f t="shared" si="1"/>
        <v>0</v>
      </c>
    </row>
    <row r="28" spans="1:5" ht="25.5" customHeight="1">
      <c r="A28" s="255" t="s">
        <v>226</v>
      </c>
      <c r="B28" s="249">
        <v>0</v>
      </c>
      <c r="C28" s="270">
        <v>162547.25</v>
      </c>
      <c r="D28" s="253" t="str">
        <f t="shared" si="0"/>
        <v>   </v>
      </c>
      <c r="E28" s="254">
        <f t="shared" si="1"/>
        <v>162547.25</v>
      </c>
    </row>
    <row r="29" spans="1:5" ht="15" customHeight="1">
      <c r="A29" s="255" t="s">
        <v>31</v>
      </c>
      <c r="B29" s="249">
        <v>0</v>
      </c>
      <c r="C29" s="249">
        <v>0</v>
      </c>
      <c r="D29" s="253" t="str">
        <f t="shared" si="0"/>
        <v>   </v>
      </c>
      <c r="E29" s="254">
        <f t="shared" si="1"/>
        <v>0</v>
      </c>
    </row>
    <row r="30" spans="1:5" ht="15">
      <c r="A30" s="255" t="s">
        <v>32</v>
      </c>
      <c r="B30" s="249">
        <f>B31+B32</f>
        <v>0</v>
      </c>
      <c r="C30" s="249">
        <f>C31+C32</f>
        <v>-1.2</v>
      </c>
      <c r="D30" s="253" t="str">
        <f t="shared" si="0"/>
        <v>   </v>
      </c>
      <c r="E30" s="254">
        <f t="shared" si="1"/>
        <v>-1.2</v>
      </c>
    </row>
    <row r="31" spans="1:5" ht="13.5" customHeight="1">
      <c r="A31" s="255" t="s">
        <v>46</v>
      </c>
      <c r="B31" s="249">
        <v>0</v>
      </c>
      <c r="C31" s="249">
        <v>-1.2</v>
      </c>
      <c r="D31" s="253" t="str">
        <f t="shared" si="0"/>
        <v>   </v>
      </c>
      <c r="E31" s="254">
        <f t="shared" si="1"/>
        <v>-1.2</v>
      </c>
    </row>
    <row r="32" spans="1:5" ht="15.75" customHeight="1">
      <c r="A32" s="255" t="s">
        <v>109</v>
      </c>
      <c r="B32" s="249">
        <v>0</v>
      </c>
      <c r="C32" s="271">
        <v>0</v>
      </c>
      <c r="D32" s="253" t="str">
        <f t="shared" si="0"/>
        <v>   </v>
      </c>
      <c r="E32" s="254">
        <f t="shared" si="1"/>
        <v>0</v>
      </c>
    </row>
    <row r="33" spans="1:5" ht="15" customHeight="1">
      <c r="A33" s="257" t="s">
        <v>10</v>
      </c>
      <c r="B33" s="273">
        <f>SUM(B7,B9,B11,B13,B18,B19,B25,B26,B29,B30,)</f>
        <v>20069300</v>
      </c>
      <c r="C33" s="273">
        <f>SUM(C7,C9,C11,C13,C18,C19,C25,C26,C29,C30,)</f>
        <v>3692198.0599999996</v>
      </c>
      <c r="D33" s="258">
        <f t="shared" si="0"/>
        <v>18.397243850059542</v>
      </c>
      <c r="E33" s="259">
        <f t="shared" si="1"/>
        <v>-16377101.940000001</v>
      </c>
    </row>
    <row r="34" spans="1:5" ht="18" customHeight="1">
      <c r="A34" s="266" t="s">
        <v>139</v>
      </c>
      <c r="B34" s="274">
        <f>B35+B37+B38+B41+B44+B45+B46+B47+B48+B57+B42+B43</f>
        <v>58399236.04</v>
      </c>
      <c r="C34" s="274">
        <f>C35+C37+C38+C41+C44+C45+C46+C47+C48+C57+C42+C43</f>
        <v>2672943</v>
      </c>
      <c r="D34" s="258">
        <f t="shared" si="0"/>
        <v>4.577017066060921</v>
      </c>
      <c r="E34" s="259">
        <f t="shared" si="1"/>
        <v>-55726293.04</v>
      </c>
    </row>
    <row r="35" spans="1:5" ht="15" customHeight="1">
      <c r="A35" s="251" t="s">
        <v>34</v>
      </c>
      <c r="B35" s="269">
        <v>8298000</v>
      </c>
      <c r="C35" s="270">
        <v>2074500</v>
      </c>
      <c r="D35" s="253">
        <f t="shared" si="0"/>
        <v>25</v>
      </c>
      <c r="E35" s="254">
        <f t="shared" si="1"/>
        <v>-6223500</v>
      </c>
    </row>
    <row r="36" spans="1:5" ht="15" customHeight="1">
      <c r="A36" s="251" t="s">
        <v>225</v>
      </c>
      <c r="B36" s="269">
        <v>0</v>
      </c>
      <c r="C36" s="270">
        <v>0</v>
      </c>
      <c r="D36" s="253" t="str">
        <f>IF(B36=0,"   ",C36/B36*100)</f>
        <v>   </v>
      </c>
      <c r="E36" s="254">
        <f>C36-B36</f>
        <v>0</v>
      </c>
    </row>
    <row r="37" spans="1:5" ht="33" customHeight="1">
      <c r="A37" s="255" t="s">
        <v>51</v>
      </c>
      <c r="B37" s="249">
        <v>414700</v>
      </c>
      <c r="C37" s="270">
        <v>86600</v>
      </c>
      <c r="D37" s="253">
        <f t="shared" si="0"/>
        <v>20.88256571015192</v>
      </c>
      <c r="E37" s="254">
        <f t="shared" si="1"/>
        <v>-328100</v>
      </c>
    </row>
    <row r="38" spans="1:5" ht="33" customHeight="1">
      <c r="A38" s="255" t="s">
        <v>147</v>
      </c>
      <c r="B38" s="249">
        <f>SUM(B39:B40)</f>
        <v>31300</v>
      </c>
      <c r="C38" s="249">
        <f>SUM(C39:C40)</f>
        <v>0</v>
      </c>
      <c r="D38" s="253">
        <f t="shared" si="0"/>
        <v>0</v>
      </c>
      <c r="E38" s="254">
        <f t="shared" si="1"/>
        <v>-31300</v>
      </c>
    </row>
    <row r="39" spans="1:5" ht="13.5" customHeight="1">
      <c r="A39" s="262" t="s">
        <v>162</v>
      </c>
      <c r="B39" s="249">
        <v>800</v>
      </c>
      <c r="C39" s="271">
        <v>0</v>
      </c>
      <c r="D39" s="253">
        <f>IF(B39=0,"   ",C39/B39*100)</f>
        <v>0</v>
      </c>
      <c r="E39" s="254">
        <f>C39-B39</f>
        <v>-800</v>
      </c>
    </row>
    <row r="40" spans="1:5" ht="31.5" customHeight="1">
      <c r="A40" s="262" t="s">
        <v>163</v>
      </c>
      <c r="B40" s="249">
        <v>30500</v>
      </c>
      <c r="C40" s="271">
        <v>0</v>
      </c>
      <c r="D40" s="253">
        <f>IF(B40=0,"   ",C40/B40*100)</f>
        <v>0</v>
      </c>
      <c r="E40" s="254">
        <f>C40-B40</f>
        <v>-30500</v>
      </c>
    </row>
    <row r="41" spans="1:5" ht="47.25" customHeight="1">
      <c r="A41" s="255" t="s">
        <v>122</v>
      </c>
      <c r="B41" s="249">
        <v>0</v>
      </c>
      <c r="C41" s="271">
        <v>0</v>
      </c>
      <c r="D41" s="253" t="str">
        <f t="shared" si="0"/>
        <v>   </v>
      </c>
      <c r="E41" s="254">
        <f t="shared" si="1"/>
        <v>0</v>
      </c>
    </row>
    <row r="42" spans="1:5" ht="33" customHeight="1">
      <c r="A42" s="255" t="s">
        <v>280</v>
      </c>
      <c r="B42" s="249">
        <v>0</v>
      </c>
      <c r="C42" s="271">
        <v>0</v>
      </c>
      <c r="D42" s="253" t="str">
        <f t="shared" si="0"/>
        <v>   </v>
      </c>
      <c r="E42" s="254">
        <f t="shared" si="1"/>
        <v>0</v>
      </c>
    </row>
    <row r="43" spans="1:5" ht="33" customHeight="1">
      <c r="A43" s="255" t="s">
        <v>281</v>
      </c>
      <c r="B43" s="249">
        <v>0</v>
      </c>
      <c r="C43" s="271">
        <v>0</v>
      </c>
      <c r="D43" s="253" t="str">
        <f t="shared" si="0"/>
        <v>   </v>
      </c>
      <c r="E43" s="254">
        <f t="shared" si="1"/>
        <v>0</v>
      </c>
    </row>
    <row r="44" spans="1:5" ht="47.25" customHeight="1">
      <c r="A44" s="281" t="s">
        <v>216</v>
      </c>
      <c r="B44" s="275">
        <v>5885076.76</v>
      </c>
      <c r="C44" s="256">
        <v>0</v>
      </c>
      <c r="D44" s="260">
        <f>IF(B44=0,"   ",C44/B44)</f>
        <v>0</v>
      </c>
      <c r="E44" s="261">
        <f>C44-B44</f>
        <v>-5885076.76</v>
      </c>
    </row>
    <row r="45" spans="1:5" ht="57" customHeight="1">
      <c r="A45" s="281" t="s">
        <v>253</v>
      </c>
      <c r="B45" s="275">
        <v>1239600</v>
      </c>
      <c r="C45" s="256">
        <v>0</v>
      </c>
      <c r="D45" s="260">
        <f>IF(B45=0,"   ",C45/B45)</f>
        <v>0</v>
      </c>
      <c r="E45" s="261">
        <f>C45-B45</f>
        <v>-1239600</v>
      </c>
    </row>
    <row r="46" spans="1:5" ht="58.5" customHeight="1">
      <c r="A46" s="281" t="s">
        <v>236</v>
      </c>
      <c r="B46" s="249">
        <v>1567100</v>
      </c>
      <c r="C46" s="271">
        <v>0</v>
      </c>
      <c r="D46" s="253">
        <f t="shared" si="0"/>
        <v>0</v>
      </c>
      <c r="E46" s="254">
        <f t="shared" si="1"/>
        <v>-1567100</v>
      </c>
    </row>
    <row r="47" spans="1:5" ht="65.25" customHeight="1">
      <c r="A47" s="281" t="s">
        <v>258</v>
      </c>
      <c r="B47" s="249">
        <v>0</v>
      </c>
      <c r="C47" s="271">
        <v>0</v>
      </c>
      <c r="D47" s="253" t="str">
        <f t="shared" si="0"/>
        <v>   </v>
      </c>
      <c r="E47" s="254">
        <f t="shared" si="1"/>
        <v>0</v>
      </c>
    </row>
    <row r="48" spans="1:5" ht="15" customHeight="1">
      <c r="A48" s="255" t="s">
        <v>55</v>
      </c>
      <c r="B48" s="249">
        <f>SUM(B49:B56)</f>
        <v>40963459.28</v>
      </c>
      <c r="C48" s="249">
        <f>SUM(C49:C56)</f>
        <v>511843</v>
      </c>
      <c r="D48" s="253">
        <f t="shared" si="0"/>
        <v>1.2495111716551297</v>
      </c>
      <c r="E48" s="254">
        <f t="shared" si="1"/>
        <v>-40451616.28</v>
      </c>
    </row>
    <row r="49" spans="1:5" ht="30" customHeight="1">
      <c r="A49" s="255" t="s">
        <v>186</v>
      </c>
      <c r="B49" s="249">
        <v>1311119.28</v>
      </c>
      <c r="C49" s="249">
        <v>0</v>
      </c>
      <c r="D49" s="253">
        <f t="shared" si="0"/>
        <v>0</v>
      </c>
      <c r="E49" s="254">
        <f t="shared" si="1"/>
        <v>-1311119.28</v>
      </c>
    </row>
    <row r="50" spans="1:5" ht="33.75" customHeight="1">
      <c r="A50" s="255" t="s">
        <v>262</v>
      </c>
      <c r="B50" s="249">
        <v>0</v>
      </c>
      <c r="C50" s="249">
        <v>0</v>
      </c>
      <c r="D50" s="253" t="str">
        <f>IF(B50=0,"   ",C50/B50*100)</f>
        <v>   </v>
      </c>
      <c r="E50" s="254">
        <f>C50-B50</f>
        <v>0</v>
      </c>
    </row>
    <row r="51" spans="1:5" ht="24" customHeight="1">
      <c r="A51" s="255" t="s">
        <v>296</v>
      </c>
      <c r="B51" s="249">
        <v>26191000</v>
      </c>
      <c r="C51" s="249">
        <v>0</v>
      </c>
      <c r="D51" s="253">
        <f>IF(B51=0,"   ",C51/B51*100)</f>
        <v>0</v>
      </c>
      <c r="E51" s="254">
        <f>C51-B51</f>
        <v>-26191000</v>
      </c>
    </row>
    <row r="52" spans="1:5" ht="24" customHeight="1">
      <c r="A52" s="255" t="s">
        <v>314</v>
      </c>
      <c r="B52" s="249">
        <v>8969440</v>
      </c>
      <c r="C52" s="249">
        <v>0</v>
      </c>
      <c r="D52" s="253">
        <f>IF(B52=0,"   ",C52/B52*100)</f>
        <v>0</v>
      </c>
      <c r="E52" s="254">
        <f>C52-B52</f>
        <v>-8969440</v>
      </c>
    </row>
    <row r="53" spans="1:5" ht="24" customHeight="1">
      <c r="A53" s="255" t="s">
        <v>315</v>
      </c>
      <c r="B53" s="249">
        <v>3421600</v>
      </c>
      <c r="C53" s="249">
        <v>0</v>
      </c>
      <c r="D53" s="253"/>
      <c r="E53" s="254"/>
    </row>
    <row r="54" spans="1:5" ht="15" customHeight="1">
      <c r="A54" s="255" t="s">
        <v>278</v>
      </c>
      <c r="B54" s="249">
        <v>0</v>
      </c>
      <c r="C54" s="249">
        <v>0</v>
      </c>
      <c r="D54" s="253" t="str">
        <f>IF(B54=0,"   ",C54/B54*100)</f>
        <v>   </v>
      </c>
      <c r="E54" s="254">
        <f>C54-B54</f>
        <v>0</v>
      </c>
    </row>
    <row r="55" spans="1:5" ht="15" customHeight="1">
      <c r="A55" s="281" t="s">
        <v>311</v>
      </c>
      <c r="B55" s="249">
        <v>203100</v>
      </c>
      <c r="C55" s="249">
        <v>0</v>
      </c>
      <c r="D55" s="253"/>
      <c r="E55" s="254"/>
    </row>
    <row r="56" spans="1:5" ht="18" customHeight="1">
      <c r="A56" s="255" t="s">
        <v>108</v>
      </c>
      <c r="B56" s="249">
        <v>867200</v>
      </c>
      <c r="C56" s="271">
        <v>511843</v>
      </c>
      <c r="D56" s="253">
        <f t="shared" si="0"/>
        <v>59.02248616236162</v>
      </c>
      <c r="E56" s="254">
        <f t="shared" si="1"/>
        <v>-355357</v>
      </c>
    </row>
    <row r="57" spans="1:5" ht="18" customHeight="1">
      <c r="A57" s="255" t="s">
        <v>183</v>
      </c>
      <c r="B57" s="249">
        <v>0</v>
      </c>
      <c r="C57" s="271">
        <v>0</v>
      </c>
      <c r="D57" s="253" t="str">
        <f t="shared" si="0"/>
        <v>   </v>
      </c>
      <c r="E57" s="254">
        <f t="shared" si="1"/>
        <v>0</v>
      </c>
    </row>
    <row r="58" spans="1:5" ht="29.25" customHeight="1">
      <c r="A58" s="257" t="s">
        <v>11</v>
      </c>
      <c r="B58" s="273">
        <f>SUM(B33,B34,)</f>
        <v>78468536.03999999</v>
      </c>
      <c r="C58" s="273">
        <f>SUM(C33,C34,)</f>
        <v>6365141.06</v>
      </c>
      <c r="D58" s="258">
        <f t="shared" si="0"/>
        <v>8.111711242778018</v>
      </c>
      <c r="E58" s="259">
        <f t="shared" si="1"/>
        <v>-72103394.97999999</v>
      </c>
    </row>
    <row r="59" spans="1:5" ht="16.5" customHeight="1">
      <c r="A59" s="257"/>
      <c r="B59" s="269"/>
      <c r="C59" s="249"/>
      <c r="D59" s="253" t="str">
        <f t="shared" si="0"/>
        <v>   </v>
      </c>
      <c r="E59" s="254"/>
    </row>
    <row r="60" spans="1:5" ht="15.75">
      <c r="A60" s="263" t="s">
        <v>12</v>
      </c>
      <c r="B60" s="273"/>
      <c r="C60" s="276"/>
      <c r="D60" s="253" t="str">
        <f t="shared" si="0"/>
        <v>   </v>
      </c>
      <c r="E60" s="254"/>
    </row>
    <row r="61" spans="1:5" ht="18" customHeight="1">
      <c r="A61" s="255" t="s">
        <v>35</v>
      </c>
      <c r="B61" s="249">
        <f>SUM(B62,B65,B66)</f>
        <v>3367100</v>
      </c>
      <c r="C61" s="249">
        <f>SUM(C62,C65,C66)</f>
        <v>668253.47</v>
      </c>
      <c r="D61" s="253">
        <f t="shared" si="0"/>
        <v>19.84655846277212</v>
      </c>
      <c r="E61" s="254">
        <f t="shared" si="1"/>
        <v>-2698846.5300000003</v>
      </c>
    </row>
    <row r="62" spans="1:5" ht="16.5" customHeight="1">
      <c r="A62" s="255" t="s">
        <v>36</v>
      </c>
      <c r="B62" s="249">
        <v>3295100</v>
      </c>
      <c r="C62" s="271">
        <v>640253.47</v>
      </c>
      <c r="D62" s="253">
        <f t="shared" si="0"/>
        <v>19.43047160935935</v>
      </c>
      <c r="E62" s="254">
        <f t="shared" si="1"/>
        <v>-2654846.5300000003</v>
      </c>
    </row>
    <row r="63" spans="1:5" ht="15">
      <c r="A63" s="255" t="s">
        <v>120</v>
      </c>
      <c r="B63" s="249">
        <v>1613440</v>
      </c>
      <c r="C63" s="276">
        <v>340401.61</v>
      </c>
      <c r="D63" s="253">
        <f t="shared" si="0"/>
        <v>21.09787844605315</v>
      </c>
      <c r="E63" s="254">
        <f t="shared" si="1"/>
        <v>-1273038.3900000001</v>
      </c>
    </row>
    <row r="64" spans="1:5" ht="15">
      <c r="A64" s="255" t="s">
        <v>270</v>
      </c>
      <c r="B64" s="249">
        <v>800</v>
      </c>
      <c r="C64" s="276">
        <v>0</v>
      </c>
      <c r="D64" s="253">
        <f>IF(B64=0,"   ",C64/B64*100)</f>
        <v>0</v>
      </c>
      <c r="E64" s="254">
        <f>C64-B64</f>
        <v>-800</v>
      </c>
    </row>
    <row r="65" spans="1:5" ht="15">
      <c r="A65" s="255" t="s">
        <v>94</v>
      </c>
      <c r="B65" s="249">
        <v>10000</v>
      </c>
      <c r="C65" s="276">
        <v>0</v>
      </c>
      <c r="D65" s="253">
        <f t="shared" si="0"/>
        <v>0</v>
      </c>
      <c r="E65" s="254">
        <f t="shared" si="1"/>
        <v>-10000</v>
      </c>
    </row>
    <row r="66" spans="1:5" ht="15">
      <c r="A66" s="255" t="s">
        <v>52</v>
      </c>
      <c r="B66" s="271">
        <f>SUM(B67+B69+B70+B68)</f>
        <v>62000</v>
      </c>
      <c r="C66" s="271">
        <f>SUM(C67+C69+C70+C68)</f>
        <v>28000</v>
      </c>
      <c r="D66" s="253">
        <f t="shared" si="0"/>
        <v>45.16129032258064</v>
      </c>
      <c r="E66" s="254">
        <f t="shared" si="1"/>
        <v>-34000</v>
      </c>
    </row>
    <row r="67" spans="1:5" ht="26.25" customHeight="1">
      <c r="A67" s="264" t="s">
        <v>240</v>
      </c>
      <c r="B67" s="249">
        <v>60000</v>
      </c>
      <c r="C67" s="249">
        <v>28000</v>
      </c>
      <c r="D67" s="253">
        <f t="shared" si="0"/>
        <v>46.666666666666664</v>
      </c>
      <c r="E67" s="254">
        <f t="shared" si="1"/>
        <v>-32000</v>
      </c>
    </row>
    <row r="68" spans="1:5" ht="26.25" customHeight="1">
      <c r="A68" s="264" t="s">
        <v>239</v>
      </c>
      <c r="B68" s="249">
        <v>2000</v>
      </c>
      <c r="C68" s="249">
        <v>0</v>
      </c>
      <c r="D68" s="253">
        <f t="shared" si="0"/>
        <v>0</v>
      </c>
      <c r="E68" s="254">
        <f t="shared" si="1"/>
        <v>-2000</v>
      </c>
    </row>
    <row r="69" spans="1:5" ht="26.25" customHeight="1">
      <c r="A69" s="264" t="s">
        <v>243</v>
      </c>
      <c r="B69" s="249">
        <v>0</v>
      </c>
      <c r="C69" s="249">
        <v>0</v>
      </c>
      <c r="D69" s="253" t="str">
        <f t="shared" si="0"/>
        <v>   </v>
      </c>
      <c r="E69" s="254">
        <f t="shared" si="1"/>
        <v>0</v>
      </c>
    </row>
    <row r="70" spans="1:5" ht="15">
      <c r="A70" s="264" t="s">
        <v>219</v>
      </c>
      <c r="B70" s="249">
        <v>0</v>
      </c>
      <c r="C70" s="249">
        <v>0</v>
      </c>
      <c r="D70" s="253" t="str">
        <f t="shared" si="0"/>
        <v>   </v>
      </c>
      <c r="E70" s="254">
        <f t="shared" si="1"/>
        <v>0</v>
      </c>
    </row>
    <row r="71" spans="1:5" ht="21" customHeight="1">
      <c r="A71" s="255" t="s">
        <v>49</v>
      </c>
      <c r="B71" s="271">
        <f>SUM(B72)</f>
        <v>414700</v>
      </c>
      <c r="C71" s="271">
        <f>SUM(C72)</f>
        <v>76620.74</v>
      </c>
      <c r="D71" s="253">
        <f t="shared" si="0"/>
        <v>18.47618519411623</v>
      </c>
      <c r="E71" s="254">
        <f t="shared" si="1"/>
        <v>-338079.26</v>
      </c>
    </row>
    <row r="72" spans="1:5" ht="17.25" customHeight="1">
      <c r="A72" s="255" t="s">
        <v>106</v>
      </c>
      <c r="B72" s="249">
        <v>414700</v>
      </c>
      <c r="C72" s="271">
        <v>76620.74</v>
      </c>
      <c r="D72" s="253">
        <f t="shared" si="0"/>
        <v>18.47618519411623</v>
      </c>
      <c r="E72" s="254">
        <f t="shared" si="1"/>
        <v>-338079.26</v>
      </c>
    </row>
    <row r="73" spans="1:5" ht="15.75" customHeight="1">
      <c r="A73" s="255" t="s">
        <v>37</v>
      </c>
      <c r="B73" s="271">
        <f>SUM(B74+B77)</f>
        <v>967400</v>
      </c>
      <c r="C73" s="271">
        <f>SUM(C74+C77)</f>
        <v>87748.31</v>
      </c>
      <c r="D73" s="253">
        <f t="shared" si="0"/>
        <v>9.070530287368204</v>
      </c>
      <c r="E73" s="254">
        <f t="shared" si="1"/>
        <v>-879651.69</v>
      </c>
    </row>
    <row r="74" spans="1:5" ht="27" customHeight="1">
      <c r="A74" s="255" t="s">
        <v>86</v>
      </c>
      <c r="B74" s="249">
        <f>B75</f>
        <v>913400</v>
      </c>
      <c r="C74" s="249">
        <f>C75</f>
        <v>87748.31</v>
      </c>
      <c r="D74" s="253">
        <f t="shared" si="0"/>
        <v>9.606777972410772</v>
      </c>
      <c r="E74" s="254">
        <f t="shared" si="1"/>
        <v>-825651.69</v>
      </c>
    </row>
    <row r="75" spans="1:5" ht="16.5" customHeight="1">
      <c r="A75" s="255" t="s">
        <v>95</v>
      </c>
      <c r="B75" s="249">
        <v>913400</v>
      </c>
      <c r="C75" s="249">
        <v>87748.31</v>
      </c>
      <c r="D75" s="253">
        <f t="shared" si="0"/>
        <v>9.606777972410772</v>
      </c>
      <c r="E75" s="254">
        <f t="shared" si="1"/>
        <v>-825651.69</v>
      </c>
    </row>
    <row r="76" spans="1:5" ht="14.25" customHeight="1">
      <c r="A76" s="255" t="s">
        <v>120</v>
      </c>
      <c r="B76" s="249">
        <v>687711</v>
      </c>
      <c r="C76" s="271">
        <v>69714.52</v>
      </c>
      <c r="D76" s="253">
        <f t="shared" si="0"/>
        <v>10.1371826246781</v>
      </c>
      <c r="E76" s="254">
        <f t="shared" si="1"/>
        <v>-617996.48</v>
      </c>
    </row>
    <row r="77" spans="1:5" ht="17.25" customHeight="1">
      <c r="A77" s="255" t="s">
        <v>126</v>
      </c>
      <c r="B77" s="249">
        <v>54000</v>
      </c>
      <c r="C77" s="271">
        <v>0</v>
      </c>
      <c r="D77" s="253">
        <f t="shared" si="0"/>
        <v>0</v>
      </c>
      <c r="E77" s="254">
        <f t="shared" si="1"/>
        <v>-54000</v>
      </c>
    </row>
    <row r="78" spans="1:5" ht="18" customHeight="1">
      <c r="A78" s="255" t="s">
        <v>38</v>
      </c>
      <c r="B78" s="249">
        <f>B88+B81+B86+B99+B79</f>
        <v>5788000</v>
      </c>
      <c r="C78" s="249">
        <f>C88+C81+C86+C99+C79</f>
        <v>831695.9400000001</v>
      </c>
      <c r="D78" s="253">
        <f t="shared" si="0"/>
        <v>14.369314789219075</v>
      </c>
      <c r="E78" s="254">
        <f t="shared" si="1"/>
        <v>-4956304.06</v>
      </c>
    </row>
    <row r="79" spans="1:5" ht="18" customHeight="1">
      <c r="A79" s="266" t="s">
        <v>237</v>
      </c>
      <c r="B79" s="249">
        <f>SUM(B80)</f>
        <v>268800</v>
      </c>
      <c r="C79" s="249">
        <f>SUM(C80)</f>
        <v>45461.12</v>
      </c>
      <c r="D79" s="253">
        <f t="shared" si="0"/>
        <v>16.91261904761905</v>
      </c>
      <c r="E79" s="254">
        <f t="shared" si="1"/>
        <v>-223338.88</v>
      </c>
    </row>
    <row r="80" spans="1:5" ht="35.25" customHeight="1">
      <c r="A80" s="266" t="s">
        <v>238</v>
      </c>
      <c r="B80" s="249">
        <v>268800</v>
      </c>
      <c r="C80" s="249">
        <v>45461.12</v>
      </c>
      <c r="D80" s="253">
        <f t="shared" si="0"/>
        <v>16.91261904761905</v>
      </c>
      <c r="E80" s="254">
        <f t="shared" si="1"/>
        <v>-223338.88</v>
      </c>
    </row>
    <row r="81" spans="1:5" ht="18" customHeight="1">
      <c r="A81" s="266" t="s">
        <v>164</v>
      </c>
      <c r="B81" s="249">
        <f>SUM(B82:B85)</f>
        <v>306600</v>
      </c>
      <c r="C81" s="249">
        <f>SUM(C82:C85)</f>
        <v>0</v>
      </c>
      <c r="D81" s="253">
        <f aca="true" t="shared" si="2" ref="D81:D87">IF(B81=0,"   ",C81/B81*100)</f>
        <v>0</v>
      </c>
      <c r="E81" s="254">
        <f aca="true" t="shared" si="3" ref="E81:E87">C81-B81</f>
        <v>-306600</v>
      </c>
    </row>
    <row r="82" spans="1:5" ht="18" customHeight="1">
      <c r="A82" s="266" t="s">
        <v>168</v>
      </c>
      <c r="B82" s="249">
        <v>60000</v>
      </c>
      <c r="C82" s="249">
        <v>0</v>
      </c>
      <c r="D82" s="253">
        <f t="shared" si="2"/>
        <v>0</v>
      </c>
      <c r="E82" s="254">
        <f t="shared" si="3"/>
        <v>-60000</v>
      </c>
    </row>
    <row r="83" spans="1:5" ht="18" customHeight="1">
      <c r="A83" s="266" t="s">
        <v>165</v>
      </c>
      <c r="B83" s="249">
        <v>30500</v>
      </c>
      <c r="C83" s="249">
        <v>0</v>
      </c>
      <c r="D83" s="253">
        <f t="shared" si="2"/>
        <v>0</v>
      </c>
      <c r="E83" s="254">
        <f t="shared" si="3"/>
        <v>-30500</v>
      </c>
    </row>
    <row r="84" spans="1:5" ht="18" customHeight="1">
      <c r="A84" s="145" t="s">
        <v>312</v>
      </c>
      <c r="B84" s="249">
        <v>203100</v>
      </c>
      <c r="C84" s="249">
        <v>0</v>
      </c>
      <c r="D84" s="253">
        <f t="shared" si="2"/>
        <v>0</v>
      </c>
      <c r="E84" s="254">
        <f t="shared" si="3"/>
        <v>-203100</v>
      </c>
    </row>
    <row r="85" spans="1:5" ht="18" customHeight="1">
      <c r="A85" s="145" t="s">
        <v>313</v>
      </c>
      <c r="B85" s="249">
        <v>13000</v>
      </c>
      <c r="C85" s="249">
        <v>0</v>
      </c>
      <c r="D85" s="253">
        <f t="shared" si="2"/>
        <v>0</v>
      </c>
      <c r="E85" s="254">
        <f t="shared" si="3"/>
        <v>-13000</v>
      </c>
    </row>
    <row r="86" spans="1:5" ht="18" customHeight="1">
      <c r="A86" s="266" t="s">
        <v>227</v>
      </c>
      <c r="B86" s="249">
        <f>SUM(B87)</f>
        <v>0</v>
      </c>
      <c r="C86" s="249">
        <f>SUM(C87)</f>
        <v>0</v>
      </c>
      <c r="D86" s="253" t="str">
        <f t="shared" si="2"/>
        <v>   </v>
      </c>
      <c r="E86" s="254">
        <f t="shared" si="3"/>
        <v>0</v>
      </c>
    </row>
    <row r="87" spans="1:5" ht="18" customHeight="1">
      <c r="A87" s="266" t="s">
        <v>228</v>
      </c>
      <c r="B87" s="249">
        <v>0</v>
      </c>
      <c r="C87" s="249">
        <v>0</v>
      </c>
      <c r="D87" s="253" t="str">
        <f t="shared" si="2"/>
        <v>   </v>
      </c>
      <c r="E87" s="254">
        <f t="shared" si="3"/>
        <v>0</v>
      </c>
    </row>
    <row r="88" spans="1:5" ht="18.75" customHeight="1">
      <c r="A88" s="266" t="s">
        <v>130</v>
      </c>
      <c r="B88" s="249">
        <f>SUM(B89:B98)</f>
        <v>5112600</v>
      </c>
      <c r="C88" s="249">
        <f>SUM(C89:C98)</f>
        <v>776234.8200000001</v>
      </c>
      <c r="D88" s="253">
        <f t="shared" si="0"/>
        <v>15.182780190118534</v>
      </c>
      <c r="E88" s="254">
        <f t="shared" si="1"/>
        <v>-4336365.18</v>
      </c>
    </row>
    <row r="89" spans="1:5" ht="21" customHeight="1">
      <c r="A89" s="265" t="s">
        <v>148</v>
      </c>
      <c r="B89" s="249">
        <v>300000</v>
      </c>
      <c r="C89" s="249">
        <v>0</v>
      </c>
      <c r="D89" s="253">
        <f t="shared" si="0"/>
        <v>0</v>
      </c>
      <c r="E89" s="254">
        <f t="shared" si="1"/>
        <v>-300000</v>
      </c>
    </row>
    <row r="90" spans="1:5" ht="28.5" customHeight="1">
      <c r="A90" s="264" t="s">
        <v>245</v>
      </c>
      <c r="B90" s="249">
        <v>0</v>
      </c>
      <c r="C90" s="249">
        <v>0</v>
      </c>
      <c r="D90" s="253" t="str">
        <f t="shared" si="0"/>
        <v>   </v>
      </c>
      <c r="E90" s="254">
        <f t="shared" si="1"/>
        <v>0</v>
      </c>
    </row>
    <row r="91" spans="1:5" ht="27" customHeight="1">
      <c r="A91" s="264" t="s">
        <v>246</v>
      </c>
      <c r="B91" s="249">
        <v>730300</v>
      </c>
      <c r="C91" s="249">
        <v>207519.82</v>
      </c>
      <c r="D91" s="253">
        <f t="shared" si="0"/>
        <v>28.415694919895934</v>
      </c>
      <c r="E91" s="254">
        <f t="shared" si="1"/>
        <v>-522780.18</v>
      </c>
    </row>
    <row r="92" spans="1:5" ht="30" customHeight="1">
      <c r="A92" s="264" t="s">
        <v>247</v>
      </c>
      <c r="B92" s="249">
        <v>1239600</v>
      </c>
      <c r="C92" s="249">
        <v>0</v>
      </c>
      <c r="D92" s="253">
        <f t="shared" si="0"/>
        <v>0</v>
      </c>
      <c r="E92" s="254">
        <f t="shared" si="1"/>
        <v>-1239600</v>
      </c>
    </row>
    <row r="93" spans="1:5" ht="35.25" customHeight="1">
      <c r="A93" s="264" t="s">
        <v>248</v>
      </c>
      <c r="B93" s="249">
        <v>137800</v>
      </c>
      <c r="C93" s="249">
        <v>0</v>
      </c>
      <c r="D93" s="253">
        <f t="shared" si="0"/>
        <v>0</v>
      </c>
      <c r="E93" s="254">
        <f t="shared" si="1"/>
        <v>-137800</v>
      </c>
    </row>
    <row r="94" spans="1:5" ht="35.25" customHeight="1">
      <c r="A94" s="264" t="s">
        <v>249</v>
      </c>
      <c r="B94" s="249">
        <v>867200</v>
      </c>
      <c r="C94" s="249">
        <v>511843</v>
      </c>
      <c r="D94" s="253">
        <f t="shared" si="0"/>
        <v>59.02248616236162</v>
      </c>
      <c r="E94" s="254">
        <f t="shared" si="1"/>
        <v>-355357</v>
      </c>
    </row>
    <row r="95" spans="1:5" ht="30" customHeight="1">
      <c r="A95" s="264" t="s">
        <v>250</v>
      </c>
      <c r="B95" s="249">
        <v>96400</v>
      </c>
      <c r="C95" s="249">
        <v>56872</v>
      </c>
      <c r="D95" s="253">
        <f t="shared" si="0"/>
        <v>58.99585062240664</v>
      </c>
      <c r="E95" s="254">
        <f t="shared" si="1"/>
        <v>-39528</v>
      </c>
    </row>
    <row r="96" spans="1:5" ht="21" customHeight="1">
      <c r="A96" s="265" t="s">
        <v>255</v>
      </c>
      <c r="B96" s="249">
        <v>0</v>
      </c>
      <c r="C96" s="249">
        <v>0</v>
      </c>
      <c r="D96" s="253" t="str">
        <f t="shared" si="0"/>
        <v>   </v>
      </c>
      <c r="E96" s="254">
        <f t="shared" si="1"/>
        <v>0</v>
      </c>
    </row>
    <row r="97" spans="1:5" ht="29.25" customHeight="1">
      <c r="A97" s="264" t="s">
        <v>140</v>
      </c>
      <c r="B97" s="249">
        <v>1567100</v>
      </c>
      <c r="C97" s="249">
        <v>0</v>
      </c>
      <c r="D97" s="253">
        <f t="shared" si="0"/>
        <v>0</v>
      </c>
      <c r="E97" s="254">
        <f t="shared" si="1"/>
        <v>-1567100</v>
      </c>
    </row>
    <row r="98" spans="1:5" ht="32.25" customHeight="1">
      <c r="A98" s="266" t="s">
        <v>241</v>
      </c>
      <c r="B98" s="249">
        <v>174200</v>
      </c>
      <c r="C98" s="249">
        <v>0</v>
      </c>
      <c r="D98" s="253">
        <f t="shared" si="0"/>
        <v>0</v>
      </c>
      <c r="E98" s="254">
        <f t="shared" si="1"/>
        <v>-174200</v>
      </c>
    </row>
    <row r="99" spans="1:5" ht="15">
      <c r="A99" s="266" t="s">
        <v>175</v>
      </c>
      <c r="B99" s="252">
        <f>B100</f>
        <v>100000</v>
      </c>
      <c r="C99" s="252">
        <f>C100</f>
        <v>10000</v>
      </c>
      <c r="D99" s="260">
        <f>IF(B99=0,"   ",C99/B99)</f>
        <v>0.1</v>
      </c>
      <c r="E99" s="261">
        <f>C99-B99</f>
        <v>-90000</v>
      </c>
    </row>
    <row r="100" spans="1:5" ht="30.75">
      <c r="A100" s="266" t="s">
        <v>154</v>
      </c>
      <c r="B100" s="252">
        <v>100000</v>
      </c>
      <c r="C100" s="252">
        <v>10000</v>
      </c>
      <c r="D100" s="260">
        <f>IF(B100=0,"   ",C100/B100)</f>
        <v>0.1</v>
      </c>
      <c r="E100" s="261">
        <f>C100-B100</f>
        <v>-90000</v>
      </c>
    </row>
    <row r="101" spans="1:5" ht="30.75">
      <c r="A101" s="266" t="s">
        <v>176</v>
      </c>
      <c r="B101" s="252">
        <v>0</v>
      </c>
      <c r="C101" s="252">
        <v>0</v>
      </c>
      <c r="D101" s="260" t="str">
        <f>IF(B101=0,"   ",C101/B101)</f>
        <v>   </v>
      </c>
      <c r="E101" s="261">
        <f>C101-B101</f>
        <v>0</v>
      </c>
    </row>
    <row r="102" spans="1:5" ht="18" customHeight="1">
      <c r="A102" s="255" t="s">
        <v>13</v>
      </c>
      <c r="B102" s="249">
        <f>SUM(B103,B106,B117)</f>
        <v>47623996.04000001</v>
      </c>
      <c r="C102" s="249">
        <f>SUM(C103,C106,C117)</f>
        <v>1648447.3099999998</v>
      </c>
      <c r="D102" s="253">
        <f t="shared" si="0"/>
        <v>3.461379655364173</v>
      </c>
      <c r="E102" s="254">
        <f t="shared" si="1"/>
        <v>-45975548.730000004</v>
      </c>
    </row>
    <row r="103" spans="1:5" ht="18.75" customHeight="1">
      <c r="A103" s="272" t="s">
        <v>14</v>
      </c>
      <c r="B103" s="277">
        <f>SUM(B104:B105)</f>
        <v>700000</v>
      </c>
      <c r="C103" s="277">
        <f>SUM(C104:C105)</f>
        <v>2997.2</v>
      </c>
      <c r="D103" s="253">
        <f t="shared" si="0"/>
        <v>0.42817142857142854</v>
      </c>
      <c r="E103" s="254">
        <f t="shared" si="1"/>
        <v>-697002.8</v>
      </c>
    </row>
    <row r="104" spans="1:5" ht="15">
      <c r="A104" s="255" t="s">
        <v>100</v>
      </c>
      <c r="B104" s="249">
        <v>630000</v>
      </c>
      <c r="C104" s="271">
        <v>0</v>
      </c>
      <c r="D104" s="253">
        <f t="shared" si="0"/>
        <v>0</v>
      </c>
      <c r="E104" s="254">
        <f t="shared" si="1"/>
        <v>-630000</v>
      </c>
    </row>
    <row r="105" spans="1:5" ht="15">
      <c r="A105" s="255" t="s">
        <v>181</v>
      </c>
      <c r="B105" s="249">
        <v>70000</v>
      </c>
      <c r="C105" s="271">
        <v>2997.2</v>
      </c>
      <c r="D105" s="253">
        <f t="shared" si="0"/>
        <v>4.281714285714285</v>
      </c>
      <c r="E105" s="254">
        <f t="shared" si="1"/>
        <v>-67002.8</v>
      </c>
    </row>
    <row r="106" spans="1:5" ht="18" customHeight="1">
      <c r="A106" s="272" t="s">
        <v>64</v>
      </c>
      <c r="B106" s="277">
        <f>SUM(B107:B111,B115,B116)</f>
        <v>5547519.28</v>
      </c>
      <c r="C106" s="277">
        <f>SUM(C107:C111,C115,C116)</f>
        <v>0</v>
      </c>
      <c r="D106" s="253">
        <f t="shared" si="0"/>
        <v>0</v>
      </c>
      <c r="E106" s="254">
        <f t="shared" si="1"/>
        <v>-5547519.28</v>
      </c>
    </row>
    <row r="107" spans="1:5" ht="15">
      <c r="A107" s="255" t="s">
        <v>141</v>
      </c>
      <c r="B107" s="249">
        <v>100000</v>
      </c>
      <c r="C107" s="249">
        <v>0</v>
      </c>
      <c r="D107" s="253">
        <f t="shared" si="0"/>
        <v>0</v>
      </c>
      <c r="E107" s="254">
        <f t="shared" si="1"/>
        <v>-100000</v>
      </c>
    </row>
    <row r="108" spans="1:5" ht="15">
      <c r="A108" s="255" t="s">
        <v>157</v>
      </c>
      <c r="B108" s="249">
        <v>196400</v>
      </c>
      <c r="C108" s="249">
        <v>0</v>
      </c>
      <c r="D108" s="253">
        <f t="shared" si="0"/>
        <v>0</v>
      </c>
      <c r="E108" s="254">
        <f t="shared" si="1"/>
        <v>-196400</v>
      </c>
    </row>
    <row r="109" spans="1:5" ht="30.75">
      <c r="A109" s="255" t="s">
        <v>316</v>
      </c>
      <c r="B109" s="249">
        <v>3421600</v>
      </c>
      <c r="C109" s="249">
        <v>0</v>
      </c>
      <c r="D109" s="253">
        <f>IF(B109=0,"   ",C109/B109*100)</f>
        <v>0</v>
      </c>
      <c r="E109" s="254">
        <f>C109-B109</f>
        <v>-3421600</v>
      </c>
    </row>
    <row r="110" spans="1:5" ht="30.75">
      <c r="A110" s="255" t="s">
        <v>317</v>
      </c>
      <c r="B110" s="249">
        <v>218400</v>
      </c>
      <c r="C110" s="249">
        <v>0</v>
      </c>
      <c r="D110" s="253">
        <f>IF(B110=0,"   ",C110/B110*100)</f>
        <v>0</v>
      </c>
      <c r="E110" s="254">
        <f>C110-B110</f>
        <v>-218400</v>
      </c>
    </row>
    <row r="111" spans="1:5" ht="30.75">
      <c r="A111" s="264" t="s">
        <v>203</v>
      </c>
      <c r="B111" s="249">
        <f>SUM(B112:B114)</f>
        <v>1311119.28</v>
      </c>
      <c r="C111" s="249">
        <f>SUM(C112:C114)</f>
        <v>0</v>
      </c>
      <c r="D111" s="253">
        <f>IF(B111=0,"   ",C111/B111*100)</f>
        <v>0</v>
      </c>
      <c r="E111" s="254">
        <f>C111-B111</f>
        <v>-1311119.28</v>
      </c>
    </row>
    <row r="112" spans="1:5" ht="30.75">
      <c r="A112" s="264" t="s">
        <v>185</v>
      </c>
      <c r="B112" s="249">
        <v>1311119.28</v>
      </c>
      <c r="C112" s="249">
        <v>0</v>
      </c>
      <c r="D112" s="253">
        <f>IF(B112=0,"   ",C112/B112*100)</f>
        <v>0</v>
      </c>
      <c r="E112" s="254">
        <f>C112-B112</f>
        <v>-1311119.28</v>
      </c>
    </row>
    <row r="113" spans="1:5" ht="30.75">
      <c r="A113" s="264" t="s">
        <v>197</v>
      </c>
      <c r="B113" s="249">
        <v>0</v>
      </c>
      <c r="C113" s="249">
        <v>0</v>
      </c>
      <c r="D113" s="253" t="str">
        <f t="shared" si="0"/>
        <v>   </v>
      </c>
      <c r="E113" s="254">
        <f t="shared" si="1"/>
        <v>0</v>
      </c>
    </row>
    <row r="114" spans="1:5" ht="30.75">
      <c r="A114" s="264" t="s">
        <v>209</v>
      </c>
      <c r="B114" s="249">
        <v>0</v>
      </c>
      <c r="C114" s="249">
        <v>0</v>
      </c>
      <c r="D114" s="253" t="str">
        <f t="shared" si="0"/>
        <v>   </v>
      </c>
      <c r="E114" s="254">
        <f t="shared" si="1"/>
        <v>0</v>
      </c>
    </row>
    <row r="115" spans="1:5" ht="15">
      <c r="A115" s="255" t="s">
        <v>283</v>
      </c>
      <c r="B115" s="249">
        <v>0</v>
      </c>
      <c r="C115" s="249">
        <v>0</v>
      </c>
      <c r="D115" s="253" t="str">
        <f t="shared" si="0"/>
        <v>   </v>
      </c>
      <c r="E115" s="254">
        <f t="shared" si="1"/>
        <v>0</v>
      </c>
    </row>
    <row r="116" spans="1:5" ht="15">
      <c r="A116" s="255" t="s">
        <v>134</v>
      </c>
      <c r="B116" s="249">
        <v>300000</v>
      </c>
      <c r="C116" s="249">
        <v>0</v>
      </c>
      <c r="D116" s="253">
        <f t="shared" si="0"/>
        <v>0</v>
      </c>
      <c r="E116" s="254">
        <f t="shared" si="1"/>
        <v>-300000</v>
      </c>
    </row>
    <row r="117" spans="1:5" ht="16.5" customHeight="1">
      <c r="A117" s="272" t="s">
        <v>63</v>
      </c>
      <c r="B117" s="277">
        <f>B118+B120+B121+B122+B123+B125+B129+B133+B135+B119+B124+B134</f>
        <v>41376476.760000005</v>
      </c>
      <c r="C117" s="277">
        <f>C118+C120+C121+C122+C123+C125+C129+C133+C135+C119+C124</f>
        <v>1645450.1099999999</v>
      </c>
      <c r="D117" s="253">
        <f t="shared" si="0"/>
        <v>3.9767767554116893</v>
      </c>
      <c r="E117" s="254">
        <f t="shared" si="1"/>
        <v>-39731026.650000006</v>
      </c>
    </row>
    <row r="118" spans="1:5" ht="15">
      <c r="A118" s="255" t="s">
        <v>65</v>
      </c>
      <c r="B118" s="249">
        <v>4863800</v>
      </c>
      <c r="C118" s="271">
        <v>1252741.43</v>
      </c>
      <c r="D118" s="253">
        <f t="shared" si="0"/>
        <v>25.756433858300092</v>
      </c>
      <c r="E118" s="254">
        <f t="shared" si="1"/>
        <v>-3611058.5700000003</v>
      </c>
    </row>
    <row r="119" spans="1:5" ht="30.75">
      <c r="A119" s="255" t="s">
        <v>215</v>
      </c>
      <c r="B119" s="249">
        <v>6000</v>
      </c>
      <c r="C119" s="271">
        <v>0</v>
      </c>
      <c r="D119" s="253">
        <f t="shared" si="0"/>
        <v>0</v>
      </c>
      <c r="E119" s="254">
        <f t="shared" si="1"/>
        <v>-6000</v>
      </c>
    </row>
    <row r="120" spans="1:5" ht="15">
      <c r="A120" s="255" t="s">
        <v>66</v>
      </c>
      <c r="B120" s="249">
        <v>300000</v>
      </c>
      <c r="C120" s="271">
        <v>0</v>
      </c>
      <c r="D120" s="253">
        <f aca="true" t="shared" si="4" ref="D120:D153">IF(B120=0,"   ",C120/B120*100)</f>
        <v>0</v>
      </c>
      <c r="E120" s="254">
        <f t="shared" si="1"/>
        <v>-300000</v>
      </c>
    </row>
    <row r="121" spans="1:5" ht="15">
      <c r="A121" s="255" t="s">
        <v>67</v>
      </c>
      <c r="B121" s="249">
        <v>100000</v>
      </c>
      <c r="C121" s="271">
        <v>0</v>
      </c>
      <c r="D121" s="253">
        <f t="shared" si="4"/>
        <v>0</v>
      </c>
      <c r="E121" s="254">
        <f t="shared" si="1"/>
        <v>-100000</v>
      </c>
    </row>
    <row r="122" spans="1:5" ht="15">
      <c r="A122" s="255" t="s">
        <v>68</v>
      </c>
      <c r="B122" s="249">
        <v>4030600</v>
      </c>
      <c r="C122" s="271">
        <v>392708.68</v>
      </c>
      <c r="D122" s="253">
        <f t="shared" si="4"/>
        <v>9.743181660298715</v>
      </c>
      <c r="E122" s="254">
        <f t="shared" si="1"/>
        <v>-3637891.32</v>
      </c>
    </row>
    <row r="123" spans="1:5" ht="33" customHeight="1">
      <c r="A123" s="264" t="s">
        <v>284</v>
      </c>
      <c r="B123" s="249">
        <v>0</v>
      </c>
      <c r="C123" s="271">
        <v>0</v>
      </c>
      <c r="D123" s="253" t="str">
        <f t="shared" si="4"/>
        <v>   </v>
      </c>
      <c r="E123" s="254">
        <f t="shared" si="1"/>
        <v>0</v>
      </c>
    </row>
    <row r="124" spans="1:5" ht="18" customHeight="1">
      <c r="A124" s="264" t="s">
        <v>285</v>
      </c>
      <c r="B124" s="249">
        <v>0</v>
      </c>
      <c r="C124" s="271">
        <v>0</v>
      </c>
      <c r="D124" s="253" t="str">
        <f t="shared" si="4"/>
        <v>   </v>
      </c>
      <c r="E124" s="254">
        <f t="shared" si="1"/>
        <v>0</v>
      </c>
    </row>
    <row r="125" spans="1:5" ht="18" customHeight="1">
      <c r="A125" s="264" t="s">
        <v>180</v>
      </c>
      <c r="B125" s="252">
        <f>B126+B128+B127</f>
        <v>5885076.760000001</v>
      </c>
      <c r="C125" s="252">
        <f>C126+C128+C127</f>
        <v>0</v>
      </c>
      <c r="D125" s="260">
        <f aca="true" t="shared" si="5" ref="D125:D138">IF(B125=0,"   ",C125/B125)</f>
        <v>0</v>
      </c>
      <c r="E125" s="261">
        <f aca="true" t="shared" si="6" ref="E125:E138">C125-B125</f>
        <v>-5885076.760000001</v>
      </c>
    </row>
    <row r="126" spans="1:5" ht="15">
      <c r="A126" s="264" t="s">
        <v>178</v>
      </c>
      <c r="B126" s="252">
        <v>5826225.99</v>
      </c>
      <c r="C126" s="252">
        <v>0</v>
      </c>
      <c r="D126" s="260">
        <f t="shared" si="5"/>
        <v>0</v>
      </c>
      <c r="E126" s="261">
        <f t="shared" si="6"/>
        <v>-5826225.99</v>
      </c>
    </row>
    <row r="127" spans="1:5" ht="15">
      <c r="A127" s="264" t="s">
        <v>179</v>
      </c>
      <c r="B127" s="252">
        <v>41195.54</v>
      </c>
      <c r="C127" s="252">
        <v>0</v>
      </c>
      <c r="D127" s="260">
        <f t="shared" si="5"/>
        <v>0</v>
      </c>
      <c r="E127" s="261">
        <f t="shared" si="6"/>
        <v>-41195.54</v>
      </c>
    </row>
    <row r="128" spans="1:5" ht="15">
      <c r="A128" s="264" t="s">
        <v>190</v>
      </c>
      <c r="B128" s="252">
        <v>17655.23</v>
      </c>
      <c r="C128" s="252">
        <v>0</v>
      </c>
      <c r="D128" s="260">
        <f t="shared" si="5"/>
        <v>0</v>
      </c>
      <c r="E128" s="261">
        <f t="shared" si="6"/>
        <v>-17655.23</v>
      </c>
    </row>
    <row r="129" spans="1:5" ht="30.75">
      <c r="A129" s="264" t="s">
        <v>203</v>
      </c>
      <c r="B129" s="252">
        <f>SUM(B130:B132)</f>
        <v>0</v>
      </c>
      <c r="C129" s="252">
        <f>SUM(C130:C132)</f>
        <v>0</v>
      </c>
      <c r="D129" s="253" t="str">
        <f>IF(B129=0,"   ",C129/B129*100)</f>
        <v>   </v>
      </c>
      <c r="E129" s="254">
        <f t="shared" si="6"/>
        <v>0</v>
      </c>
    </row>
    <row r="130" spans="1:5" ht="30.75">
      <c r="A130" s="264" t="s">
        <v>185</v>
      </c>
      <c r="B130" s="252">
        <v>0</v>
      </c>
      <c r="C130" s="252">
        <v>0</v>
      </c>
      <c r="D130" s="253" t="str">
        <f>IF(B130=0,"   ",C130/B130*100)</f>
        <v>   </v>
      </c>
      <c r="E130" s="254">
        <f t="shared" si="6"/>
        <v>0</v>
      </c>
    </row>
    <row r="131" spans="1:5" ht="30.75">
      <c r="A131" s="264" t="s">
        <v>197</v>
      </c>
      <c r="B131" s="252">
        <v>0</v>
      </c>
      <c r="C131" s="252">
        <v>0</v>
      </c>
      <c r="D131" s="253" t="str">
        <f>IF(B131=0,"   ",C131/B131*100)</f>
        <v>   </v>
      </c>
      <c r="E131" s="254">
        <f t="shared" si="6"/>
        <v>0</v>
      </c>
    </row>
    <row r="132" spans="1:5" ht="30.75">
      <c r="A132" s="264" t="s">
        <v>209</v>
      </c>
      <c r="B132" s="252">
        <v>0</v>
      </c>
      <c r="C132" s="252">
        <v>0</v>
      </c>
      <c r="D132" s="253" t="str">
        <f>IF(B132=0,"   ",C132/B132*100)</f>
        <v>   </v>
      </c>
      <c r="E132" s="254">
        <f t="shared" si="6"/>
        <v>0</v>
      </c>
    </row>
    <row r="133" spans="1:5" ht="15">
      <c r="A133" s="264" t="s">
        <v>244</v>
      </c>
      <c r="B133" s="252">
        <v>0</v>
      </c>
      <c r="C133" s="252">
        <v>0</v>
      </c>
      <c r="D133" s="260" t="str">
        <f t="shared" si="5"/>
        <v>   </v>
      </c>
      <c r="E133" s="261">
        <f t="shared" si="6"/>
        <v>0</v>
      </c>
    </row>
    <row r="134" spans="1:5" ht="15">
      <c r="A134" s="264" t="s">
        <v>301</v>
      </c>
      <c r="B134" s="252">
        <v>0</v>
      </c>
      <c r="C134" s="252">
        <v>0</v>
      </c>
      <c r="D134" s="260" t="str">
        <f t="shared" si="5"/>
        <v>   </v>
      </c>
      <c r="E134" s="261">
        <f t="shared" si="6"/>
        <v>0</v>
      </c>
    </row>
    <row r="135" spans="1:5" ht="17.25" customHeight="1">
      <c r="A135" s="264" t="s">
        <v>339</v>
      </c>
      <c r="B135" s="252">
        <f>SUM(B136:B138)</f>
        <v>26191000</v>
      </c>
      <c r="C135" s="252">
        <f>SUM(C136:C138)</f>
        <v>0</v>
      </c>
      <c r="D135" s="253">
        <f>IF(B135=0,"   ",C135/B135*100)</f>
        <v>0</v>
      </c>
      <c r="E135" s="254">
        <f>C135-B135</f>
        <v>-26191000</v>
      </c>
    </row>
    <row r="136" spans="1:5" ht="24.75" customHeight="1">
      <c r="A136" s="264" t="s">
        <v>340</v>
      </c>
      <c r="B136" s="271">
        <v>26191000</v>
      </c>
      <c r="C136" s="252">
        <v>0</v>
      </c>
      <c r="D136" s="253">
        <f>IF(B136=0,"   ",C136/B136*100)</f>
        <v>0</v>
      </c>
      <c r="E136" s="254">
        <f>C136-B136</f>
        <v>-26191000</v>
      </c>
    </row>
    <row r="137" spans="1:5" ht="15.75" customHeight="1">
      <c r="A137" s="264" t="s">
        <v>341</v>
      </c>
      <c r="B137" s="271">
        <v>0</v>
      </c>
      <c r="C137" s="252">
        <v>0</v>
      </c>
      <c r="D137" s="253" t="str">
        <f>IF(B137=0,"   ",C137/B137*100)</f>
        <v>   </v>
      </c>
      <c r="E137" s="254">
        <f>C137-B137</f>
        <v>0</v>
      </c>
    </row>
    <row r="138" spans="1:5" ht="18" customHeight="1">
      <c r="A138" s="264" t="s">
        <v>342</v>
      </c>
      <c r="B138" s="271">
        <v>0</v>
      </c>
      <c r="C138" s="252">
        <v>0</v>
      </c>
      <c r="D138" s="260" t="str">
        <f t="shared" si="5"/>
        <v>   </v>
      </c>
      <c r="E138" s="261">
        <f t="shared" si="6"/>
        <v>0</v>
      </c>
    </row>
    <row r="139" spans="1:5" ht="15" customHeight="1">
      <c r="A139" s="255" t="s">
        <v>17</v>
      </c>
      <c r="B139" s="249">
        <v>0</v>
      </c>
      <c r="C139" s="249">
        <v>0</v>
      </c>
      <c r="D139" s="253" t="str">
        <f t="shared" si="4"/>
        <v>   </v>
      </c>
      <c r="E139" s="254">
        <f t="shared" si="1"/>
        <v>0</v>
      </c>
    </row>
    <row r="140" spans="1:5" ht="18.75" customHeight="1">
      <c r="A140" s="255" t="s">
        <v>41</v>
      </c>
      <c r="B140" s="269">
        <f>B141</f>
        <v>20202340</v>
      </c>
      <c r="C140" s="269">
        <f>C141</f>
        <v>1530760</v>
      </c>
      <c r="D140" s="253">
        <f t="shared" si="4"/>
        <v>7.577142053841287</v>
      </c>
      <c r="E140" s="254">
        <f t="shared" si="1"/>
        <v>-18671580</v>
      </c>
    </row>
    <row r="141" spans="1:5" ht="15.75" customHeight="1">
      <c r="A141" s="255" t="s">
        <v>42</v>
      </c>
      <c r="B141" s="277">
        <f>B142+B143+B144+B146+B145</f>
        <v>20202340</v>
      </c>
      <c r="C141" s="277">
        <f>C142+C143+C144+C146+C145</f>
        <v>1530760</v>
      </c>
      <c r="D141" s="253">
        <f t="shared" si="4"/>
        <v>7.577142053841287</v>
      </c>
      <c r="E141" s="254">
        <f t="shared" si="1"/>
        <v>-18671580</v>
      </c>
    </row>
    <row r="142" spans="1:5" ht="19.5" customHeight="1">
      <c r="A142" s="255" t="s">
        <v>142</v>
      </c>
      <c r="B142" s="249">
        <v>4200500</v>
      </c>
      <c r="C142" s="271">
        <v>1198760</v>
      </c>
      <c r="D142" s="253">
        <f t="shared" si="4"/>
        <v>28.538507320557077</v>
      </c>
      <c r="E142" s="254">
        <f t="shared" si="1"/>
        <v>-3001740</v>
      </c>
    </row>
    <row r="143" spans="1:5" ht="16.5" customHeight="1">
      <c r="A143" s="255" t="s">
        <v>191</v>
      </c>
      <c r="B143" s="249">
        <v>5050500</v>
      </c>
      <c r="C143" s="271">
        <v>0</v>
      </c>
      <c r="D143" s="253">
        <f t="shared" si="4"/>
        <v>0</v>
      </c>
      <c r="E143" s="254">
        <f t="shared" si="1"/>
        <v>-5050500</v>
      </c>
    </row>
    <row r="144" spans="1:5" ht="18" customHeight="1">
      <c r="A144" s="255" t="s">
        <v>143</v>
      </c>
      <c r="B144" s="249">
        <v>1409400</v>
      </c>
      <c r="C144" s="271">
        <v>332000</v>
      </c>
      <c r="D144" s="253">
        <f t="shared" si="4"/>
        <v>23.556123172981412</v>
      </c>
      <c r="E144" s="254">
        <f t="shared" si="1"/>
        <v>-1077400</v>
      </c>
    </row>
    <row r="145" spans="1:5" ht="18" customHeight="1">
      <c r="A145" s="255" t="s">
        <v>276</v>
      </c>
      <c r="B145" s="249">
        <v>0</v>
      </c>
      <c r="C145" s="271">
        <v>0</v>
      </c>
      <c r="D145" s="253" t="str">
        <f t="shared" si="4"/>
        <v>   </v>
      </c>
      <c r="E145" s="254">
        <f t="shared" si="1"/>
        <v>0</v>
      </c>
    </row>
    <row r="146" spans="1:5" ht="18" customHeight="1">
      <c r="A146" s="255" t="s">
        <v>318</v>
      </c>
      <c r="B146" s="249">
        <f>SUM(B147:B148)</f>
        <v>9541940</v>
      </c>
      <c r="C146" s="249">
        <f>SUM(C147:C148)</f>
        <v>0</v>
      </c>
      <c r="D146" s="253">
        <f t="shared" si="4"/>
        <v>0</v>
      </c>
      <c r="E146" s="254">
        <f t="shared" si="1"/>
        <v>-9541940</v>
      </c>
    </row>
    <row r="147" spans="1:5" ht="18" customHeight="1">
      <c r="A147" s="264" t="s">
        <v>319</v>
      </c>
      <c r="B147" s="249">
        <v>8969440</v>
      </c>
      <c r="C147" s="271">
        <v>0</v>
      </c>
      <c r="D147" s="253">
        <f>IF(B147=0,"   ",C147/B147*100)</f>
        <v>0</v>
      </c>
      <c r="E147" s="254">
        <f>C147-B147</f>
        <v>-8969440</v>
      </c>
    </row>
    <row r="148" spans="1:5" ht="18" customHeight="1">
      <c r="A148" s="264" t="s">
        <v>320</v>
      </c>
      <c r="B148" s="249">
        <v>572500</v>
      </c>
      <c r="C148" s="271">
        <v>0</v>
      </c>
      <c r="D148" s="253">
        <f t="shared" si="4"/>
        <v>0</v>
      </c>
      <c r="E148" s="254">
        <f t="shared" si="1"/>
        <v>-572500</v>
      </c>
    </row>
    <row r="149" spans="1:5" ht="15">
      <c r="A149" s="255" t="s">
        <v>123</v>
      </c>
      <c r="B149" s="249">
        <f>SUM(B150,)</f>
        <v>105000</v>
      </c>
      <c r="C149" s="249">
        <f>SUM(C150,)</f>
        <v>7340</v>
      </c>
      <c r="D149" s="253">
        <f t="shared" si="4"/>
        <v>6.99047619047619</v>
      </c>
      <c r="E149" s="254">
        <f t="shared" si="1"/>
        <v>-97660</v>
      </c>
    </row>
    <row r="150" spans="1:5" ht="14.25" customHeight="1">
      <c r="A150" s="255" t="s">
        <v>43</v>
      </c>
      <c r="B150" s="249">
        <v>105000</v>
      </c>
      <c r="C150" s="276">
        <v>7340</v>
      </c>
      <c r="D150" s="253">
        <f t="shared" si="4"/>
        <v>6.99047619047619</v>
      </c>
      <c r="E150" s="254">
        <f t="shared" si="1"/>
        <v>-97660</v>
      </c>
    </row>
    <row r="151" spans="1:5" ht="19.5" customHeight="1">
      <c r="A151" s="255" t="s">
        <v>144</v>
      </c>
      <c r="B151" s="249">
        <f>SUM(B152:B152)</f>
        <v>0</v>
      </c>
      <c r="C151" s="249">
        <f>SUM(C152:C152)</f>
        <v>0</v>
      </c>
      <c r="D151" s="253" t="str">
        <f t="shared" si="4"/>
        <v>   </v>
      </c>
      <c r="E151" s="254">
        <f t="shared" si="1"/>
        <v>0</v>
      </c>
    </row>
    <row r="152" spans="1:5" ht="19.5" customHeight="1">
      <c r="A152" s="255" t="s">
        <v>145</v>
      </c>
      <c r="B152" s="249">
        <v>0</v>
      </c>
      <c r="C152" s="271">
        <v>0</v>
      </c>
      <c r="D152" s="253" t="str">
        <f t="shared" si="4"/>
        <v>   </v>
      </c>
      <c r="E152" s="254">
        <f t="shared" si="1"/>
        <v>0</v>
      </c>
    </row>
    <row r="153" spans="1:5" ht="20.25" customHeight="1">
      <c r="A153" s="257" t="s">
        <v>15</v>
      </c>
      <c r="B153" s="273">
        <f>B61+B71+B73+B78+B102+B139+B140+B149+B151</f>
        <v>78468536.04</v>
      </c>
      <c r="C153" s="273">
        <f>C61+C71+C73+C78+C102+C139+C140+C149+C151</f>
        <v>4850865.77</v>
      </c>
      <c r="D153" s="258">
        <f t="shared" si="4"/>
        <v>6.181924647513788</v>
      </c>
      <c r="E153" s="259">
        <f t="shared" si="1"/>
        <v>-73617670.27000001</v>
      </c>
    </row>
    <row r="154" spans="1:5" s="59" customFormat="1" ht="36.75" customHeight="1">
      <c r="A154" s="80" t="s">
        <v>303</v>
      </c>
      <c r="B154" s="80"/>
      <c r="C154" s="337"/>
      <c r="D154" s="337"/>
      <c r="E154" s="337"/>
    </row>
    <row r="155" spans="1:5" s="59" customFormat="1" ht="12" customHeight="1">
      <c r="A155" s="80" t="s">
        <v>153</v>
      </c>
      <c r="B155" s="80"/>
      <c r="C155" s="81" t="s">
        <v>304</v>
      </c>
      <c r="D155" s="82"/>
      <c r="E155" s="83"/>
    </row>
    <row r="156" spans="1:5" ht="15">
      <c r="A156" s="278"/>
      <c r="B156" s="278"/>
      <c r="C156" s="279"/>
      <c r="D156" s="278"/>
      <c r="E156" s="280"/>
    </row>
    <row r="157" spans="1:5" ht="15">
      <c r="A157" s="278"/>
      <c r="B157" s="278"/>
      <c r="C157" s="279"/>
      <c r="D157" s="278"/>
      <c r="E157" s="280"/>
    </row>
    <row r="158" spans="1:5" ht="12.75">
      <c r="A158" s="7"/>
      <c r="B158" s="7"/>
      <c r="C158" s="6"/>
      <c r="D158" s="7"/>
      <c r="E158" s="2"/>
    </row>
    <row r="159" spans="1:5" ht="12.75">
      <c r="A159" s="7"/>
      <c r="B159" s="7"/>
      <c r="C159" s="6"/>
      <c r="D159" s="7"/>
      <c r="E159" s="2"/>
    </row>
  </sheetData>
  <sheetProtection/>
  <mergeCells count="2">
    <mergeCell ref="A1:E1"/>
    <mergeCell ref="C154:E154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6"/>
  <sheetViews>
    <sheetView zoomScalePageLayoutView="0" workbookViewId="0" topLeftCell="A25">
      <selection activeCell="C36" sqref="C36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7.25">
      <c r="A1" s="339" t="s">
        <v>331</v>
      </c>
      <c r="B1" s="339"/>
      <c r="C1" s="339"/>
      <c r="D1" s="339"/>
      <c r="E1" s="33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305</v>
      </c>
      <c r="C4" s="32" t="s">
        <v>326</v>
      </c>
      <c r="D4" s="19" t="s">
        <v>308</v>
      </c>
      <c r="E4" s="36" t="s">
        <v>307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46">
        <f>SUM(B8)</f>
        <v>29300</v>
      </c>
      <c r="C7" s="146">
        <f>SUM(C8)</f>
        <v>2473.55</v>
      </c>
      <c r="D7" s="26">
        <f aca="true" t="shared" si="0" ref="D7:D101">IF(B7=0,"   ",C7/B7*100)</f>
        <v>8.442150170648464</v>
      </c>
      <c r="E7" s="42">
        <f aca="true" t="shared" si="1" ref="E7:E102">C7-B7</f>
        <v>-26826.45</v>
      </c>
    </row>
    <row r="8" spans="1:5" ht="12.75">
      <c r="A8" s="16" t="s">
        <v>44</v>
      </c>
      <c r="B8" s="84">
        <v>29300</v>
      </c>
      <c r="C8" s="228">
        <v>2473.55</v>
      </c>
      <c r="D8" s="26">
        <f t="shared" si="0"/>
        <v>8.442150170648464</v>
      </c>
      <c r="E8" s="42">
        <f t="shared" si="1"/>
        <v>-26826.45</v>
      </c>
    </row>
    <row r="9" spans="1:5" ht="15" customHeight="1">
      <c r="A9" s="64" t="s">
        <v>136</v>
      </c>
      <c r="B9" s="191">
        <f>SUM(B10)</f>
        <v>658200</v>
      </c>
      <c r="C9" s="191">
        <f>SUM(C10)</f>
        <v>154610.06</v>
      </c>
      <c r="D9" s="26">
        <f t="shared" si="0"/>
        <v>23.489829838954723</v>
      </c>
      <c r="E9" s="42">
        <f t="shared" si="1"/>
        <v>-503589.94</v>
      </c>
    </row>
    <row r="10" spans="1:5" ht="12.75">
      <c r="A10" s="41" t="s">
        <v>137</v>
      </c>
      <c r="B10" s="192">
        <v>658200</v>
      </c>
      <c r="C10" s="228">
        <v>154610.06</v>
      </c>
      <c r="D10" s="26">
        <f t="shared" si="0"/>
        <v>23.489829838954723</v>
      </c>
      <c r="E10" s="42">
        <f t="shared" si="1"/>
        <v>-503589.94</v>
      </c>
    </row>
    <row r="11" spans="1:5" ht="18.75" customHeight="1">
      <c r="A11" s="16" t="s">
        <v>7</v>
      </c>
      <c r="B11" s="192">
        <f>SUM(B12:B12)</f>
        <v>0</v>
      </c>
      <c r="C11" s="192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21" customHeight="1">
      <c r="A12" s="16" t="s">
        <v>26</v>
      </c>
      <c r="B12" s="192">
        <v>0</v>
      </c>
      <c r="C12" s="193">
        <v>0</v>
      </c>
      <c r="D12" s="26" t="str">
        <f t="shared" si="0"/>
        <v>   </v>
      </c>
      <c r="E12" s="42">
        <f t="shared" si="1"/>
        <v>0</v>
      </c>
    </row>
    <row r="13" spans="1:5" ht="21" customHeight="1">
      <c r="A13" s="16" t="s">
        <v>9</v>
      </c>
      <c r="B13" s="192">
        <f>SUM(B14:B15)</f>
        <v>239000</v>
      </c>
      <c r="C13" s="192">
        <f>SUM(C14:C15)</f>
        <v>-2966.1399999999994</v>
      </c>
      <c r="D13" s="26">
        <f t="shared" si="0"/>
        <v>-1.241062761506276</v>
      </c>
      <c r="E13" s="42">
        <f t="shared" si="1"/>
        <v>-241966.14</v>
      </c>
    </row>
    <row r="14" spans="1:5" ht="12.75">
      <c r="A14" s="16" t="s">
        <v>27</v>
      </c>
      <c r="B14" s="192">
        <v>79000</v>
      </c>
      <c r="C14" s="228">
        <v>949.59</v>
      </c>
      <c r="D14" s="26">
        <f t="shared" si="0"/>
        <v>1.202012658227848</v>
      </c>
      <c r="E14" s="42">
        <f t="shared" si="1"/>
        <v>-78050.41</v>
      </c>
    </row>
    <row r="15" spans="1:5" ht="12.75">
      <c r="A15" s="41" t="s">
        <v>159</v>
      </c>
      <c r="B15" s="192">
        <f>SUM(B16:B17)</f>
        <v>160000</v>
      </c>
      <c r="C15" s="192">
        <f>SUM(C16:C17)</f>
        <v>-3915.7299999999996</v>
      </c>
      <c r="D15" s="26">
        <f t="shared" si="0"/>
        <v>-2.4473312499999995</v>
      </c>
      <c r="E15" s="42">
        <f t="shared" si="1"/>
        <v>-163915.73</v>
      </c>
    </row>
    <row r="16" spans="1:5" ht="12.75">
      <c r="A16" s="41" t="s">
        <v>160</v>
      </c>
      <c r="B16" s="192">
        <v>11000</v>
      </c>
      <c r="C16" s="228">
        <v>5257</v>
      </c>
      <c r="D16" s="26">
        <f t="shared" si="0"/>
        <v>47.79090909090909</v>
      </c>
      <c r="E16" s="42">
        <f t="shared" si="1"/>
        <v>-5743</v>
      </c>
    </row>
    <row r="17" spans="1:5" ht="12.75">
      <c r="A17" s="41" t="s">
        <v>161</v>
      </c>
      <c r="B17" s="192">
        <v>149000</v>
      </c>
      <c r="C17" s="228">
        <v>-9172.73</v>
      </c>
      <c r="D17" s="26">
        <f t="shared" si="0"/>
        <v>-6.156194630872483</v>
      </c>
      <c r="E17" s="42">
        <f t="shared" si="1"/>
        <v>-158172.73</v>
      </c>
    </row>
    <row r="18" spans="1:5" ht="18.75" customHeight="1">
      <c r="A18" s="41" t="s">
        <v>194</v>
      </c>
      <c r="B18" s="192">
        <v>0</v>
      </c>
      <c r="C18" s="228">
        <v>200</v>
      </c>
      <c r="D18" s="26" t="str">
        <f t="shared" si="0"/>
        <v>   </v>
      </c>
      <c r="E18" s="42">
        <f t="shared" si="1"/>
        <v>200</v>
      </c>
    </row>
    <row r="19" spans="1:5" ht="19.5" customHeight="1">
      <c r="A19" s="16" t="s">
        <v>89</v>
      </c>
      <c r="B19" s="192">
        <v>0</v>
      </c>
      <c r="C19" s="228">
        <v>0</v>
      </c>
      <c r="D19" s="26" t="str">
        <f t="shared" si="0"/>
        <v>   </v>
      </c>
      <c r="E19" s="42">
        <f t="shared" si="1"/>
        <v>0</v>
      </c>
    </row>
    <row r="20" spans="1:5" ht="30.75" customHeight="1">
      <c r="A20" s="16" t="s">
        <v>28</v>
      </c>
      <c r="B20" s="192">
        <f>SUM(B21:B23)</f>
        <v>131400</v>
      </c>
      <c r="C20" s="192">
        <f>SUM(C21:C23)</f>
        <v>19126.58</v>
      </c>
      <c r="D20" s="26">
        <f t="shared" si="0"/>
        <v>14.555996955859971</v>
      </c>
      <c r="E20" s="42">
        <f t="shared" si="1"/>
        <v>-112273.42</v>
      </c>
    </row>
    <row r="21" spans="1:5" ht="21.75" customHeight="1">
      <c r="A21" s="41" t="s">
        <v>151</v>
      </c>
      <c r="B21" s="192">
        <v>131400</v>
      </c>
      <c r="C21" s="193">
        <v>19126.58</v>
      </c>
      <c r="D21" s="26">
        <f t="shared" si="0"/>
        <v>14.555996955859971</v>
      </c>
      <c r="E21" s="42">
        <f t="shared" si="1"/>
        <v>-112273.42</v>
      </c>
    </row>
    <row r="22" spans="1:5" ht="21" customHeight="1">
      <c r="A22" s="16" t="s">
        <v>30</v>
      </c>
      <c r="B22" s="192">
        <v>0</v>
      </c>
      <c r="C22" s="193">
        <v>0</v>
      </c>
      <c r="D22" s="26" t="str">
        <f t="shared" si="0"/>
        <v>   </v>
      </c>
      <c r="E22" s="42">
        <f t="shared" si="1"/>
        <v>0</v>
      </c>
    </row>
    <row r="23" spans="1:5" ht="21" customHeight="1">
      <c r="A23" s="16" t="s">
        <v>259</v>
      </c>
      <c r="B23" s="192">
        <v>0</v>
      </c>
      <c r="C23" s="193">
        <v>0</v>
      </c>
      <c r="D23" s="26" t="str">
        <f t="shared" si="0"/>
        <v>   </v>
      </c>
      <c r="E23" s="42">
        <f t="shared" si="1"/>
        <v>0</v>
      </c>
    </row>
    <row r="24" spans="1:5" ht="20.25" customHeight="1">
      <c r="A24" s="16" t="s">
        <v>83</v>
      </c>
      <c r="B24" s="192">
        <v>0</v>
      </c>
      <c r="C24" s="193">
        <v>0</v>
      </c>
      <c r="D24" s="26" t="str">
        <f t="shared" si="0"/>
        <v>   </v>
      </c>
      <c r="E24" s="42">
        <f t="shared" si="1"/>
        <v>0</v>
      </c>
    </row>
    <row r="25" spans="1:5" ht="17.25" customHeight="1">
      <c r="A25" s="16" t="s">
        <v>76</v>
      </c>
      <c r="B25" s="191">
        <f>B26</f>
        <v>106000</v>
      </c>
      <c r="C25" s="191">
        <f>C26</f>
        <v>106605</v>
      </c>
      <c r="D25" s="26">
        <f t="shared" si="0"/>
        <v>100.57075471698114</v>
      </c>
      <c r="E25" s="42">
        <f t="shared" si="1"/>
        <v>605</v>
      </c>
    </row>
    <row r="26" spans="1:5" ht="27.75" customHeight="1">
      <c r="A26" s="16" t="s">
        <v>336</v>
      </c>
      <c r="B26" s="192">
        <v>106000</v>
      </c>
      <c r="C26" s="193">
        <v>106605</v>
      </c>
      <c r="D26" s="26">
        <f t="shared" si="0"/>
        <v>100.57075471698114</v>
      </c>
      <c r="E26" s="42">
        <f t="shared" si="1"/>
        <v>605</v>
      </c>
    </row>
    <row r="27" spans="1:5" ht="17.25" customHeight="1">
      <c r="A27" s="16" t="s">
        <v>32</v>
      </c>
      <c r="B27" s="192">
        <f>B28+B29</f>
        <v>0</v>
      </c>
      <c r="C27" s="192">
        <f>SUM(C28:C29)</f>
        <v>-161.46</v>
      </c>
      <c r="D27" s="26" t="str">
        <f t="shared" si="0"/>
        <v>   </v>
      </c>
      <c r="E27" s="42">
        <f t="shared" si="1"/>
        <v>-161.46</v>
      </c>
    </row>
    <row r="28" spans="1:5" ht="12.75">
      <c r="A28" s="16" t="s">
        <v>46</v>
      </c>
      <c r="B28" s="192">
        <v>0</v>
      </c>
      <c r="C28" s="192">
        <v>-161.46</v>
      </c>
      <c r="D28" s="26" t="str">
        <f t="shared" si="0"/>
        <v>   </v>
      </c>
      <c r="E28" s="42"/>
    </row>
    <row r="29" spans="1:5" ht="12.75">
      <c r="A29" s="16" t="s">
        <v>50</v>
      </c>
      <c r="B29" s="192">
        <v>0</v>
      </c>
      <c r="C29" s="193">
        <v>0</v>
      </c>
      <c r="D29" s="26" t="str">
        <f t="shared" si="0"/>
        <v>   </v>
      </c>
      <c r="E29" s="42">
        <f t="shared" si="1"/>
        <v>0</v>
      </c>
    </row>
    <row r="30" spans="1:5" ht="15.75" customHeight="1">
      <c r="A30" s="16" t="s">
        <v>31</v>
      </c>
      <c r="B30" s="192">
        <v>0</v>
      </c>
      <c r="C30" s="192">
        <v>0</v>
      </c>
      <c r="D30" s="26" t="str">
        <f t="shared" si="0"/>
        <v>   </v>
      </c>
      <c r="E30" s="42">
        <f t="shared" si="1"/>
        <v>0</v>
      </c>
    </row>
    <row r="31" spans="1:5" ht="16.5" customHeight="1">
      <c r="A31" s="169" t="s">
        <v>10</v>
      </c>
      <c r="B31" s="147">
        <f>SUM(B7,B9,B11,B13,B20,B24,B25,B27,B30,B19,B18)</f>
        <v>1163900</v>
      </c>
      <c r="C31" s="147">
        <f>SUM(C7,C9,C11,C13,C20,C24,C25,C27,C30,C19,C18)</f>
        <v>279887.58999999997</v>
      </c>
      <c r="D31" s="139">
        <f t="shared" si="0"/>
        <v>24.047391528481825</v>
      </c>
      <c r="E31" s="140">
        <f t="shared" si="1"/>
        <v>-884012.41</v>
      </c>
    </row>
    <row r="32" spans="1:5" ht="13.5" customHeight="1">
      <c r="A32" s="177" t="s">
        <v>139</v>
      </c>
      <c r="B32" s="182">
        <f>SUM(B33:B36,B39:B42,B47)</f>
        <v>4097700</v>
      </c>
      <c r="C32" s="182">
        <f>SUM(C33:C36,C39:C42,C47)</f>
        <v>869926</v>
      </c>
      <c r="D32" s="139">
        <f t="shared" si="0"/>
        <v>21.22961661419821</v>
      </c>
      <c r="E32" s="140">
        <f t="shared" si="1"/>
        <v>-3227774</v>
      </c>
    </row>
    <row r="33" spans="1:5" ht="19.5" customHeight="1">
      <c r="A33" s="17" t="s">
        <v>34</v>
      </c>
      <c r="B33" s="157">
        <v>2571200</v>
      </c>
      <c r="C33" s="228">
        <v>642790</v>
      </c>
      <c r="D33" s="26">
        <f t="shared" si="0"/>
        <v>24.999611076540138</v>
      </c>
      <c r="E33" s="42">
        <f t="shared" si="1"/>
        <v>-1928410</v>
      </c>
    </row>
    <row r="34" spans="1:5" ht="19.5" customHeight="1">
      <c r="A34" s="17" t="s">
        <v>225</v>
      </c>
      <c r="B34" s="157">
        <v>0</v>
      </c>
      <c r="C34" s="228">
        <v>0</v>
      </c>
      <c r="D34" s="26" t="str">
        <f t="shared" si="0"/>
        <v>   </v>
      </c>
      <c r="E34" s="42">
        <f t="shared" si="1"/>
        <v>0</v>
      </c>
    </row>
    <row r="35" spans="1:5" ht="30.75" customHeight="1">
      <c r="A35" s="132" t="s">
        <v>51</v>
      </c>
      <c r="B35" s="133">
        <v>103700</v>
      </c>
      <c r="C35" s="228">
        <v>29000</v>
      </c>
      <c r="D35" s="134">
        <f t="shared" si="0"/>
        <v>27.965284474445518</v>
      </c>
      <c r="E35" s="135">
        <f t="shared" si="1"/>
        <v>-74700</v>
      </c>
    </row>
    <row r="36" spans="1:5" ht="24.75" customHeight="1">
      <c r="A36" s="108" t="s">
        <v>147</v>
      </c>
      <c r="B36" s="133">
        <f>SUM(B37:B38)</f>
        <v>100</v>
      </c>
      <c r="C36" s="133">
        <f>SUM(C37:C38)</f>
        <v>0</v>
      </c>
      <c r="D36" s="134">
        <f t="shared" si="0"/>
        <v>0</v>
      </c>
      <c r="E36" s="135">
        <f t="shared" si="1"/>
        <v>-100</v>
      </c>
    </row>
    <row r="37" spans="1:5" ht="16.5" customHeight="1">
      <c r="A37" s="108" t="s">
        <v>162</v>
      </c>
      <c r="B37" s="133">
        <v>100</v>
      </c>
      <c r="C37" s="136">
        <v>0</v>
      </c>
      <c r="D37" s="134">
        <f t="shared" si="0"/>
        <v>0</v>
      </c>
      <c r="E37" s="135">
        <f t="shared" si="1"/>
        <v>-100</v>
      </c>
    </row>
    <row r="38" spans="1:5" ht="25.5" customHeight="1">
      <c r="A38" s="108" t="s">
        <v>163</v>
      </c>
      <c r="B38" s="133">
        <v>0</v>
      </c>
      <c r="C38" s="136">
        <v>0</v>
      </c>
      <c r="D38" s="134" t="str">
        <f t="shared" si="0"/>
        <v>   </v>
      </c>
      <c r="E38" s="135">
        <f t="shared" si="1"/>
        <v>0</v>
      </c>
    </row>
    <row r="39" spans="1:5" ht="40.5" customHeight="1">
      <c r="A39" s="141" t="s">
        <v>131</v>
      </c>
      <c r="B39" s="133">
        <v>0</v>
      </c>
      <c r="C39" s="133">
        <v>0</v>
      </c>
      <c r="D39" s="134" t="str">
        <f t="shared" si="0"/>
        <v>   </v>
      </c>
      <c r="E39" s="135">
        <f t="shared" si="1"/>
        <v>0</v>
      </c>
    </row>
    <row r="40" spans="1:5" ht="27.75" customHeight="1">
      <c r="A40" s="141" t="s">
        <v>280</v>
      </c>
      <c r="B40" s="133">
        <v>0</v>
      </c>
      <c r="C40" s="133">
        <v>0</v>
      </c>
      <c r="D40" s="134" t="str">
        <f t="shared" si="0"/>
        <v>   </v>
      </c>
      <c r="E40" s="135">
        <f t="shared" si="1"/>
        <v>0</v>
      </c>
    </row>
    <row r="41" spans="1:5" ht="61.5" customHeight="1">
      <c r="A41" s="16" t="s">
        <v>234</v>
      </c>
      <c r="B41" s="133">
        <v>544300</v>
      </c>
      <c r="C41" s="133">
        <v>0</v>
      </c>
      <c r="D41" s="134">
        <f t="shared" si="0"/>
        <v>0</v>
      </c>
      <c r="E41" s="135">
        <f t="shared" si="1"/>
        <v>-544300</v>
      </c>
    </row>
    <row r="42" spans="1:5" ht="15.75" customHeight="1">
      <c r="A42" s="16" t="s">
        <v>55</v>
      </c>
      <c r="B42" s="162">
        <f>B46+B43+B45+B44</f>
        <v>878400</v>
      </c>
      <c r="C42" s="162">
        <f>C46+C43+C45</f>
        <v>198136</v>
      </c>
      <c r="D42" s="26">
        <f t="shared" si="0"/>
        <v>22.55646630236794</v>
      </c>
      <c r="E42" s="42">
        <f t="shared" si="1"/>
        <v>-680264</v>
      </c>
    </row>
    <row r="43" spans="1:5" ht="15" customHeight="1">
      <c r="A43" s="46" t="s">
        <v>186</v>
      </c>
      <c r="B43" s="162">
        <v>0</v>
      </c>
      <c r="C43" s="162">
        <v>0</v>
      </c>
      <c r="D43" s="26" t="str">
        <f>IF(B43=0,"   ",C43/B43*100)</f>
        <v>   </v>
      </c>
      <c r="E43" s="42">
        <f>C43-B43</f>
        <v>0</v>
      </c>
    </row>
    <row r="44" spans="1:5" ht="15" customHeight="1">
      <c r="A44" s="46" t="s">
        <v>311</v>
      </c>
      <c r="B44" s="162">
        <v>482200</v>
      </c>
      <c r="C44" s="162">
        <v>0</v>
      </c>
      <c r="D44" s="26">
        <f>IF(B44=0,"   ",C44/B44*100)</f>
        <v>0</v>
      </c>
      <c r="E44" s="42">
        <f>C44-B44</f>
        <v>-482200</v>
      </c>
    </row>
    <row r="45" spans="1:5" ht="15" customHeight="1">
      <c r="A45" s="46" t="s">
        <v>278</v>
      </c>
      <c r="B45" s="162">
        <v>0</v>
      </c>
      <c r="C45" s="162">
        <v>0</v>
      </c>
      <c r="D45" s="26" t="str">
        <f>IF(B45=0,"   ",C45/B45*100)</f>
        <v>   </v>
      </c>
      <c r="E45" s="42">
        <f>C45-B45</f>
        <v>0</v>
      </c>
    </row>
    <row r="46" spans="1:5" s="7" customFormat="1" ht="16.5" customHeight="1">
      <c r="A46" s="16" t="s">
        <v>108</v>
      </c>
      <c r="B46" s="162">
        <v>396200</v>
      </c>
      <c r="C46" s="162">
        <v>198136</v>
      </c>
      <c r="D46" s="47">
        <f t="shared" si="0"/>
        <v>50.00908632004039</v>
      </c>
      <c r="E46" s="40">
        <f t="shared" si="1"/>
        <v>-198064</v>
      </c>
    </row>
    <row r="47" spans="1:5" s="7" customFormat="1" ht="23.25" customHeight="1">
      <c r="A47" s="16" t="s">
        <v>196</v>
      </c>
      <c r="B47" s="162">
        <v>0</v>
      </c>
      <c r="C47" s="162">
        <v>0</v>
      </c>
      <c r="D47" s="47" t="str">
        <f>IF(B47=0,"   ",C47/B47*100)</f>
        <v>   </v>
      </c>
      <c r="E47" s="40">
        <f>C47-B47</f>
        <v>0</v>
      </c>
    </row>
    <row r="48" spans="1:5" ht="30.75" customHeight="1">
      <c r="A48" s="169" t="s">
        <v>11</v>
      </c>
      <c r="B48" s="147">
        <f>SUM(B31,B32,)</f>
        <v>5261600</v>
      </c>
      <c r="C48" s="147">
        <f>SUM(C31,C32,)</f>
        <v>1149813.5899999999</v>
      </c>
      <c r="D48" s="139">
        <f t="shared" si="0"/>
        <v>21.852926676296182</v>
      </c>
      <c r="E48" s="140">
        <f t="shared" si="1"/>
        <v>-4111786.41</v>
      </c>
    </row>
    <row r="49" spans="1:5" ht="41.25" customHeight="1">
      <c r="A49" s="22" t="s">
        <v>12</v>
      </c>
      <c r="B49" s="44"/>
      <c r="C49" s="45"/>
      <c r="D49" s="26" t="str">
        <f t="shared" si="0"/>
        <v>   </v>
      </c>
      <c r="E49" s="42">
        <f t="shared" si="1"/>
        <v>0</v>
      </c>
    </row>
    <row r="50" spans="1:5" ht="21" customHeight="1">
      <c r="A50" s="16" t="s">
        <v>35</v>
      </c>
      <c r="B50" s="25">
        <f>SUM(B51,B53,B54)</f>
        <v>1345500</v>
      </c>
      <c r="C50" s="25">
        <f>SUM(C51,C53,C54)</f>
        <v>285605.36</v>
      </c>
      <c r="D50" s="26">
        <f t="shared" si="0"/>
        <v>21.226708286882197</v>
      </c>
      <c r="E50" s="42">
        <f t="shared" si="1"/>
        <v>-1059894.6400000001</v>
      </c>
    </row>
    <row r="51" spans="1:5" ht="14.25" customHeight="1">
      <c r="A51" s="16" t="s">
        <v>36</v>
      </c>
      <c r="B51" s="25">
        <v>1326000</v>
      </c>
      <c r="C51" s="25">
        <v>285605.36</v>
      </c>
      <c r="D51" s="26">
        <f t="shared" si="0"/>
        <v>21.53886576168929</v>
      </c>
      <c r="E51" s="42">
        <f t="shared" si="1"/>
        <v>-1040394.64</v>
      </c>
    </row>
    <row r="52" spans="1:5" ht="12.75">
      <c r="A52" s="85" t="s">
        <v>120</v>
      </c>
      <c r="B52" s="25">
        <v>860753</v>
      </c>
      <c r="C52" s="28">
        <v>150459</v>
      </c>
      <c r="D52" s="26">
        <f t="shared" si="0"/>
        <v>17.479927458864505</v>
      </c>
      <c r="E52" s="42">
        <f t="shared" si="1"/>
        <v>-710294</v>
      </c>
    </row>
    <row r="53" spans="1:5" ht="12.75">
      <c r="A53" s="16" t="s">
        <v>94</v>
      </c>
      <c r="B53" s="25">
        <v>500</v>
      </c>
      <c r="C53" s="27">
        <v>0</v>
      </c>
      <c r="D53" s="26">
        <f t="shared" si="0"/>
        <v>0</v>
      </c>
      <c r="E53" s="42">
        <f t="shared" si="1"/>
        <v>-500</v>
      </c>
    </row>
    <row r="54" spans="1:5" ht="12.75">
      <c r="A54" s="16" t="s">
        <v>52</v>
      </c>
      <c r="B54" s="25">
        <f>B55+B56</f>
        <v>19000</v>
      </c>
      <c r="C54" s="25">
        <f>C55</f>
        <v>0</v>
      </c>
      <c r="D54" s="26">
        <f t="shared" si="0"/>
        <v>0</v>
      </c>
      <c r="E54" s="42">
        <f t="shared" si="1"/>
        <v>-19000</v>
      </c>
    </row>
    <row r="55" spans="1:5" ht="26.25">
      <c r="A55" s="104" t="s">
        <v>240</v>
      </c>
      <c r="B55" s="25">
        <v>15000</v>
      </c>
      <c r="C55" s="27">
        <v>0</v>
      </c>
      <c r="D55" s="26">
        <f t="shared" si="0"/>
        <v>0</v>
      </c>
      <c r="E55" s="42">
        <f t="shared" si="1"/>
        <v>-15000</v>
      </c>
    </row>
    <row r="56" spans="1:5" ht="15">
      <c r="A56" s="264" t="s">
        <v>239</v>
      </c>
      <c r="B56" s="25">
        <v>4000</v>
      </c>
      <c r="C56" s="27">
        <v>0</v>
      </c>
      <c r="D56" s="26">
        <f t="shared" si="0"/>
        <v>0</v>
      </c>
      <c r="E56" s="42">
        <f t="shared" si="1"/>
        <v>-4000</v>
      </c>
    </row>
    <row r="57" spans="1:5" ht="19.5" customHeight="1">
      <c r="A57" s="16" t="s">
        <v>49</v>
      </c>
      <c r="B57" s="27">
        <f>SUM(B58)</f>
        <v>103700</v>
      </c>
      <c r="C57" s="27">
        <f>SUM(C58)</f>
        <v>18655.18</v>
      </c>
      <c r="D57" s="26">
        <f t="shared" si="0"/>
        <v>17.98956605593057</v>
      </c>
      <c r="E57" s="42">
        <f t="shared" si="1"/>
        <v>-85044.82</v>
      </c>
    </row>
    <row r="58" spans="1:5" ht="15.75" customHeight="1">
      <c r="A58" s="16" t="s">
        <v>106</v>
      </c>
      <c r="B58" s="25">
        <v>103700</v>
      </c>
      <c r="C58" s="27">
        <v>18655.18</v>
      </c>
      <c r="D58" s="26">
        <f t="shared" si="0"/>
        <v>17.98956605593057</v>
      </c>
      <c r="E58" s="42">
        <f t="shared" si="1"/>
        <v>-85044.82</v>
      </c>
    </row>
    <row r="59" spans="1:5" ht="21" customHeight="1">
      <c r="A59" s="16" t="s">
        <v>37</v>
      </c>
      <c r="B59" s="25">
        <f>SUM(B60)</f>
        <v>5000</v>
      </c>
      <c r="C59" s="27">
        <f>SUM(C60)</f>
        <v>0</v>
      </c>
      <c r="D59" s="26">
        <f t="shared" si="0"/>
        <v>0</v>
      </c>
      <c r="E59" s="42">
        <f t="shared" si="1"/>
        <v>-5000</v>
      </c>
    </row>
    <row r="60" spans="1:5" ht="15" customHeight="1">
      <c r="A60" s="75" t="s">
        <v>127</v>
      </c>
      <c r="B60" s="25">
        <v>5000</v>
      </c>
      <c r="C60" s="27">
        <v>0</v>
      </c>
      <c r="D60" s="26">
        <f t="shared" si="0"/>
        <v>0</v>
      </c>
      <c r="E60" s="42">
        <f t="shared" si="1"/>
        <v>-5000</v>
      </c>
    </row>
    <row r="61" spans="1:5" ht="19.5" customHeight="1">
      <c r="A61" s="16" t="s">
        <v>38</v>
      </c>
      <c r="B61" s="25">
        <f>SUM(B69+B62+B67+B77)</f>
        <v>2291901</v>
      </c>
      <c r="C61" s="25">
        <f>SUM(C69+C62+C67+C77)</f>
        <v>231160</v>
      </c>
      <c r="D61" s="26">
        <f t="shared" si="0"/>
        <v>10.08595048389961</v>
      </c>
      <c r="E61" s="42">
        <f t="shared" si="1"/>
        <v>-2060741</v>
      </c>
    </row>
    <row r="62" spans="1:5" ht="15" customHeight="1">
      <c r="A62" s="145" t="s">
        <v>164</v>
      </c>
      <c r="B62" s="25">
        <f>SUM(B63:B66)</f>
        <v>513100</v>
      </c>
      <c r="C62" s="25">
        <f>SUM(C63:C66)</f>
        <v>0</v>
      </c>
      <c r="D62" s="26">
        <f aca="true" t="shared" si="2" ref="D62:D68">IF(B62=0,"   ",C62/B62*100)</f>
        <v>0</v>
      </c>
      <c r="E62" s="42">
        <f aca="true" t="shared" si="3" ref="E62:E68">C62-B62</f>
        <v>-513100</v>
      </c>
    </row>
    <row r="63" spans="1:5" ht="15.75" customHeight="1">
      <c r="A63" s="145" t="s">
        <v>165</v>
      </c>
      <c r="B63" s="25">
        <v>0</v>
      </c>
      <c r="C63" s="25">
        <v>0</v>
      </c>
      <c r="D63" s="26" t="str">
        <f t="shared" si="2"/>
        <v>   </v>
      </c>
      <c r="E63" s="42">
        <f t="shared" si="3"/>
        <v>0</v>
      </c>
    </row>
    <row r="64" spans="1:5" ht="19.5" customHeight="1">
      <c r="A64" s="145" t="s">
        <v>168</v>
      </c>
      <c r="B64" s="25">
        <v>0</v>
      </c>
      <c r="C64" s="25">
        <v>0</v>
      </c>
      <c r="D64" s="26" t="str">
        <f t="shared" si="2"/>
        <v>   </v>
      </c>
      <c r="E64" s="42">
        <f t="shared" si="3"/>
        <v>0</v>
      </c>
    </row>
    <row r="65" spans="1:5" ht="19.5" customHeight="1">
      <c r="A65" s="145" t="s">
        <v>312</v>
      </c>
      <c r="B65" s="25">
        <v>482200</v>
      </c>
      <c r="C65" s="25">
        <v>0</v>
      </c>
      <c r="D65" s="26">
        <f t="shared" si="2"/>
        <v>0</v>
      </c>
      <c r="E65" s="42">
        <f t="shared" si="3"/>
        <v>-482200</v>
      </c>
    </row>
    <row r="66" spans="1:5" ht="19.5" customHeight="1">
      <c r="A66" s="145" t="s">
        <v>313</v>
      </c>
      <c r="B66" s="25">
        <v>30900</v>
      </c>
      <c r="C66" s="25">
        <v>0</v>
      </c>
      <c r="D66" s="26">
        <f t="shared" si="2"/>
        <v>0</v>
      </c>
      <c r="E66" s="42">
        <f t="shared" si="3"/>
        <v>-30900</v>
      </c>
    </row>
    <row r="67" spans="1:5" ht="19.5" customHeight="1">
      <c r="A67" s="145" t="s">
        <v>227</v>
      </c>
      <c r="B67" s="25">
        <f>SUM(B68)</f>
        <v>70000</v>
      </c>
      <c r="C67" s="25">
        <f>SUM(C68)</f>
        <v>0</v>
      </c>
      <c r="D67" s="26">
        <f t="shared" si="2"/>
        <v>0</v>
      </c>
      <c r="E67" s="42">
        <f t="shared" si="3"/>
        <v>-70000</v>
      </c>
    </row>
    <row r="68" spans="1:5" ht="19.5" customHeight="1">
      <c r="A68" s="145" t="s">
        <v>228</v>
      </c>
      <c r="B68" s="25">
        <v>70000</v>
      </c>
      <c r="C68" s="25">
        <v>0</v>
      </c>
      <c r="D68" s="26">
        <f t="shared" si="2"/>
        <v>0</v>
      </c>
      <c r="E68" s="42">
        <f t="shared" si="3"/>
        <v>-70000</v>
      </c>
    </row>
    <row r="69" spans="1:5" ht="12.75" customHeight="1">
      <c r="A69" s="145" t="s">
        <v>130</v>
      </c>
      <c r="B69" s="25">
        <f>SUM(B70:B76)</f>
        <v>1648801</v>
      </c>
      <c r="C69" s="25">
        <f>SUM(C70:C76)</f>
        <v>231160</v>
      </c>
      <c r="D69" s="26">
        <f t="shared" si="0"/>
        <v>14.019884752617203</v>
      </c>
      <c r="E69" s="42">
        <f t="shared" si="1"/>
        <v>-1417641</v>
      </c>
    </row>
    <row r="70" spans="1:5" ht="24.75" customHeight="1">
      <c r="A70" s="75" t="s">
        <v>148</v>
      </c>
      <c r="B70" s="25">
        <v>0</v>
      </c>
      <c r="C70" s="25">
        <v>0</v>
      </c>
      <c r="D70" s="26" t="str">
        <f t="shared" si="0"/>
        <v>   </v>
      </c>
      <c r="E70" s="135">
        <f t="shared" si="1"/>
        <v>0</v>
      </c>
    </row>
    <row r="71" spans="1:5" ht="33.75" customHeight="1">
      <c r="A71" s="71" t="s">
        <v>245</v>
      </c>
      <c r="B71" s="25">
        <v>521101.75</v>
      </c>
      <c r="C71" s="25">
        <v>0</v>
      </c>
      <c r="D71" s="26">
        <f t="shared" si="0"/>
        <v>0</v>
      </c>
      <c r="E71" s="135">
        <f t="shared" si="1"/>
        <v>-521101.75</v>
      </c>
    </row>
    <row r="72" spans="1:5" ht="26.25" customHeight="1">
      <c r="A72" s="71" t="s">
        <v>246</v>
      </c>
      <c r="B72" s="25">
        <v>82599.25</v>
      </c>
      <c r="C72" s="25">
        <v>0</v>
      </c>
      <c r="D72" s="26">
        <f t="shared" si="0"/>
        <v>0</v>
      </c>
      <c r="E72" s="42">
        <f t="shared" si="1"/>
        <v>-82599.25</v>
      </c>
    </row>
    <row r="73" spans="1:5" ht="26.25" customHeight="1">
      <c r="A73" s="71" t="s">
        <v>247</v>
      </c>
      <c r="B73" s="25">
        <v>544300</v>
      </c>
      <c r="C73" s="25">
        <v>0</v>
      </c>
      <c r="D73" s="26">
        <f t="shared" si="0"/>
        <v>0</v>
      </c>
      <c r="E73" s="42">
        <f t="shared" si="1"/>
        <v>-544300</v>
      </c>
    </row>
    <row r="74" spans="1:5" ht="26.25" customHeight="1">
      <c r="A74" s="71" t="s">
        <v>248</v>
      </c>
      <c r="B74" s="25">
        <v>60500</v>
      </c>
      <c r="C74" s="25">
        <v>0</v>
      </c>
      <c r="D74" s="26">
        <f>IF(B74=0,"   ",C74/B74*100)</f>
        <v>0</v>
      </c>
      <c r="E74" s="42">
        <f>C74-B74</f>
        <v>-60500</v>
      </c>
    </row>
    <row r="75" spans="1:5" ht="26.25" customHeight="1">
      <c r="A75" s="71" t="s">
        <v>249</v>
      </c>
      <c r="B75" s="25">
        <v>396200</v>
      </c>
      <c r="C75" s="25">
        <v>198136</v>
      </c>
      <c r="D75" s="26">
        <f>IF(B75=0,"   ",C75/B75*100)</f>
        <v>50.00908632004039</v>
      </c>
      <c r="E75" s="42">
        <f>C75-B75</f>
        <v>-198064</v>
      </c>
    </row>
    <row r="76" spans="1:5" ht="23.25" customHeight="1">
      <c r="A76" s="71" t="s">
        <v>250</v>
      </c>
      <c r="B76" s="25">
        <v>44100</v>
      </c>
      <c r="C76" s="25">
        <v>33024</v>
      </c>
      <c r="D76" s="26">
        <f t="shared" si="0"/>
        <v>74.8843537414966</v>
      </c>
      <c r="E76" s="42">
        <f t="shared" si="1"/>
        <v>-11076</v>
      </c>
    </row>
    <row r="77" spans="1:5" ht="18.75" customHeight="1">
      <c r="A77" s="95" t="s">
        <v>175</v>
      </c>
      <c r="B77" s="25">
        <f>SUM(B78)</f>
        <v>60000</v>
      </c>
      <c r="C77" s="25">
        <f>SUM(C78)</f>
        <v>0</v>
      </c>
      <c r="D77" s="26">
        <f>IF(B77=0,"   ",C77/B77*100)</f>
        <v>0</v>
      </c>
      <c r="E77" s="42">
        <f>C77-B77</f>
        <v>-60000</v>
      </c>
    </row>
    <row r="78" spans="1:5" ht="23.25" customHeight="1">
      <c r="A78" s="75" t="s">
        <v>176</v>
      </c>
      <c r="B78" s="25">
        <v>60000</v>
      </c>
      <c r="C78" s="25">
        <v>0</v>
      </c>
      <c r="D78" s="26">
        <f>IF(B78=0,"   ",C78/B78*100)</f>
        <v>0</v>
      </c>
      <c r="E78" s="42">
        <f>C78-B78</f>
        <v>-60000</v>
      </c>
    </row>
    <row r="79" spans="1:5" ht="18.75" customHeight="1">
      <c r="A79" s="16" t="s">
        <v>13</v>
      </c>
      <c r="B79" s="25">
        <f>SUM(B87+B80+B82+B95)</f>
        <v>829677.53</v>
      </c>
      <c r="C79" s="25">
        <f>SUM(C87+C80+C82)</f>
        <v>11743.92</v>
      </c>
      <c r="D79" s="26">
        <f t="shared" si="0"/>
        <v>1.4154800600662285</v>
      </c>
      <c r="E79" s="42">
        <f t="shared" si="1"/>
        <v>-817933.61</v>
      </c>
    </row>
    <row r="80" spans="1:5" ht="12.75" customHeight="1">
      <c r="A80" s="86" t="s">
        <v>14</v>
      </c>
      <c r="B80" s="25">
        <f>B81</f>
        <v>0</v>
      </c>
      <c r="C80" s="25">
        <f>C81</f>
        <v>0</v>
      </c>
      <c r="D80" s="26" t="str">
        <f aca="true" t="shared" si="4" ref="D80:D86">IF(B80=0,"   ",C80/B80*100)</f>
        <v>   </v>
      </c>
      <c r="E80" s="42">
        <f aca="true" t="shared" si="5" ref="E80:E86">C80-B80</f>
        <v>0</v>
      </c>
    </row>
    <row r="81" spans="1:5" ht="12.75" customHeight="1">
      <c r="A81" s="153" t="s">
        <v>170</v>
      </c>
      <c r="B81" s="25">
        <v>0</v>
      </c>
      <c r="C81" s="25">
        <v>0</v>
      </c>
      <c r="D81" s="26" t="str">
        <f t="shared" si="4"/>
        <v>   </v>
      </c>
      <c r="E81" s="42">
        <f t="shared" si="5"/>
        <v>0</v>
      </c>
    </row>
    <row r="82" spans="1:5" ht="13.5" customHeight="1">
      <c r="A82" s="86" t="s">
        <v>64</v>
      </c>
      <c r="B82" s="25">
        <f>SUM(B83:B86)</f>
        <v>102739</v>
      </c>
      <c r="C82" s="25">
        <f>C83+C85+C86</f>
        <v>0</v>
      </c>
      <c r="D82" s="26">
        <f t="shared" si="4"/>
        <v>0</v>
      </c>
      <c r="E82" s="42">
        <f t="shared" si="5"/>
        <v>-102739</v>
      </c>
    </row>
    <row r="83" spans="1:5" ht="14.25" customHeight="1">
      <c r="A83" s="153" t="s">
        <v>141</v>
      </c>
      <c r="B83" s="25">
        <v>0</v>
      </c>
      <c r="C83" s="25">
        <v>0</v>
      </c>
      <c r="D83" s="26" t="str">
        <f t="shared" si="4"/>
        <v>   </v>
      </c>
      <c r="E83" s="42">
        <f t="shared" si="5"/>
        <v>0</v>
      </c>
    </row>
    <row r="84" spans="1:5" ht="14.25" customHeight="1">
      <c r="A84" s="298" t="s">
        <v>274</v>
      </c>
      <c r="B84" s="25">
        <v>102739</v>
      </c>
      <c r="C84" s="25">
        <v>0</v>
      </c>
      <c r="D84" s="26">
        <f t="shared" si="4"/>
        <v>0</v>
      </c>
      <c r="E84" s="42">
        <f t="shared" si="5"/>
        <v>-102739</v>
      </c>
    </row>
    <row r="85" spans="1:5" ht="14.25" customHeight="1">
      <c r="A85" s="16" t="s">
        <v>283</v>
      </c>
      <c r="B85" s="25">
        <v>0</v>
      </c>
      <c r="C85" s="25">
        <v>0</v>
      </c>
      <c r="D85" s="26" t="str">
        <f t="shared" si="4"/>
        <v>   </v>
      </c>
      <c r="E85" s="42">
        <f t="shared" si="5"/>
        <v>0</v>
      </c>
    </row>
    <row r="86" spans="1:5" ht="14.25" customHeight="1">
      <c r="A86" s="16" t="s">
        <v>293</v>
      </c>
      <c r="B86" s="25">
        <v>0</v>
      </c>
      <c r="C86" s="25">
        <v>0</v>
      </c>
      <c r="D86" s="26" t="str">
        <f t="shared" si="4"/>
        <v>   </v>
      </c>
      <c r="E86" s="42">
        <f t="shared" si="5"/>
        <v>0</v>
      </c>
    </row>
    <row r="87" spans="1:5" ht="12.75">
      <c r="A87" s="16" t="s">
        <v>58</v>
      </c>
      <c r="B87" s="25">
        <f>B88+B90+B89+B91</f>
        <v>726838.53</v>
      </c>
      <c r="C87" s="25">
        <f>C88+C90+C89+C95+C91</f>
        <v>11743.92</v>
      </c>
      <c r="D87" s="26">
        <f t="shared" si="0"/>
        <v>1.6157536392574015</v>
      </c>
      <c r="E87" s="42">
        <f t="shared" si="1"/>
        <v>-715094.61</v>
      </c>
    </row>
    <row r="88" spans="1:5" ht="12.75">
      <c r="A88" s="16" t="s">
        <v>56</v>
      </c>
      <c r="B88" s="25">
        <v>187538.53</v>
      </c>
      <c r="C88" s="27">
        <v>11743.92</v>
      </c>
      <c r="D88" s="26">
        <f t="shared" si="0"/>
        <v>6.262137172558621</v>
      </c>
      <c r="E88" s="42">
        <f t="shared" si="1"/>
        <v>-175794.61</v>
      </c>
    </row>
    <row r="89" spans="1:5" ht="26.25">
      <c r="A89" s="104" t="s">
        <v>284</v>
      </c>
      <c r="B89" s="25">
        <v>0</v>
      </c>
      <c r="C89" s="27">
        <v>0</v>
      </c>
      <c r="D89" s="26" t="str">
        <f t="shared" si="0"/>
        <v>   </v>
      </c>
      <c r="E89" s="42">
        <f t="shared" si="1"/>
        <v>0</v>
      </c>
    </row>
    <row r="90" spans="1:5" ht="12.75">
      <c r="A90" s="16" t="s">
        <v>59</v>
      </c>
      <c r="B90" s="25">
        <v>539300</v>
      </c>
      <c r="C90" s="27">
        <v>0</v>
      </c>
      <c r="D90" s="26">
        <f t="shared" si="0"/>
        <v>0</v>
      </c>
      <c r="E90" s="42">
        <f t="shared" si="1"/>
        <v>-539300</v>
      </c>
    </row>
    <row r="91" spans="1:5" ht="13.5" customHeight="1">
      <c r="A91" s="104" t="s">
        <v>203</v>
      </c>
      <c r="B91" s="25">
        <f>SUM(B92:B94)</f>
        <v>0</v>
      </c>
      <c r="C91" s="25">
        <f>SUM(C92:C94)</f>
        <v>0</v>
      </c>
      <c r="D91" s="26" t="str">
        <f>IF(B91=0,"   ",C91/B91*100)</f>
        <v>   </v>
      </c>
      <c r="E91" s="42">
        <f>C91-B91</f>
        <v>0</v>
      </c>
    </row>
    <row r="92" spans="1:5" ht="26.25">
      <c r="A92" s="104" t="s">
        <v>210</v>
      </c>
      <c r="B92" s="25">
        <v>0</v>
      </c>
      <c r="C92" s="27">
        <v>0</v>
      </c>
      <c r="D92" s="26" t="str">
        <f t="shared" si="0"/>
        <v>   </v>
      </c>
      <c r="E92" s="42">
        <f t="shared" si="1"/>
        <v>0</v>
      </c>
    </row>
    <row r="93" spans="1:5" ht="26.25">
      <c r="A93" s="104" t="s">
        <v>211</v>
      </c>
      <c r="B93" s="25">
        <v>0</v>
      </c>
      <c r="C93" s="27">
        <v>0</v>
      </c>
      <c r="D93" s="26" t="str">
        <f t="shared" si="0"/>
        <v>   </v>
      </c>
      <c r="E93" s="42">
        <f t="shared" si="1"/>
        <v>0</v>
      </c>
    </row>
    <row r="94" spans="1:5" ht="27" thickBot="1">
      <c r="A94" s="104" t="s">
        <v>212</v>
      </c>
      <c r="B94" s="25">
        <v>0</v>
      </c>
      <c r="C94" s="27">
        <v>0</v>
      </c>
      <c r="D94" s="26" t="str">
        <f t="shared" si="0"/>
        <v>   </v>
      </c>
      <c r="E94" s="42">
        <f t="shared" si="1"/>
        <v>0</v>
      </c>
    </row>
    <row r="95" spans="1:5" ht="13.5" thickBot="1">
      <c r="A95" s="145" t="s">
        <v>337</v>
      </c>
      <c r="B95" s="178">
        <f>SUM(B96)</f>
        <v>100</v>
      </c>
      <c r="C95" s="178">
        <f>SUM(C96)</f>
        <v>0</v>
      </c>
      <c r="D95" s="26">
        <f t="shared" si="0"/>
        <v>0</v>
      </c>
      <c r="E95" s="42">
        <f t="shared" si="1"/>
        <v>-100</v>
      </c>
    </row>
    <row r="96" spans="1:5" ht="12.75">
      <c r="A96" s="145" t="s">
        <v>270</v>
      </c>
      <c r="B96" s="31">
        <v>100</v>
      </c>
      <c r="C96" s="70">
        <v>0</v>
      </c>
      <c r="D96" s="26">
        <f>IF(B96=0,"   ",C96/B96*100)</f>
        <v>0</v>
      </c>
      <c r="E96" s="42">
        <f>C96-B96</f>
        <v>-100</v>
      </c>
    </row>
    <row r="97" spans="1:5" ht="14.25" customHeight="1">
      <c r="A97" s="18" t="s">
        <v>17</v>
      </c>
      <c r="B97" s="31">
        <v>8000</v>
      </c>
      <c r="C97" s="31">
        <v>0</v>
      </c>
      <c r="D97" s="26">
        <f t="shared" si="0"/>
        <v>0</v>
      </c>
      <c r="E97" s="42">
        <f t="shared" si="1"/>
        <v>-8000</v>
      </c>
    </row>
    <row r="98" spans="1:5" ht="13.5" customHeight="1">
      <c r="A98" s="16" t="s">
        <v>41</v>
      </c>
      <c r="B98" s="24">
        <f>B99</f>
        <v>783600</v>
      </c>
      <c r="C98" s="24">
        <f>C99</f>
        <v>348490</v>
      </c>
      <c r="D98" s="26">
        <f t="shared" si="0"/>
        <v>44.47294538029607</v>
      </c>
      <c r="E98" s="42">
        <f t="shared" si="1"/>
        <v>-435110</v>
      </c>
    </row>
    <row r="99" spans="1:5" ht="12.75">
      <c r="A99" s="16" t="s">
        <v>42</v>
      </c>
      <c r="B99" s="25">
        <v>783600</v>
      </c>
      <c r="C99" s="27">
        <v>348490</v>
      </c>
      <c r="D99" s="26">
        <f t="shared" si="0"/>
        <v>44.47294538029607</v>
      </c>
      <c r="E99" s="42">
        <f t="shared" si="1"/>
        <v>-435110</v>
      </c>
    </row>
    <row r="100" spans="1:5" ht="18.75" customHeight="1">
      <c r="A100" s="16" t="s">
        <v>123</v>
      </c>
      <c r="B100" s="25">
        <f>SUM(B101,)</f>
        <v>20000</v>
      </c>
      <c r="C100" s="25">
        <f>SUM(C101,)</f>
        <v>10000</v>
      </c>
      <c r="D100" s="26">
        <f t="shared" si="0"/>
        <v>50</v>
      </c>
      <c r="E100" s="42">
        <f t="shared" si="1"/>
        <v>-10000</v>
      </c>
    </row>
    <row r="101" spans="1:5" ht="12.75">
      <c r="A101" s="16" t="s">
        <v>43</v>
      </c>
      <c r="B101" s="25">
        <v>20000</v>
      </c>
      <c r="C101" s="28">
        <v>10000</v>
      </c>
      <c r="D101" s="26">
        <f t="shared" si="0"/>
        <v>50</v>
      </c>
      <c r="E101" s="42">
        <f t="shared" si="1"/>
        <v>-10000</v>
      </c>
    </row>
    <row r="102" spans="1:5" ht="22.5" customHeight="1">
      <c r="A102" s="169" t="s">
        <v>15</v>
      </c>
      <c r="B102" s="147">
        <f>B50+B57+B59+B61+B79+B97+B98+B100</f>
        <v>5387378.53</v>
      </c>
      <c r="C102" s="147">
        <f>C50+C57+C59+C61+C79+C97+C98+C100</f>
        <v>905654.4600000001</v>
      </c>
      <c r="D102" s="139">
        <f>IF(B102=0,"   ",C102/B102*100)</f>
        <v>16.810670624995048</v>
      </c>
      <c r="E102" s="140">
        <f t="shared" si="1"/>
        <v>-4481724.07</v>
      </c>
    </row>
    <row r="103" spans="1:5" s="59" customFormat="1" ht="33" customHeight="1">
      <c r="A103" s="80" t="s">
        <v>303</v>
      </c>
      <c r="B103" s="80"/>
      <c r="C103" s="337"/>
      <c r="D103" s="337"/>
      <c r="E103" s="337"/>
    </row>
    <row r="104" spans="1:5" s="59" customFormat="1" ht="12" customHeight="1">
      <c r="A104" s="80" t="s">
        <v>153</v>
      </c>
      <c r="B104" s="80"/>
      <c r="C104" s="81" t="s">
        <v>304</v>
      </c>
      <c r="D104" s="82"/>
      <c r="E104" s="83"/>
    </row>
    <row r="105" spans="1:5" ht="12.75">
      <c r="A105" s="7"/>
      <c r="B105" s="7"/>
      <c r="C105" s="6"/>
      <c r="D105" s="7"/>
      <c r="E105" s="2"/>
    </row>
    <row r="106" spans="1:5" ht="12.75">
      <c r="A106" s="7"/>
      <c r="B106" s="7"/>
      <c r="C106" s="6"/>
      <c r="D106" s="7"/>
      <c r="E106" s="2"/>
    </row>
    <row r="107" spans="1:5" ht="12.75">
      <c r="A107" s="7"/>
      <c r="B107" s="7"/>
      <c r="C107" s="6"/>
      <c r="D107" s="7"/>
      <c r="E107" s="2"/>
    </row>
    <row r="108" spans="1:5" ht="12.75">
      <c r="A108" s="7"/>
      <c r="B108" s="7"/>
      <c r="C108" s="6"/>
      <c r="D108" s="7"/>
      <c r="E108" s="2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</sheetData>
  <sheetProtection/>
  <mergeCells count="2">
    <mergeCell ref="A1:E1"/>
    <mergeCell ref="C103:E103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zoomScalePageLayoutView="0" workbookViewId="0" topLeftCell="A1">
      <selection activeCell="C51" sqref="C51"/>
    </sheetView>
  </sheetViews>
  <sheetFormatPr defaultColWidth="9.00390625" defaultRowHeight="12.75"/>
  <cols>
    <col min="1" max="1" width="102.503906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7.25">
      <c r="A1" s="339" t="s">
        <v>332</v>
      </c>
      <c r="B1" s="339"/>
      <c r="C1" s="339"/>
      <c r="D1" s="339"/>
      <c r="E1" s="339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305</v>
      </c>
      <c r="C4" s="32" t="s">
        <v>323</v>
      </c>
      <c r="D4" s="19" t="s">
        <v>308</v>
      </c>
      <c r="E4" s="36" t="s">
        <v>307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46">
        <f>SUM(B8)</f>
        <v>401400</v>
      </c>
      <c r="C7" s="146">
        <f>SUM(C8)</f>
        <v>83977.64</v>
      </c>
      <c r="D7" s="26">
        <f aca="true" t="shared" si="0" ref="D7:D105">IF(B7=0,"   ",C7/B7*100)</f>
        <v>20.92118584952666</v>
      </c>
      <c r="E7" s="42">
        <f aca="true" t="shared" si="1" ref="E7:E106">C7-B7</f>
        <v>-317422.36</v>
      </c>
    </row>
    <row r="8" spans="1:5" ht="12.75">
      <c r="A8" s="16" t="s">
        <v>44</v>
      </c>
      <c r="B8" s="84">
        <v>401400</v>
      </c>
      <c r="C8" s="228">
        <v>83977.64</v>
      </c>
      <c r="D8" s="26">
        <f t="shared" si="0"/>
        <v>20.92118584952666</v>
      </c>
      <c r="E8" s="42">
        <f t="shared" si="1"/>
        <v>-317422.36</v>
      </c>
    </row>
    <row r="9" spans="1:5" ht="18" customHeight="1">
      <c r="A9" s="64" t="s">
        <v>136</v>
      </c>
      <c r="B9" s="191">
        <f>SUM(B10)</f>
        <v>915700</v>
      </c>
      <c r="C9" s="191">
        <f>SUM(C10)</f>
        <v>215109.66</v>
      </c>
      <c r="D9" s="26">
        <f t="shared" si="0"/>
        <v>23.49128098722289</v>
      </c>
      <c r="E9" s="42">
        <f t="shared" si="1"/>
        <v>-700590.34</v>
      </c>
    </row>
    <row r="10" spans="1:5" ht="12.75">
      <c r="A10" s="41" t="s">
        <v>137</v>
      </c>
      <c r="B10" s="192">
        <v>915700</v>
      </c>
      <c r="C10" s="228">
        <v>215109.66</v>
      </c>
      <c r="D10" s="26">
        <f t="shared" si="0"/>
        <v>23.49128098722289</v>
      </c>
      <c r="E10" s="42">
        <f t="shared" si="1"/>
        <v>-700590.34</v>
      </c>
    </row>
    <row r="11" spans="1:5" ht="16.5" customHeight="1">
      <c r="A11" s="16" t="s">
        <v>7</v>
      </c>
      <c r="B11" s="192">
        <f>SUM(B12:B12)</f>
        <v>55600</v>
      </c>
      <c r="C11" s="192">
        <f>C12</f>
        <v>41476.2</v>
      </c>
      <c r="D11" s="26">
        <f t="shared" si="0"/>
        <v>74.59748201438849</v>
      </c>
      <c r="E11" s="42">
        <f t="shared" si="1"/>
        <v>-14123.800000000003</v>
      </c>
    </row>
    <row r="12" spans="1:5" ht="12.75">
      <c r="A12" s="16" t="s">
        <v>26</v>
      </c>
      <c r="B12" s="192">
        <v>55600</v>
      </c>
      <c r="C12" s="228">
        <v>41476.2</v>
      </c>
      <c r="D12" s="26">
        <f t="shared" si="0"/>
        <v>74.59748201438849</v>
      </c>
      <c r="E12" s="42">
        <f t="shared" si="1"/>
        <v>-14123.800000000003</v>
      </c>
    </row>
    <row r="13" spans="1:5" ht="18" customHeight="1">
      <c r="A13" s="16" t="s">
        <v>9</v>
      </c>
      <c r="B13" s="192">
        <f>SUM(B14:B15)</f>
        <v>1032000</v>
      </c>
      <c r="C13" s="192">
        <f>SUM(C14:C15)</f>
        <v>149043.6</v>
      </c>
      <c r="D13" s="26">
        <f t="shared" si="0"/>
        <v>14.442209302325582</v>
      </c>
      <c r="E13" s="42">
        <f t="shared" si="1"/>
        <v>-882956.4</v>
      </c>
    </row>
    <row r="14" spans="1:5" ht="12.75">
      <c r="A14" s="16" t="s">
        <v>27</v>
      </c>
      <c r="B14" s="192">
        <v>640000</v>
      </c>
      <c r="C14" s="228">
        <v>24609.39</v>
      </c>
      <c r="D14" s="26">
        <f t="shared" si="0"/>
        <v>3.8452171874999994</v>
      </c>
      <c r="E14" s="42">
        <f t="shared" si="1"/>
        <v>-615390.61</v>
      </c>
    </row>
    <row r="15" spans="1:5" ht="12.75">
      <c r="A15" s="41" t="s">
        <v>159</v>
      </c>
      <c r="B15" s="192">
        <f>SUM(B16:B17)</f>
        <v>392000</v>
      </c>
      <c r="C15" s="192">
        <f>SUM(C16:C17)</f>
        <v>124434.21</v>
      </c>
      <c r="D15" s="26">
        <f t="shared" si="0"/>
        <v>31.74342091836735</v>
      </c>
      <c r="E15" s="42">
        <f t="shared" si="1"/>
        <v>-267565.79</v>
      </c>
    </row>
    <row r="16" spans="1:5" ht="12.75">
      <c r="A16" s="41" t="s">
        <v>160</v>
      </c>
      <c r="B16" s="192">
        <v>105000</v>
      </c>
      <c r="C16" s="228">
        <v>33834</v>
      </c>
      <c r="D16" s="26">
        <f t="shared" si="0"/>
        <v>32.222857142857144</v>
      </c>
      <c r="E16" s="42">
        <f t="shared" si="1"/>
        <v>-71166</v>
      </c>
    </row>
    <row r="17" spans="1:5" ht="12.75">
      <c r="A17" s="41" t="s">
        <v>161</v>
      </c>
      <c r="B17" s="192">
        <v>287000</v>
      </c>
      <c r="C17" s="228">
        <v>90600.21</v>
      </c>
      <c r="D17" s="26">
        <f t="shared" si="0"/>
        <v>31.56801742160279</v>
      </c>
      <c r="E17" s="42">
        <f t="shared" si="1"/>
        <v>-196399.78999999998</v>
      </c>
    </row>
    <row r="18" spans="1:5" ht="12.75">
      <c r="A18" s="41" t="s">
        <v>194</v>
      </c>
      <c r="B18" s="192">
        <v>0</v>
      </c>
      <c r="C18" s="228">
        <v>1000</v>
      </c>
      <c r="D18" s="26" t="str">
        <f t="shared" si="0"/>
        <v>   </v>
      </c>
      <c r="E18" s="42">
        <f t="shared" si="1"/>
        <v>1000</v>
      </c>
    </row>
    <row r="19" spans="1:5" ht="26.25" customHeight="1">
      <c r="A19" s="16" t="s">
        <v>89</v>
      </c>
      <c r="B19" s="192">
        <v>0</v>
      </c>
      <c r="C19" s="193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192">
        <f>SUM(B21:B24)</f>
        <v>56000</v>
      </c>
      <c r="C20" s="192">
        <f>SUM(C21:C24)</f>
        <v>31932.93</v>
      </c>
      <c r="D20" s="26">
        <f t="shared" si="0"/>
        <v>57.02308928571429</v>
      </c>
      <c r="E20" s="42">
        <f t="shared" si="1"/>
        <v>-24067.07</v>
      </c>
    </row>
    <row r="21" spans="1:5" ht="12.75">
      <c r="A21" s="16" t="s">
        <v>29</v>
      </c>
      <c r="B21" s="192">
        <v>0</v>
      </c>
      <c r="C21" s="193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151</v>
      </c>
      <c r="B22" s="192">
        <v>26000</v>
      </c>
      <c r="C22" s="193">
        <v>21019.35</v>
      </c>
      <c r="D22" s="26">
        <f t="shared" si="0"/>
        <v>80.84365384615384</v>
      </c>
      <c r="E22" s="42">
        <f t="shared" si="1"/>
        <v>-4980.6500000000015</v>
      </c>
    </row>
    <row r="23" spans="1:5" ht="15.75" customHeight="1">
      <c r="A23" s="16" t="s">
        <v>30</v>
      </c>
      <c r="B23" s="192">
        <v>10000</v>
      </c>
      <c r="C23" s="192">
        <v>1106.18</v>
      </c>
      <c r="D23" s="26">
        <f t="shared" si="0"/>
        <v>11.061800000000002</v>
      </c>
      <c r="E23" s="42">
        <f t="shared" si="1"/>
        <v>-8893.82</v>
      </c>
    </row>
    <row r="24" spans="1:5" ht="42" customHeight="1">
      <c r="A24" s="16" t="s">
        <v>222</v>
      </c>
      <c r="B24" s="192">
        <v>20000</v>
      </c>
      <c r="C24" s="228">
        <v>9807.4</v>
      </c>
      <c r="D24" s="26">
        <f t="shared" si="0"/>
        <v>49.037</v>
      </c>
      <c r="E24" s="42">
        <f t="shared" si="1"/>
        <v>-10192.6</v>
      </c>
    </row>
    <row r="25" spans="1:5" ht="15.75" customHeight="1">
      <c r="A25" s="39" t="s">
        <v>91</v>
      </c>
      <c r="B25" s="192">
        <v>0</v>
      </c>
      <c r="C25" s="228">
        <v>1106.18</v>
      </c>
      <c r="D25" s="26" t="str">
        <f t="shared" si="0"/>
        <v>   </v>
      </c>
      <c r="E25" s="42">
        <f t="shared" si="1"/>
        <v>1106.18</v>
      </c>
    </row>
    <row r="26" spans="1:5" ht="15" customHeight="1">
      <c r="A26" s="16" t="s">
        <v>78</v>
      </c>
      <c r="B26" s="192">
        <f>SUM(B27:B28)</f>
        <v>119000</v>
      </c>
      <c r="C26" s="192">
        <f>SUM(C27:C28)</f>
        <v>119343</v>
      </c>
      <c r="D26" s="26">
        <f t="shared" si="0"/>
        <v>100.28823529411765</v>
      </c>
      <c r="E26" s="42">
        <f t="shared" si="1"/>
        <v>343</v>
      </c>
    </row>
    <row r="27" spans="1:5" ht="13.5" customHeight="1">
      <c r="A27" s="41" t="s">
        <v>133</v>
      </c>
      <c r="B27" s="192">
        <v>119000</v>
      </c>
      <c r="C27" s="228">
        <v>119343</v>
      </c>
      <c r="D27" s="26">
        <f t="shared" si="0"/>
        <v>100.28823529411765</v>
      </c>
      <c r="E27" s="42">
        <f t="shared" si="1"/>
        <v>343</v>
      </c>
    </row>
    <row r="28" spans="1:5" ht="26.25" customHeight="1">
      <c r="A28" s="16" t="s">
        <v>79</v>
      </c>
      <c r="B28" s="192">
        <v>0</v>
      </c>
      <c r="C28" s="228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192">
        <v>0</v>
      </c>
      <c r="C29" s="192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192">
        <f>B31+B32</f>
        <v>0</v>
      </c>
      <c r="C30" s="191">
        <f>C31+C32</f>
        <v>-7.34</v>
      </c>
      <c r="D30" s="26" t="str">
        <f t="shared" si="0"/>
        <v>   </v>
      </c>
      <c r="E30" s="42">
        <f t="shared" si="1"/>
        <v>-7.34</v>
      </c>
    </row>
    <row r="31" spans="1:5" ht="13.5" customHeight="1">
      <c r="A31" s="16" t="s">
        <v>125</v>
      </c>
      <c r="B31" s="192">
        <v>0</v>
      </c>
      <c r="C31" s="193">
        <v>-7.34</v>
      </c>
      <c r="D31" s="26" t="str">
        <f t="shared" si="0"/>
        <v>   </v>
      </c>
      <c r="E31" s="42">
        <f t="shared" si="1"/>
        <v>-7.34</v>
      </c>
    </row>
    <row r="32" spans="1:5" ht="13.5" customHeight="1">
      <c r="A32" s="16" t="s">
        <v>128</v>
      </c>
      <c r="B32" s="192">
        <v>0</v>
      </c>
      <c r="C32" s="193">
        <v>0</v>
      </c>
      <c r="D32" s="26"/>
      <c r="E32" s="42">
        <f t="shared" si="1"/>
        <v>0</v>
      </c>
    </row>
    <row r="33" spans="1:5" ht="25.5" customHeight="1">
      <c r="A33" s="169" t="s">
        <v>10</v>
      </c>
      <c r="B33" s="171">
        <f>SUM(B7,B9,B11,B13,B19,B20,B25,B26,B29,B30,B18)</f>
        <v>2579700</v>
      </c>
      <c r="C33" s="171">
        <f>SUM(C7,C9,C11,C13,C19,C20,C25,C26,C29,C30,C18)</f>
        <v>642981.87</v>
      </c>
      <c r="D33" s="139">
        <f t="shared" si="0"/>
        <v>24.92467612513083</v>
      </c>
      <c r="E33" s="140">
        <f t="shared" si="1"/>
        <v>-1936718.13</v>
      </c>
    </row>
    <row r="34" spans="1:5" ht="18.75" customHeight="1">
      <c r="A34" s="177" t="s">
        <v>139</v>
      </c>
      <c r="B34" s="182">
        <f>SUM(B35:B38,B42:B43,B48,B49,B50,B41)</f>
        <v>6359359.45</v>
      </c>
      <c r="C34" s="182">
        <f>SUM(C35:C38,C43:C43,C48,C49,C50,C41)</f>
        <v>1387338.29</v>
      </c>
      <c r="D34" s="139">
        <f t="shared" si="0"/>
        <v>21.81569230215474</v>
      </c>
      <c r="E34" s="140">
        <f t="shared" si="1"/>
        <v>-4972021.16</v>
      </c>
    </row>
    <row r="35" spans="1:5" ht="16.5" customHeight="1">
      <c r="A35" s="17" t="s">
        <v>34</v>
      </c>
      <c r="B35" s="157">
        <v>4436700</v>
      </c>
      <c r="C35" s="228">
        <v>1109160</v>
      </c>
      <c r="D35" s="26">
        <f t="shared" si="0"/>
        <v>24.99966191087971</v>
      </c>
      <c r="E35" s="42">
        <f t="shared" si="1"/>
        <v>-3327540</v>
      </c>
    </row>
    <row r="36" spans="1:5" ht="16.5" customHeight="1">
      <c r="A36" s="17" t="s">
        <v>225</v>
      </c>
      <c r="B36" s="157">
        <v>0</v>
      </c>
      <c r="C36" s="228">
        <v>0</v>
      </c>
      <c r="D36" s="26" t="str">
        <f>IF(B36=0,"   ",C36/B36*100)</f>
        <v>   </v>
      </c>
      <c r="E36" s="42">
        <f>C36-B36</f>
        <v>0</v>
      </c>
    </row>
    <row r="37" spans="1:5" ht="24.75" customHeight="1">
      <c r="A37" s="132" t="s">
        <v>51</v>
      </c>
      <c r="B37" s="133">
        <v>207400</v>
      </c>
      <c r="C37" s="228">
        <v>39000</v>
      </c>
      <c r="D37" s="134">
        <f t="shared" si="0"/>
        <v>18.80424300867888</v>
      </c>
      <c r="E37" s="135">
        <f t="shared" si="1"/>
        <v>-168400</v>
      </c>
    </row>
    <row r="38" spans="1:5" ht="24.75" customHeight="1">
      <c r="A38" s="108" t="s">
        <v>147</v>
      </c>
      <c r="B38" s="133">
        <f>SUM(B39:B40)</f>
        <v>200</v>
      </c>
      <c r="C38" s="133">
        <f>SUM(C39:C40)</f>
        <v>0</v>
      </c>
      <c r="D38" s="134">
        <f t="shared" si="0"/>
        <v>0</v>
      </c>
      <c r="E38" s="135">
        <f t="shared" si="1"/>
        <v>-200</v>
      </c>
    </row>
    <row r="39" spans="1:5" ht="12.75" customHeight="1">
      <c r="A39" s="108" t="s">
        <v>162</v>
      </c>
      <c r="B39" s="133">
        <v>200</v>
      </c>
      <c r="C39" s="133">
        <v>0</v>
      </c>
      <c r="D39" s="134">
        <f>IF(B39=0,"   ",C39/B39*100)</f>
        <v>0</v>
      </c>
      <c r="E39" s="135">
        <f>C39-B39</f>
        <v>-200</v>
      </c>
    </row>
    <row r="40" spans="1:5" ht="24.75" customHeight="1">
      <c r="A40" s="108" t="s">
        <v>163</v>
      </c>
      <c r="B40" s="133">
        <v>0</v>
      </c>
      <c r="C40" s="133">
        <v>0</v>
      </c>
      <c r="D40" s="134" t="str">
        <f>IF(B40=0,"   ",C40/B40*100)</f>
        <v>   </v>
      </c>
      <c r="E40" s="135">
        <f>C40-B40</f>
        <v>0</v>
      </c>
    </row>
    <row r="41" spans="1:5" ht="54" customHeight="1">
      <c r="A41" s="16" t="s">
        <v>234</v>
      </c>
      <c r="B41" s="133">
        <v>716900</v>
      </c>
      <c r="C41" s="133">
        <v>0</v>
      </c>
      <c r="D41" s="134">
        <f>IF(B41=0,"   ",C41/B41*100)</f>
        <v>0</v>
      </c>
      <c r="E41" s="135">
        <f>C41-B41</f>
        <v>-716900</v>
      </c>
    </row>
    <row r="42" spans="1:5" ht="31.5" customHeight="1">
      <c r="A42" s="16" t="s">
        <v>261</v>
      </c>
      <c r="B42" s="133">
        <v>0</v>
      </c>
      <c r="C42" s="133">
        <v>0</v>
      </c>
      <c r="D42" s="134" t="str">
        <f>IF(B42=0,"   ",C42/B42*100)</f>
        <v>   </v>
      </c>
      <c r="E42" s="135">
        <f>C42-B42</f>
        <v>0</v>
      </c>
    </row>
    <row r="43" spans="1:5" ht="18" customHeight="1">
      <c r="A43" s="16" t="s">
        <v>55</v>
      </c>
      <c r="B43" s="162">
        <f>SUM(B44:B47)</f>
        <v>906742.74</v>
      </c>
      <c r="C43" s="162">
        <f>SUM(C44:C47)</f>
        <v>262238</v>
      </c>
      <c r="D43" s="26">
        <f t="shared" si="0"/>
        <v>28.92088223391786</v>
      </c>
      <c r="E43" s="42">
        <f t="shared" si="1"/>
        <v>-644504.74</v>
      </c>
    </row>
    <row r="44" spans="1:5" ht="24.75" customHeight="1">
      <c r="A44" s="46" t="s">
        <v>186</v>
      </c>
      <c r="B44" s="162">
        <v>275042.74</v>
      </c>
      <c r="C44" s="162">
        <v>0</v>
      </c>
      <c r="D44" s="26">
        <f t="shared" si="0"/>
        <v>0</v>
      </c>
      <c r="E44" s="42">
        <f t="shared" si="1"/>
        <v>-275042.74</v>
      </c>
    </row>
    <row r="45" spans="1:5" ht="16.5" customHeight="1">
      <c r="A45" s="46" t="s">
        <v>311</v>
      </c>
      <c r="B45" s="162">
        <v>80000</v>
      </c>
      <c r="C45" s="162">
        <v>0</v>
      </c>
      <c r="D45" s="26">
        <f t="shared" si="0"/>
        <v>0</v>
      </c>
      <c r="E45" s="42">
        <f t="shared" si="1"/>
        <v>-80000</v>
      </c>
    </row>
    <row r="46" spans="1:5" ht="18" customHeight="1">
      <c r="A46" s="46" t="s">
        <v>278</v>
      </c>
      <c r="B46" s="162">
        <v>0</v>
      </c>
      <c r="C46" s="162">
        <v>0</v>
      </c>
      <c r="D46" s="26" t="str">
        <f t="shared" si="0"/>
        <v>   </v>
      </c>
      <c r="E46" s="42">
        <f t="shared" si="1"/>
        <v>0</v>
      </c>
    </row>
    <row r="47" spans="1:5" s="7" customFormat="1" ht="15.75" customHeight="1">
      <c r="A47" s="16" t="s">
        <v>108</v>
      </c>
      <c r="B47" s="162">
        <v>551700</v>
      </c>
      <c r="C47" s="162">
        <v>262238</v>
      </c>
      <c r="D47" s="47">
        <f t="shared" si="0"/>
        <v>47.53271705637122</v>
      </c>
      <c r="E47" s="40">
        <f t="shared" si="1"/>
        <v>-289462</v>
      </c>
    </row>
    <row r="48" spans="1:5" ht="39" customHeight="1">
      <c r="A48" s="16" t="s">
        <v>286</v>
      </c>
      <c r="B48" s="162">
        <v>0</v>
      </c>
      <c r="C48" s="162">
        <v>0</v>
      </c>
      <c r="D48" s="26" t="str">
        <f t="shared" si="0"/>
        <v>   </v>
      </c>
      <c r="E48" s="42">
        <f t="shared" si="1"/>
        <v>0</v>
      </c>
    </row>
    <row r="49" spans="1:5" ht="30" customHeight="1">
      <c r="A49" s="141" t="s">
        <v>280</v>
      </c>
      <c r="B49" s="162">
        <v>0</v>
      </c>
      <c r="C49" s="162">
        <v>0</v>
      </c>
      <c r="D49" s="26" t="str">
        <f t="shared" si="0"/>
        <v>   </v>
      </c>
      <c r="E49" s="42">
        <f t="shared" si="1"/>
        <v>0</v>
      </c>
    </row>
    <row r="50" spans="1:5" ht="24.75" customHeight="1">
      <c r="A50" s="16" t="s">
        <v>196</v>
      </c>
      <c r="B50" s="162">
        <v>91416.71</v>
      </c>
      <c r="C50" s="162">
        <v>-23059.71</v>
      </c>
      <c r="D50" s="26">
        <f t="shared" si="0"/>
        <v>-25.224830340098652</v>
      </c>
      <c r="E50" s="42">
        <f t="shared" si="1"/>
        <v>-114476.42000000001</v>
      </c>
    </row>
    <row r="51" spans="1:5" ht="33" customHeight="1">
      <c r="A51" s="169" t="s">
        <v>11</v>
      </c>
      <c r="B51" s="147">
        <f>SUM(B33,B34,)</f>
        <v>8939059.45</v>
      </c>
      <c r="C51" s="147">
        <f>SUM(C33,C34,)</f>
        <v>2030320.1600000001</v>
      </c>
      <c r="D51" s="139">
        <f t="shared" si="0"/>
        <v>22.71290588631224</v>
      </c>
      <c r="E51" s="140">
        <f t="shared" si="1"/>
        <v>-6908739.289999999</v>
      </c>
    </row>
    <row r="52" spans="1:5" ht="12.75" customHeight="1">
      <c r="A52" s="22" t="s">
        <v>12</v>
      </c>
      <c r="B52" s="44"/>
      <c r="C52" s="45"/>
      <c r="D52" s="26" t="str">
        <f t="shared" si="0"/>
        <v>   </v>
      </c>
      <c r="E52" s="42"/>
    </row>
    <row r="53" spans="1:5" ht="24" customHeight="1">
      <c r="A53" s="16" t="s">
        <v>35</v>
      </c>
      <c r="B53" s="25">
        <f>SUM(B54,B56,B57)</f>
        <v>1350314</v>
      </c>
      <c r="C53" s="25">
        <f>SUM(C54,C56,C57)</f>
        <v>266305.2</v>
      </c>
      <c r="D53" s="26">
        <f t="shared" si="0"/>
        <v>19.721723984199233</v>
      </c>
      <c r="E53" s="42">
        <f t="shared" si="1"/>
        <v>-1084008.8</v>
      </c>
    </row>
    <row r="54" spans="1:5" ht="12.75" customHeight="1">
      <c r="A54" s="16" t="s">
        <v>36</v>
      </c>
      <c r="B54" s="25">
        <v>1309814</v>
      </c>
      <c r="C54" s="25">
        <v>241305.2</v>
      </c>
      <c r="D54" s="26">
        <f t="shared" si="0"/>
        <v>18.422860039669757</v>
      </c>
      <c r="E54" s="42">
        <f t="shared" si="1"/>
        <v>-1068508.8</v>
      </c>
    </row>
    <row r="55" spans="1:5" ht="12.75">
      <c r="A55" s="85" t="s">
        <v>120</v>
      </c>
      <c r="B55" s="25">
        <v>778418</v>
      </c>
      <c r="C55" s="28">
        <v>164672.8</v>
      </c>
      <c r="D55" s="26">
        <f t="shared" si="0"/>
        <v>21.154803717283</v>
      </c>
      <c r="E55" s="42">
        <f t="shared" si="1"/>
        <v>-613745.2</v>
      </c>
    </row>
    <row r="56" spans="1:5" ht="12.75">
      <c r="A56" s="16" t="s">
        <v>94</v>
      </c>
      <c r="B56" s="25">
        <v>500</v>
      </c>
      <c r="C56" s="27">
        <v>0</v>
      </c>
      <c r="D56" s="26">
        <f t="shared" si="0"/>
        <v>0</v>
      </c>
      <c r="E56" s="42">
        <f t="shared" si="1"/>
        <v>-500</v>
      </c>
    </row>
    <row r="57" spans="1:5" ht="12.75">
      <c r="A57" s="16" t="s">
        <v>52</v>
      </c>
      <c r="B57" s="27">
        <f>SUM(B58)</f>
        <v>40000</v>
      </c>
      <c r="C57" s="27">
        <f>SUM(C58:C58)</f>
        <v>25000</v>
      </c>
      <c r="D57" s="26">
        <f t="shared" si="0"/>
        <v>62.5</v>
      </c>
      <c r="E57" s="42">
        <f t="shared" si="1"/>
        <v>-15000</v>
      </c>
    </row>
    <row r="58" spans="1:5" ht="25.5" customHeight="1">
      <c r="A58" s="104" t="s">
        <v>240</v>
      </c>
      <c r="B58" s="25">
        <v>40000</v>
      </c>
      <c r="C58" s="27">
        <v>25000</v>
      </c>
      <c r="D58" s="26">
        <f t="shared" si="0"/>
        <v>62.5</v>
      </c>
      <c r="E58" s="42">
        <f t="shared" si="1"/>
        <v>-15000</v>
      </c>
    </row>
    <row r="59" spans="1:5" ht="22.5" customHeight="1">
      <c r="A59" s="16" t="s">
        <v>49</v>
      </c>
      <c r="B59" s="27">
        <f>SUM(B60)</f>
        <v>207400</v>
      </c>
      <c r="C59" s="27">
        <f>SUM(C60)</f>
        <v>37310.38</v>
      </c>
      <c r="D59" s="26">
        <f t="shared" si="0"/>
        <v>17.98957569913211</v>
      </c>
      <c r="E59" s="42">
        <f t="shared" si="1"/>
        <v>-170089.62</v>
      </c>
    </row>
    <row r="60" spans="1:5" ht="12" customHeight="1">
      <c r="A60" s="16" t="s">
        <v>106</v>
      </c>
      <c r="B60" s="25">
        <v>207400</v>
      </c>
      <c r="C60" s="27">
        <v>37310.38</v>
      </c>
      <c r="D60" s="26">
        <f t="shared" si="0"/>
        <v>17.98957569913211</v>
      </c>
      <c r="E60" s="42">
        <f t="shared" si="1"/>
        <v>-170089.62</v>
      </c>
    </row>
    <row r="61" spans="1:5" ht="16.5" customHeight="1">
      <c r="A61" s="16" t="s">
        <v>37</v>
      </c>
      <c r="B61" s="25">
        <f>SUM(B62)</f>
        <v>5000</v>
      </c>
      <c r="C61" s="27">
        <f>SUM(C62)</f>
        <v>0</v>
      </c>
      <c r="D61" s="26">
        <f t="shared" si="0"/>
        <v>0</v>
      </c>
      <c r="E61" s="42">
        <f t="shared" si="1"/>
        <v>-5000</v>
      </c>
    </row>
    <row r="62" spans="1:5" ht="16.5" customHeight="1">
      <c r="A62" s="41" t="s">
        <v>127</v>
      </c>
      <c r="B62" s="25">
        <v>5000</v>
      </c>
      <c r="C62" s="27">
        <v>0</v>
      </c>
      <c r="D62" s="26">
        <f t="shared" si="0"/>
        <v>0</v>
      </c>
      <c r="E62" s="42">
        <f t="shared" si="1"/>
        <v>-5000</v>
      </c>
    </row>
    <row r="63" spans="1:5" ht="21.75" customHeight="1">
      <c r="A63" s="16" t="s">
        <v>38</v>
      </c>
      <c r="B63" s="27">
        <f>B69+B64+B77</f>
        <v>2422798.68</v>
      </c>
      <c r="C63" s="27">
        <f>C69+C64+C77</f>
        <v>306248</v>
      </c>
      <c r="D63" s="26">
        <f t="shared" si="0"/>
        <v>12.64025783603283</v>
      </c>
      <c r="E63" s="42">
        <f t="shared" si="1"/>
        <v>-2116550.68</v>
      </c>
    </row>
    <row r="64" spans="1:5" ht="21.75" customHeight="1">
      <c r="A64" s="75" t="s">
        <v>164</v>
      </c>
      <c r="B64" s="25">
        <f>SUM(B65:B68)</f>
        <v>89200</v>
      </c>
      <c r="C64" s="25">
        <f>SUM(C65:C68)</f>
        <v>0</v>
      </c>
      <c r="D64" s="26">
        <f>IF(B64=0,"   ",C64/B64*100)</f>
        <v>0</v>
      </c>
      <c r="E64" s="42">
        <f>C64-B64</f>
        <v>-89200</v>
      </c>
    </row>
    <row r="65" spans="1:5" ht="21.75" customHeight="1">
      <c r="A65" s="75" t="s">
        <v>165</v>
      </c>
      <c r="B65" s="25">
        <v>0</v>
      </c>
      <c r="C65" s="125">
        <v>0</v>
      </c>
      <c r="D65" s="26" t="str">
        <f>IF(B65=0,"   ",C65/B65*100)</f>
        <v>   </v>
      </c>
      <c r="E65" s="42">
        <f>C65-B65</f>
        <v>0</v>
      </c>
    </row>
    <row r="66" spans="1:5" ht="21.75" customHeight="1">
      <c r="A66" s="75" t="s">
        <v>168</v>
      </c>
      <c r="B66" s="117">
        <v>0</v>
      </c>
      <c r="C66" s="125">
        <v>0</v>
      </c>
      <c r="D66" s="26" t="str">
        <f>IF(B66=0,"   ",C66/B66*100)</f>
        <v>   </v>
      </c>
      <c r="E66" s="42">
        <f>C66-B66</f>
        <v>0</v>
      </c>
    </row>
    <row r="67" spans="1:5" ht="21.75" customHeight="1">
      <c r="A67" s="75" t="s">
        <v>312</v>
      </c>
      <c r="B67" s="117">
        <v>80000</v>
      </c>
      <c r="C67" s="125">
        <v>0</v>
      </c>
      <c r="D67" s="26">
        <f>IF(B67=0,"   ",C67/B67*100)</f>
        <v>0</v>
      </c>
      <c r="E67" s="42">
        <f>C67-B67</f>
        <v>-80000</v>
      </c>
    </row>
    <row r="68" spans="1:5" ht="21.75" customHeight="1">
      <c r="A68" s="75" t="s">
        <v>313</v>
      </c>
      <c r="B68" s="117">
        <v>9200</v>
      </c>
      <c r="C68" s="125">
        <v>0</v>
      </c>
      <c r="D68" s="26">
        <f>IF(B68=0,"   ",C68/B68*100)</f>
        <v>0</v>
      </c>
      <c r="E68" s="42">
        <f>C68-B68</f>
        <v>-9200</v>
      </c>
    </row>
    <row r="69" spans="1:5" ht="12" customHeight="1">
      <c r="A69" s="95" t="s">
        <v>130</v>
      </c>
      <c r="B69" s="117">
        <f>SUM(B70:B76)</f>
        <v>2184300</v>
      </c>
      <c r="C69" s="117">
        <f>SUM(C70:C76)</f>
        <v>306248</v>
      </c>
      <c r="D69" s="26">
        <f t="shared" si="0"/>
        <v>14.020418440690383</v>
      </c>
      <c r="E69" s="42">
        <f t="shared" si="1"/>
        <v>-1878052</v>
      </c>
    </row>
    <row r="70" spans="1:5" ht="27" customHeight="1">
      <c r="A70" s="75" t="s">
        <v>148</v>
      </c>
      <c r="B70" s="25">
        <v>30000</v>
      </c>
      <c r="C70" s="27">
        <v>0</v>
      </c>
      <c r="D70" s="26">
        <f t="shared" si="0"/>
        <v>0</v>
      </c>
      <c r="E70" s="42">
        <f t="shared" si="1"/>
        <v>-30000</v>
      </c>
    </row>
    <row r="71" spans="1:5" ht="30.75" customHeight="1">
      <c r="A71" s="71" t="s">
        <v>245</v>
      </c>
      <c r="B71" s="25">
        <v>744700</v>
      </c>
      <c r="C71" s="27">
        <v>14873</v>
      </c>
      <c r="D71" s="26">
        <f t="shared" si="0"/>
        <v>1.9971800725124211</v>
      </c>
      <c r="E71" s="42">
        <f t="shared" si="1"/>
        <v>-729827</v>
      </c>
    </row>
    <row r="72" spans="1:5" ht="29.25" customHeight="1">
      <c r="A72" s="71" t="s">
        <v>246</v>
      </c>
      <c r="B72" s="25">
        <v>0</v>
      </c>
      <c r="C72" s="27">
        <v>0</v>
      </c>
      <c r="D72" s="26" t="str">
        <f t="shared" si="0"/>
        <v>   </v>
      </c>
      <c r="E72" s="42">
        <f t="shared" si="1"/>
        <v>0</v>
      </c>
    </row>
    <row r="73" spans="1:5" ht="27" customHeight="1">
      <c r="A73" s="71" t="s">
        <v>247</v>
      </c>
      <c r="B73" s="25">
        <v>716900</v>
      </c>
      <c r="C73" s="27">
        <v>0</v>
      </c>
      <c r="D73" s="26">
        <f t="shared" si="0"/>
        <v>0</v>
      </c>
      <c r="E73" s="42">
        <f t="shared" si="1"/>
        <v>-716900</v>
      </c>
    </row>
    <row r="74" spans="1:5" ht="27" customHeight="1">
      <c r="A74" s="71" t="s">
        <v>248</v>
      </c>
      <c r="B74" s="113">
        <v>79700</v>
      </c>
      <c r="C74" s="27">
        <v>0</v>
      </c>
      <c r="D74" s="26">
        <f t="shared" si="0"/>
        <v>0</v>
      </c>
      <c r="E74" s="42">
        <f t="shared" si="1"/>
        <v>-79700</v>
      </c>
    </row>
    <row r="75" spans="1:5" ht="27" customHeight="1">
      <c r="A75" s="71" t="s">
        <v>249</v>
      </c>
      <c r="B75" s="113">
        <v>551700</v>
      </c>
      <c r="C75" s="27">
        <v>262238</v>
      </c>
      <c r="D75" s="26">
        <f t="shared" si="0"/>
        <v>47.53271705637122</v>
      </c>
      <c r="E75" s="42">
        <f t="shared" si="1"/>
        <v>-289462</v>
      </c>
    </row>
    <row r="76" spans="1:5" ht="27" customHeight="1">
      <c r="A76" s="145" t="s">
        <v>250</v>
      </c>
      <c r="B76" s="113">
        <v>61300</v>
      </c>
      <c r="C76" s="27">
        <v>29137</v>
      </c>
      <c r="D76" s="26">
        <f t="shared" si="0"/>
        <v>47.531810766721044</v>
      </c>
      <c r="E76" s="42">
        <f t="shared" si="1"/>
        <v>-32163</v>
      </c>
    </row>
    <row r="77" spans="1:5" ht="17.25" customHeight="1">
      <c r="A77" s="145" t="s">
        <v>175</v>
      </c>
      <c r="B77" s="113">
        <f>SUM(B78:B79)</f>
        <v>149298.68</v>
      </c>
      <c r="C77" s="113">
        <f>SUM(C78:C79)</f>
        <v>0</v>
      </c>
      <c r="D77" s="26">
        <f>IF(B77=0,"   ",C77/B77*100)</f>
        <v>0</v>
      </c>
      <c r="E77" s="42">
        <f>C77-B77</f>
        <v>-149298.68</v>
      </c>
    </row>
    <row r="78" spans="1:5" ht="33" customHeight="1">
      <c r="A78" s="144" t="s">
        <v>154</v>
      </c>
      <c r="B78" s="113">
        <v>99298.68</v>
      </c>
      <c r="C78" s="27">
        <v>0</v>
      </c>
      <c r="D78" s="26">
        <f>IF(B78=0,"   ",C78/B78*100)</f>
        <v>0</v>
      </c>
      <c r="E78" s="42">
        <f>C78-B78</f>
        <v>-99298.68</v>
      </c>
    </row>
    <row r="79" spans="1:5" ht="27" customHeight="1">
      <c r="A79" s="145" t="s">
        <v>176</v>
      </c>
      <c r="B79" s="113">
        <v>50000</v>
      </c>
      <c r="C79" s="27">
        <v>0</v>
      </c>
      <c r="D79" s="26">
        <f>IF(B79=0,"   ",C79/B79*100)</f>
        <v>0</v>
      </c>
      <c r="E79" s="42">
        <f>C79-B79</f>
        <v>-50000</v>
      </c>
    </row>
    <row r="80" spans="1:5" ht="20.25" customHeight="1">
      <c r="A80" s="16" t="s">
        <v>13</v>
      </c>
      <c r="B80" s="25">
        <f>SUM(B81,B83,B91,B99)</f>
        <v>2754222.98</v>
      </c>
      <c r="C80" s="25">
        <f>SUM(C81,C83,C91,)</f>
        <v>286797.58999999997</v>
      </c>
      <c r="D80" s="26">
        <f t="shared" si="0"/>
        <v>10.413012747428313</v>
      </c>
      <c r="E80" s="42">
        <f t="shared" si="1"/>
        <v>-2467425.39</v>
      </c>
    </row>
    <row r="81" spans="1:5" ht="12.75">
      <c r="A81" s="16" t="s">
        <v>14</v>
      </c>
      <c r="B81" s="25">
        <f>SUM(B82:B82)</f>
        <v>330000</v>
      </c>
      <c r="C81" s="25">
        <f>SUM(C82:C82)</f>
        <v>0</v>
      </c>
      <c r="D81" s="26">
        <f t="shared" si="0"/>
        <v>0</v>
      </c>
      <c r="E81" s="42">
        <f t="shared" si="1"/>
        <v>-330000</v>
      </c>
    </row>
    <row r="82" spans="1:5" ht="15.75" customHeight="1">
      <c r="A82" s="16" t="s">
        <v>97</v>
      </c>
      <c r="B82" s="25">
        <v>330000</v>
      </c>
      <c r="C82" s="27">
        <v>0</v>
      </c>
      <c r="D82" s="26">
        <f t="shared" si="0"/>
        <v>0</v>
      </c>
      <c r="E82" s="42">
        <f t="shared" si="1"/>
        <v>-330000</v>
      </c>
    </row>
    <row r="83" spans="1:5" ht="12.75">
      <c r="A83" s="16" t="s">
        <v>90</v>
      </c>
      <c r="B83" s="25">
        <f>SUM(B84:B87)</f>
        <v>643494.58</v>
      </c>
      <c r="C83" s="25">
        <f>SUM(C84:C87)</f>
        <v>30000</v>
      </c>
      <c r="D83" s="26">
        <f t="shared" si="0"/>
        <v>4.662043928948089</v>
      </c>
      <c r="E83" s="42">
        <f t="shared" si="1"/>
        <v>-613494.58</v>
      </c>
    </row>
    <row r="84" spans="1:5" ht="12.75">
      <c r="A84" s="16" t="s">
        <v>283</v>
      </c>
      <c r="B84" s="25">
        <v>0</v>
      </c>
      <c r="C84" s="25">
        <v>0</v>
      </c>
      <c r="D84" s="26" t="str">
        <f aca="true" t="shared" si="2" ref="D84:D89">IF(B84=0,"   ",C84/B84*100)</f>
        <v>   </v>
      </c>
      <c r="E84" s="42">
        <f aca="true" t="shared" si="3" ref="E84:E89">C84-B84</f>
        <v>0</v>
      </c>
    </row>
    <row r="85" spans="1:5" ht="12.75">
      <c r="A85" s="16" t="s">
        <v>293</v>
      </c>
      <c r="B85" s="25">
        <v>155090</v>
      </c>
      <c r="C85" s="25">
        <v>0</v>
      </c>
      <c r="D85" s="26">
        <f t="shared" si="2"/>
        <v>0</v>
      </c>
      <c r="E85" s="42">
        <f t="shared" si="3"/>
        <v>-155090</v>
      </c>
    </row>
    <row r="86" spans="1:5" ht="13.5">
      <c r="A86" s="298" t="s">
        <v>158</v>
      </c>
      <c r="B86" s="25">
        <v>30000</v>
      </c>
      <c r="C86" s="25">
        <v>30000</v>
      </c>
      <c r="D86" s="26">
        <f t="shared" si="2"/>
        <v>100</v>
      </c>
      <c r="E86" s="42">
        <f t="shared" si="3"/>
        <v>0</v>
      </c>
    </row>
    <row r="87" spans="1:5" ht="26.25">
      <c r="A87" s="104" t="s">
        <v>203</v>
      </c>
      <c r="B87" s="25">
        <f>SUM(B88:B90)</f>
        <v>458404.57999999996</v>
      </c>
      <c r="C87" s="25">
        <f>SUM(C88:C90)</f>
        <v>0</v>
      </c>
      <c r="D87" s="26">
        <f t="shared" si="2"/>
        <v>0</v>
      </c>
      <c r="E87" s="42">
        <f t="shared" si="3"/>
        <v>-458404.57999999996</v>
      </c>
    </row>
    <row r="88" spans="1:5" ht="26.25">
      <c r="A88" s="104" t="s">
        <v>210</v>
      </c>
      <c r="B88" s="25">
        <v>275042.74</v>
      </c>
      <c r="C88" s="25">
        <v>0</v>
      </c>
      <c r="D88" s="26">
        <f t="shared" si="2"/>
        <v>0</v>
      </c>
      <c r="E88" s="42">
        <f t="shared" si="3"/>
        <v>-275042.74</v>
      </c>
    </row>
    <row r="89" spans="1:5" ht="26.25">
      <c r="A89" s="104" t="s">
        <v>211</v>
      </c>
      <c r="B89" s="25">
        <v>91680.92</v>
      </c>
      <c r="C89" s="25">
        <v>0</v>
      </c>
      <c r="D89" s="26">
        <f t="shared" si="2"/>
        <v>0</v>
      </c>
      <c r="E89" s="42">
        <f t="shared" si="3"/>
        <v>-91680.92</v>
      </c>
    </row>
    <row r="90" spans="1:5" ht="26.25">
      <c r="A90" s="104" t="s">
        <v>212</v>
      </c>
      <c r="B90" s="25">
        <v>91680.92</v>
      </c>
      <c r="C90" s="27">
        <v>0</v>
      </c>
      <c r="D90" s="26">
        <f t="shared" si="0"/>
        <v>0</v>
      </c>
      <c r="E90" s="42">
        <f t="shared" si="1"/>
        <v>-91680.92</v>
      </c>
    </row>
    <row r="91" spans="1:5" ht="12.75">
      <c r="A91" s="16" t="s">
        <v>69</v>
      </c>
      <c r="B91" s="25">
        <f>B92+B93+B95+B94</f>
        <v>1780528.4</v>
      </c>
      <c r="C91" s="25">
        <f>C92+C93+C95+C94</f>
        <v>256797.59</v>
      </c>
      <c r="D91" s="26">
        <f t="shared" si="0"/>
        <v>14.422549508336962</v>
      </c>
      <c r="E91" s="42">
        <f t="shared" si="1"/>
        <v>-1523730.8099999998</v>
      </c>
    </row>
    <row r="92" spans="1:5" ht="12.75">
      <c r="A92" s="16" t="s">
        <v>56</v>
      </c>
      <c r="B92" s="25">
        <v>900000</v>
      </c>
      <c r="C92" s="27">
        <v>256797.59</v>
      </c>
      <c r="D92" s="26">
        <f t="shared" si="0"/>
        <v>28.533065555555552</v>
      </c>
      <c r="E92" s="42">
        <f t="shared" si="1"/>
        <v>-643202.41</v>
      </c>
    </row>
    <row r="93" spans="1:5" ht="12.75">
      <c r="A93" s="16" t="s">
        <v>57</v>
      </c>
      <c r="B93" s="25">
        <v>880528.4</v>
      </c>
      <c r="C93" s="27">
        <v>0</v>
      </c>
      <c r="D93" s="26">
        <f t="shared" si="0"/>
        <v>0</v>
      </c>
      <c r="E93" s="42">
        <f t="shared" si="1"/>
        <v>-880528.4</v>
      </c>
    </row>
    <row r="94" spans="1:5" ht="26.25">
      <c r="A94" s="104" t="s">
        <v>284</v>
      </c>
      <c r="B94" s="25">
        <v>0</v>
      </c>
      <c r="C94" s="27">
        <v>0</v>
      </c>
      <c r="D94" s="26" t="str">
        <f t="shared" si="0"/>
        <v>   </v>
      </c>
      <c r="E94" s="42">
        <f t="shared" si="1"/>
        <v>0</v>
      </c>
    </row>
    <row r="95" spans="1:5" ht="26.25">
      <c r="A95" s="104" t="s">
        <v>203</v>
      </c>
      <c r="B95" s="25">
        <f>SUM(B96:B98)</f>
        <v>0</v>
      </c>
      <c r="C95" s="25">
        <f>SUM(C96:C98)</f>
        <v>0</v>
      </c>
      <c r="D95" s="26" t="str">
        <f aca="true" t="shared" si="4" ref="D95:D100">IF(B95=0,"   ",C95/B95*100)</f>
        <v>   </v>
      </c>
      <c r="E95" s="42">
        <f aca="true" t="shared" si="5" ref="E95:E100">C95-B95</f>
        <v>0</v>
      </c>
    </row>
    <row r="96" spans="1:5" ht="26.25">
      <c r="A96" s="104" t="s">
        <v>210</v>
      </c>
      <c r="B96" s="25">
        <v>0</v>
      </c>
      <c r="C96" s="27">
        <v>0</v>
      </c>
      <c r="D96" s="26" t="str">
        <f t="shared" si="4"/>
        <v>   </v>
      </c>
      <c r="E96" s="42">
        <f t="shared" si="5"/>
        <v>0</v>
      </c>
    </row>
    <row r="97" spans="1:5" ht="26.25">
      <c r="A97" s="104" t="s">
        <v>211</v>
      </c>
      <c r="B97" s="25">
        <v>0</v>
      </c>
      <c r="C97" s="27">
        <v>0</v>
      </c>
      <c r="D97" s="26" t="str">
        <f t="shared" si="4"/>
        <v>   </v>
      </c>
      <c r="E97" s="42">
        <f t="shared" si="5"/>
        <v>0</v>
      </c>
    </row>
    <row r="98" spans="1:5" ht="27" thickBot="1">
      <c r="A98" s="104" t="s">
        <v>212</v>
      </c>
      <c r="B98" s="25">
        <v>0</v>
      </c>
      <c r="C98" s="27">
        <v>0</v>
      </c>
      <c r="D98" s="26" t="str">
        <f t="shared" si="4"/>
        <v>   </v>
      </c>
      <c r="E98" s="42">
        <f t="shared" si="5"/>
        <v>0</v>
      </c>
    </row>
    <row r="99" spans="1:5" ht="13.5" thickBot="1">
      <c r="A99" s="145" t="s">
        <v>337</v>
      </c>
      <c r="B99" s="178">
        <f>SUM(B100)</f>
        <v>200</v>
      </c>
      <c r="C99" s="178">
        <f>SUM(C100)</f>
        <v>0</v>
      </c>
      <c r="D99" s="26">
        <f t="shared" si="4"/>
        <v>0</v>
      </c>
      <c r="E99" s="42">
        <f t="shared" si="5"/>
        <v>-200</v>
      </c>
    </row>
    <row r="100" spans="1:5" ht="12.75">
      <c r="A100" s="145" t="s">
        <v>270</v>
      </c>
      <c r="B100" s="31">
        <v>200</v>
      </c>
      <c r="C100" s="70">
        <v>0</v>
      </c>
      <c r="D100" s="26">
        <f t="shared" si="4"/>
        <v>0</v>
      </c>
      <c r="E100" s="42">
        <f t="shared" si="5"/>
        <v>-200</v>
      </c>
    </row>
    <row r="101" spans="1:5" ht="20.25" customHeight="1">
      <c r="A101" s="18" t="s">
        <v>17</v>
      </c>
      <c r="B101" s="31">
        <v>0</v>
      </c>
      <c r="C101" s="31">
        <v>0</v>
      </c>
      <c r="D101" s="26" t="str">
        <f t="shared" si="0"/>
        <v>   </v>
      </c>
      <c r="E101" s="42">
        <f t="shared" si="1"/>
        <v>0</v>
      </c>
    </row>
    <row r="102" spans="1:5" ht="21.75" customHeight="1">
      <c r="A102" s="16" t="s">
        <v>41</v>
      </c>
      <c r="B102" s="24">
        <f>SUM(B103,)</f>
        <v>2333300</v>
      </c>
      <c r="C102" s="24">
        <f>SUM(C103,)</f>
        <v>828760</v>
      </c>
      <c r="D102" s="26">
        <f t="shared" si="0"/>
        <v>35.518793125616085</v>
      </c>
      <c r="E102" s="42">
        <f t="shared" si="1"/>
        <v>-1504540</v>
      </c>
    </row>
    <row r="103" spans="1:5" ht="14.25" customHeight="1">
      <c r="A103" s="16" t="s">
        <v>42</v>
      </c>
      <c r="B103" s="25">
        <v>2333300</v>
      </c>
      <c r="C103" s="27">
        <v>828760</v>
      </c>
      <c r="D103" s="26">
        <f t="shared" si="0"/>
        <v>35.518793125616085</v>
      </c>
      <c r="E103" s="42">
        <f t="shared" si="1"/>
        <v>-1504540</v>
      </c>
    </row>
    <row r="104" spans="1:5" ht="18.75" customHeight="1">
      <c r="A104" s="16" t="s">
        <v>123</v>
      </c>
      <c r="B104" s="25">
        <f>SUM(B105,)</f>
        <v>20000</v>
      </c>
      <c r="C104" s="25">
        <f>C105</f>
        <v>0</v>
      </c>
      <c r="D104" s="26">
        <f t="shared" si="0"/>
        <v>0</v>
      </c>
      <c r="E104" s="42">
        <f t="shared" si="1"/>
        <v>-20000</v>
      </c>
    </row>
    <row r="105" spans="1:5" ht="12.75" customHeight="1">
      <c r="A105" s="16" t="s">
        <v>43</v>
      </c>
      <c r="B105" s="25">
        <v>20000</v>
      </c>
      <c r="C105" s="28">
        <v>0</v>
      </c>
      <c r="D105" s="26">
        <f t="shared" si="0"/>
        <v>0</v>
      </c>
      <c r="E105" s="42">
        <f t="shared" si="1"/>
        <v>-20000</v>
      </c>
    </row>
    <row r="106" spans="1:5" ht="30.75" customHeight="1">
      <c r="A106" s="169" t="s">
        <v>15</v>
      </c>
      <c r="B106" s="147">
        <f>SUM(B53,B59,B61,B63,B80,B101,B102,B104,)</f>
        <v>9093035.66</v>
      </c>
      <c r="C106" s="147">
        <f>SUM(C53,C59,C61,C63,C80,C101,C102,C104,)</f>
        <v>1725421.17</v>
      </c>
      <c r="D106" s="139">
        <f>IF(B106=0,"   ",C106/B106*100)</f>
        <v>18.975194143250505</v>
      </c>
      <c r="E106" s="140">
        <f t="shared" si="1"/>
        <v>-7367614.49</v>
      </c>
    </row>
    <row r="107" spans="1:5" s="59" customFormat="1" ht="30.75" customHeight="1">
      <c r="A107" s="80" t="s">
        <v>303</v>
      </c>
      <c r="B107" s="80"/>
      <c r="C107" s="337"/>
      <c r="D107" s="337"/>
      <c r="E107" s="337"/>
    </row>
    <row r="108" spans="1:5" s="59" customFormat="1" ht="12" customHeight="1">
      <c r="A108" s="80" t="s">
        <v>153</v>
      </c>
      <c r="B108" s="80"/>
      <c r="C108" s="81" t="s">
        <v>304</v>
      </c>
      <c r="D108" s="82"/>
      <c r="E108" s="83"/>
    </row>
    <row r="109" spans="1:5" ht="15" customHeight="1">
      <c r="A109" s="7"/>
      <c r="B109" s="7"/>
      <c r="C109" s="6"/>
      <c r="D109" s="7"/>
      <c r="E109" s="2"/>
    </row>
    <row r="110" spans="1:5" ht="12" customHeight="1">
      <c r="A110" s="48"/>
      <c r="B110" s="48"/>
      <c r="C110" s="49"/>
      <c r="D110" s="50"/>
      <c r="E110" s="51"/>
    </row>
    <row r="111" spans="1:5" ht="12.75">
      <c r="A111" s="7"/>
      <c r="B111" s="7"/>
      <c r="C111" s="6"/>
      <c r="D111" s="7"/>
      <c r="E111" s="2"/>
    </row>
    <row r="112" spans="1:5" ht="12.75">
      <c r="A112" s="7"/>
      <c r="B112" s="7"/>
      <c r="C112" s="6"/>
      <c r="D112" s="7"/>
      <c r="E112" s="2"/>
    </row>
    <row r="113" spans="1:5" ht="12.75">
      <c r="A113" s="7"/>
      <c r="B113" s="7"/>
      <c r="C113" s="6"/>
      <c r="D113" s="7"/>
      <c r="E113" s="2"/>
    </row>
    <row r="114" spans="1:5" ht="12.75">
      <c r="A114" s="7"/>
      <c r="B114" s="7"/>
      <c r="C114" s="6"/>
      <c r="D114" s="7"/>
      <c r="E114" s="2"/>
    </row>
  </sheetData>
  <sheetProtection/>
  <mergeCells count="2">
    <mergeCell ref="A1:E1"/>
    <mergeCell ref="C107:E107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2021-03-09T06:07:12Z</cp:lastPrinted>
  <dcterms:created xsi:type="dcterms:W3CDTF">2001-03-21T05:21:19Z</dcterms:created>
  <dcterms:modified xsi:type="dcterms:W3CDTF">2021-04-05T11:38:54Z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