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0" windowHeight="1200" activeTab="0"/>
  </bookViews>
  <sheets>
    <sheet name="Район" sheetId="1" r:id="rId1"/>
  </sheets>
  <definedNames>
    <definedName name="_xlnm._FilterDatabase" localSheetId="0" hidden="1">'Район'!$A$17:$U$158</definedName>
    <definedName name="_xlnm.Print_Titles" localSheetId="0">'Район'!$18:$18</definedName>
    <definedName name="_xlnm.Print_Area" localSheetId="0">'Район'!$A$1:$U$158</definedName>
  </definedNames>
  <calcPr fullCalcOnLoad="1"/>
</workbook>
</file>

<file path=xl/sharedStrings.xml><?xml version="1.0" encoding="utf-8"?>
<sst xmlns="http://schemas.openxmlformats.org/spreadsheetml/2006/main" count="399" uniqueCount="317">
  <si>
    <t/>
  </si>
  <si>
    <t>Документ</t>
  </si>
  <si>
    <t>Плательщик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</si>
  <si>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</si>
  <si>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</si>
  <si>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</si>
  <si>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</si>
  <si>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</si>
  <si>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</si>
  <si>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00010102010010000110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</si>
  <si>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</si>
  <si>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00010102030010000110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</si>
  <si>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</si>
  <si>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</si>
  <si>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</si>
  <si>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</si>
  <si>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</si>
  <si>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</si>
  <si>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</si>
  <si>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</si>
  <si>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</si>
  <si>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</si>
  <si>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</si>
  <si>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</si>
  <si>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</si>
  <si>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</si>
  <si>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</si>
  <si>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00010503010010000110</t>
  </si>
  <si>
    <t xml:space="preserve">            Единый сельскохозяйственный налог</t>
  </si>
  <si>
    <t>00010600000000000000</t>
  </si>
  <si>
    <t xml:space="preserve">        НАЛОГИ НА ИМУЩЕСТВО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</si>
  <si>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</si>
  <si>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</si>
  <si>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</si>
  <si>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</si>
  <si>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</si>
  <si>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</si>
  <si>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</si>
  <si>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</si>
  <si>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</si>
  <si>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</si>
  <si>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00011700000000000000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</si>
  <si>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</si>
  <si>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</si>
  <si>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</si>
  <si>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</si>
  <si>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</si>
  <si>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</si>
  <si>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</si>
  <si>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</si>
  <si>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</si>
  <si>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</si>
  <si>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00020203000000000000</t>
  </si>
  <si>
    <t>00020800000000000000</t>
  </si>
  <si>
    <t>ИТОГО ДОХОДОВ</t>
  </si>
  <si>
    <t>00010102020010000110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</si>
  <si>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</si>
  <si>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</si>
  <si>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</si>
  <si>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</si>
  <si>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</si>
  <si>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00011406013100000430</t>
  </si>
  <si>
    <t>00011600000000000000</t>
  </si>
  <si>
    <t xml:space="preserve">        ШТРАФЫ, САНКЦИИ, ВОЗМЕЩЕНИЕ УЩЕРБА</t>
  </si>
  <si>
    <t>00010502000000000000</t>
  </si>
  <si>
    <t>00010502010020000110</t>
  </si>
  <si>
    <t xml:space="preserve">            Единый налог на вмененный доход для отдельных видов деятельности</t>
  </si>
  <si>
    <t>00010502020020000110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</si>
  <si>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</si>
  <si>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>00010503020010000110</t>
  </si>
  <si>
    <t xml:space="preserve">            Единый сельскохозяйственный налог (за налоговые периоды, истекшие до 1 января 2011 года)</t>
  </si>
  <si>
    <t>00010504000000000000</t>
  </si>
  <si>
    <t xml:space="preserve">          Налог, взимаемый в связи с применением патентной системы налогообложения</t>
  </si>
  <si>
    <t>00010504020020000110</t>
  </si>
  <si>
    <t xml:space="preserve">            Налог, взимаемый в связи с применением патентной системы налогообложения, зачисляемый в бюджеты муниципальных районо</t>
  </si>
  <si>
    <t>00010604000000000000</t>
  </si>
  <si>
    <t xml:space="preserve">          Транспортный налог</t>
  </si>
  <si>
    <t>00010604011020000110</t>
  </si>
  <si>
    <t xml:space="preserve">            Транспортный налог с организаций</t>
  </si>
  <si>
    <t>00010604012020000110</t>
  </si>
  <si>
    <t xml:space="preserve">            Транспортный налог с физических лиц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</si>
  <si>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</si>
  <si>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</si>
  <si>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</si>
  <si>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>00010701020010000110</t>
  </si>
  <si>
    <t>00010803010010000110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</si>
  <si>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</si>
  <si>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00010806000010000110</t>
  </si>
  <si>
    <t xml:space="preserve">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</si>
  <si>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</si>
  <si>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</si>
  <si>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</si>
  <si>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</si>
  <si>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</si>
  <si>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Государственная пошлина за выдачу и обмен паспорта гражданина Российской Федерации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</si>
  <si>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</si>
  <si>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</si>
  <si>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00010907000000000000</t>
  </si>
  <si>
    <t xml:space="preserve">          Прочие налоги и сборы (по отмененным местным налогам и сборам)</t>
  </si>
  <si>
    <t>00010907033050000110</t>
  </si>
  <si>
    <t xml:space="preserve">  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</si>
  <si>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00011105013100000120</t>
  </si>
  <si>
    <t>00011105025050000120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</si>
  <si>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</si>
  <si>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00011105035050000120</t>
  </si>
  <si>
    <t xml:space="preserve">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</si>
  <si>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00011107000000000000</t>
  </si>
  <si>
    <t>00011107015050000120</t>
  </si>
  <si>
    <t>00011200000000000000</t>
  </si>
  <si>
    <t xml:space="preserve">        ПЛАТЕЖИ ПРИ ПОЛЬЗОВАНИИ ПРИРОДНЫМИ РЕСУРСАМИ</t>
  </si>
  <si>
    <t>00011201000000000000</t>
  </si>
  <si>
    <t>00011201010010000120</t>
  </si>
  <si>
    <t xml:space="preserve">            Плата за выбросы загрязняющих веществ в атмосферный воздух стационарными объектами7</t>
  </si>
  <si>
    <t>00011201020010000120</t>
  </si>
  <si>
    <t xml:space="preserve">            Плата за выбросы загрязняющих веществ в атмосферный воздух передвижными объектами</t>
  </si>
  <si>
    <t>00011201030010000120</t>
  </si>
  <si>
    <t xml:space="preserve">            Плата за сбросы загрязняющих веществ в водные объекты</t>
  </si>
  <si>
    <t>00011201040010000120</t>
  </si>
  <si>
    <t xml:space="preserve">            Плата за размещение отходов производства и потребления</t>
  </si>
  <si>
    <t>00011301000000000000</t>
  </si>
  <si>
    <t xml:space="preserve">          Доходы от оказания платных услуг (работ)</t>
  </si>
  <si>
    <t>00011301995050000130</t>
  </si>
  <si>
    <t xml:space="preserve">            Прочие доходы от оказания платных услуг (работ) получателями средств бюджетов муниципальных районов</t>
  </si>
  <si>
    <t>00011302065050000130</t>
  </si>
  <si>
    <t xml:space="preserve">            Доходы, поступающие в порядке возмещения расходов, понесенных в связи с эксплуатацией имущества муниципальных районов</t>
  </si>
  <si>
    <t>00011302995050000130</t>
  </si>
  <si>
    <t xml:space="preserve">            Прочие доходы от компенсации затрат бюджетов муниципальных районов</t>
  </si>
  <si>
    <t>00011406025050000430</t>
  </si>
  <si>
    <t xml:space="preserve">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</si>
  <si>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00011603010010000140</t>
  </si>
  <si>
    <t>00011603030010000140</t>
  </si>
  <si>
    <t>00011606000010000140</t>
  </si>
  <si>
    <t>00011608010010000140</t>
  </si>
  <si>
    <t>00011608020010000140</t>
  </si>
  <si>
    <t>00011621050050000140</t>
  </si>
  <si>
    <t>00011623000000000000</t>
  </si>
  <si>
    <t>00011623051050000140</t>
  </si>
  <si>
    <t>00011625060010000140</t>
  </si>
  <si>
    <t>00011628000010000140</t>
  </si>
  <si>
    <t>00011630014010000140</t>
  </si>
  <si>
    <t>00011630030010000140</t>
  </si>
  <si>
    <t>00011643000010000140</t>
  </si>
  <si>
    <t>00011690050050000140</t>
  </si>
  <si>
    <t>00011701050050000180</t>
  </si>
  <si>
    <t xml:space="preserve">            Невыясненные поступления, зачисляемые в бюджеты муниципальных районов</t>
  </si>
  <si>
    <t>00011705000000000000</t>
  </si>
  <si>
    <t xml:space="preserve">          Прочие неналоговые доходы</t>
  </si>
  <si>
    <t>00011705050050000180</t>
  </si>
  <si>
    <t xml:space="preserve">            Прочие неналоговые доходы бюджетов муниципальных районов</t>
  </si>
  <si>
    <t>00020201003050000151</t>
  </si>
  <si>
    <t>00020202051050000151</t>
  </si>
  <si>
    <t>00020202999050000151</t>
  </si>
  <si>
    <t>00020203021050000151</t>
  </si>
  <si>
    <t xml:space="preserve">        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</si>
  <si>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</si>
  <si>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00020203121050000151</t>
  </si>
  <si>
    <t>00020204000000000000</t>
  </si>
  <si>
    <t xml:space="preserve">          Иные межбюджетные трансферты</t>
  </si>
  <si>
    <t xml:space="preserve">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</si>
  <si>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00020805000050000180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</si>
  <si>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</si>
  <si>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</si>
  <si>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</si>
  <si>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</si>
  <si>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доходов</t>
  </si>
  <si>
    <t>Код бюджетной 
классификации</t>
  </si>
  <si>
    <t xml:space="preserve">         Плата за негативное воздействие на окружающую среду</t>
  </si>
  <si>
    <t xml:space="preserve">             Налог на добычу общераспространенных полезных ископаемых</t>
  </si>
  <si>
    <t xml:space="preserve">          Налог на добычу полезных ископаемых</t>
  </si>
  <si>
    <t xml:space="preserve">          Единый налог на вмененный доход для отдельных видов деятельности</t>
  </si>
  <si>
    <t>00011402000000000000</t>
  </si>
  <si>
    <t>000114020050050000410</t>
  </si>
  <si>
    <t xml:space="preserve">          Доходы от реализации имущества, находящихся в государственной и муниципальной собственности (за исключенеие движимого имущества бюджетных и автономных учруждений,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</si>
  <si>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имущества, находящихся в собственности муниципальных районов (за исключенеие движимого имущества муниципальных бюджетных и автономных учруждений,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</si>
  <si>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5</t>
  </si>
  <si>
    <t>00011105013050000120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</si>
  <si>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</si>
  <si>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  Дотации бюджетам бюджетной системы Российской Федерации</t>
  </si>
  <si>
    <t xml:space="preserve">              Дотации бюджетам муниципальных районов на поддержку мер по обеспечению сбалансированности бюджетов</t>
  </si>
  <si>
    <t xml:space="preserve">          Субвенции бюджетам бюджетной системы Российской Федерации</t>
  </si>
  <si>
    <t>00020229999050000151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</si>
  <si>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</si>
  <si>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</si>
  <si>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00020235120050000151</t>
  </si>
  <si>
    <t xml:space="preserve">               Субвенции бюджетам муниципальных районов и бюджетам городских округов для финансового обеспечения переданных исполнительно-рапорядительным органам муниципальных образований государственных полномочий по составлению (изменению) списков кондидатов в присяжные заседатели федеральных судо общей юрисдикции в Российской Федерации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</si>
  <si>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</si>
  <si>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00020215009050000151</t>
  </si>
  <si>
    <t>00011406013050000430</t>
  </si>
  <si>
    <t xml:space="preserve">        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</si>
  <si>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          Прочие дотации бюджетам муниципальных районов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</si>
  <si>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</si>
  <si>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</si>
  <si>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Приложение 1    </t>
  </si>
  <si>
    <t xml:space="preserve">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</si>
  <si>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</si>
  <si>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</si>
  <si>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Субсидии бюджетам муниципальных районов на поддержку региональных проектов в сфере информационных технологий</t>
  </si>
  <si>
    <t xml:space="preserve">            Плата за размещение отходов производства</t>
  </si>
  <si>
    <t xml:space="preserve">            Плата за размещение твердых коммунальных отходов</t>
  </si>
  <si>
    <t>00011201041010000120</t>
  </si>
  <si>
    <t>00011201042010000120</t>
  </si>
  <si>
    <t>к решению Собрания депутатов Красноармейского района Чувашской Республики "О бюджете Красноармейского района Чувашской Республики на 2019 год и на плановый период 2020 и 2021 годов"</t>
  </si>
  <si>
    <t xml:space="preserve">                 Доходы от реализации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</si>
  <si>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</si>
  <si>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 xml:space="preserve">              Прочие субсидии бюджетам муниципальных районов 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</si>
  <si>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</si>
  <si>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>Приложение 1</t>
  </si>
  <si>
    <t>Сумма на 2019 год</t>
  </si>
  <si>
    <t>00010302231010000110</t>
  </si>
  <si>
    <t>00010302241010000110</t>
  </si>
  <si>
    <t>00010302251010000110</t>
  </si>
  <si>
    <t>00020220216050000150</t>
  </si>
  <si>
    <t>00020225497050000150</t>
  </si>
  <si>
    <t>00020225519050000150</t>
  </si>
  <si>
    <t>00020225555050000150</t>
  </si>
  <si>
    <t>00020225567050000150</t>
  </si>
  <si>
    <t>00020229999050000150</t>
  </si>
  <si>
    <t>00020230029050000150</t>
  </si>
  <si>
    <t>00020230024050000150</t>
  </si>
  <si>
    <t>00020235082050000150</t>
  </si>
  <si>
    <t>00020235118050000150</t>
  </si>
  <si>
    <t>00020235120050000150</t>
  </si>
  <si>
    <t>00020235260050000150</t>
  </si>
  <si>
    <t>00020235930050000150</t>
  </si>
  <si>
    <t>00020240014050000150</t>
  </si>
  <si>
    <t>00020249999050000150</t>
  </si>
  <si>
    <t>00020225467050000150</t>
  </si>
  <si>
    <t>00020220000000000150</t>
  </si>
  <si>
    <t>00020219999050000150</t>
  </si>
  <si>
    <t>00020210000000000150</t>
  </si>
  <si>
    <t>00020215002050000150</t>
  </si>
  <si>
    <t>00020225028050000150</t>
  </si>
  <si>
    <t>00020225097050000150</t>
  </si>
  <si>
    <t>00020240000000000150</t>
  </si>
  <si>
    <t>00021860010050000150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</si>
  <si>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2019 год и на плановый период 2020 и 2021 годов"</t>
  </si>
  <si>
    <t xml:space="preserve">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</si>
  <si>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Субвенции бюджетам муниципальных районов на выполнение передаваемых полномочий субъектов Российской Федерации </t>
  </si>
  <si>
    <t>Изменение к 3 уточнению   (+,-)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</si>
  <si>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</si>
  <si>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</si>
  <si>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к   решению Собрания депутатов Красноармейского района Чувашской Республики "О внесении изменений в решение Собрания депутатов Красноармейского района Чувашской Республики "О бюджете Красноармейского района Чувашской Республики на 2019 год и на плановый период 2020 и 2021 годов"</t>
  </si>
  <si>
    <t>к решению Собрания депутатов Красноармейского района Чувашской Республики "О бюджете Красноармейского района Чувашской Республики на 2020 год и на плановый период 2021 и 2022 годов"</t>
  </si>
  <si>
    <t xml:space="preserve">Прогнозируемые объемы поступлений доходов в бюджет Красноармейского района Чувашской Республики на 2020 год
</t>
  </si>
  <si>
    <t>Сумма на 2020 год</t>
  </si>
  <si>
    <t>00011101000000000000</t>
  </si>
  <si>
    <t>00011101050050000120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</si>
  <si>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</si>
  <si>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</si>
  <si>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</si>
  <si>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</si>
  <si>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</si>
  <si>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Налог, взимаемый в связи с применением упрощенной системы налогообложения</t>
  </si>
  <si>
    <t>00010501000000000000</t>
  </si>
  <si>
    <t>00020220303050000150</t>
  </si>
  <si>
    <t xml:space="preserve">              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</si>
  <si>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 xml:space="preserve">             Субсидии бюджетам муниципальных районов на реализацию мероприятий по устойчивому развитию сельских территорий</t>
  </si>
  <si>
    <t xml:space="preserve">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</si>
  <si>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Субсидия бюджетам муниципальных районов на поддержку отрасли культуры</t>
  </si>
  <si>
    <t xml:space="preserve">           Субсидии бюджетам муниципальных районов на реализацию мероприятий по обеспечению жильем молодых семей (жилище)</t>
  </si>
  <si>
    <t xml:space="preserve">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</si>
  <si>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00020225509050000150</t>
  </si>
  <si>
    <t xml:space="preserve">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</si>
  <si>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00020230000000000150</t>
  </si>
  <si>
    <t xml:space="preserve">          Единый налог, взимаемый в связи с применением упрощенной системы налогообложения</t>
  </si>
  <si>
    <t>00011105300000000120</t>
  </si>
  <si>
    <t xml:space="preserve">        Плата по соглашениям об установлении серовитута в отношении земельных участков, находящихся в государственной или муниципальной собственности</t>
  </si>
  <si>
    <t>Сумма</t>
  </si>
  <si>
    <t>00010501000010000110</t>
  </si>
  <si>
    <t>00020227112050000150</t>
  </si>
  <si>
    <t>00020235469050000150</t>
  </si>
  <si>
    <t xml:space="preserve">             Субсидии бюджетам муниципальных районов на проведение Всероссийской переписи населения 2020 года</t>
  </si>
  <si>
    <t xml:space="preserve">        Налог, взимаемый с налогоплательщиков, выбравших в качестве объекта налогообложения доходы</t>
  </si>
  <si>
    <t xml:space="preserve">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</si>
  <si>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00010501011010000110</t>
  </si>
  <si>
    <t>00010501021010000110</t>
  </si>
  <si>
    <t>00021960010050000150</t>
  </si>
  <si>
    <t>Изменение к  2 уточнению   (+,-)</t>
  </si>
  <si>
    <t>00020245303050000150</t>
  </si>
  <si>
    <t xml:space="preserve">  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</si>
  <si>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</t>
  </si>
  <si>
    <t>00011109000000000000</t>
  </si>
  <si>
    <t>00011109045050000120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</si>
  <si>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</si>
  <si>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</si>
  <si>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</si>
  <si>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</si>
  <si>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 xml:space="preserve">             Субсидии бюджетам муниципальных районов на обеспечение комплексного развития  сельских территорий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</si>
  <si>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</si>
  <si>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</si>
  <si>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00011601053010000140</t>
  </si>
  <si>
    <t>00011601063010000140</t>
  </si>
  <si>
    <t>00011601073010000140</t>
  </si>
  <si>
    <t>00011601143010000140</t>
  </si>
  <si>
    <t>00011601173010000140</t>
  </si>
  <si>
    <t>00011601193010000140</t>
  </si>
  <si>
    <t>000116012030100000140</t>
  </si>
  <si>
    <t>00011610123010000140</t>
  </si>
  <si>
    <t>00011610129010000140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</si>
  <si>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</si>
  <si>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</si>
  <si>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</si>
  <si>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</si>
  <si>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</si>
  <si>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</si>
  <si>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</si>
  <si>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</si>
  <si>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</si>
  <si>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к  решению Собрания депутатов  Красноармейского района Чувашской Республики "О внесении изменений в решение Собрания депутатов  Красноармейского района "О бюджете Красноармейского района Чувашской Республики на 2020 год и на плановый период 2021 и 2022 годов"</t>
  </si>
  <si>
    <t>Приложение 2</t>
  </si>
  <si>
    <t>Приложение 4</t>
  </si>
  <si>
    <t xml:space="preserve">                                                                                                                                          Единица измерения: руб.</t>
  </si>
  <si>
    <t>00020225576050000150</t>
  </si>
  <si>
    <t xml:space="preserve">            Субсидии бюджетам муниципальных районов на софинансирование капитальных вложений в объекты муниципальной собственности </t>
  </si>
  <si>
    <r>
      <t xml:space="preserve">              Прочие субсидии бюджетам муниципальных районов</t>
    </r>
    <r>
      <rPr>
        <sz val="12"/>
        <color indexed="9"/>
        <rFont val="Times New Roman"/>
        <family val="1"/>
      </rPr>
      <t xml:space="preserve"> </t>
    </r>
    <r>
      <rPr>
        <sz val="11"/>
        <color indexed="9"/>
        <rFont val="Times New Roman"/>
        <family val="1"/>
      </rPr>
      <t>(Сод-е дорог в гран поселения РБ - 2641,8; УМТ образ орг-й РБ - 13020,0; 10000,0; УМТ в сфере физ культ и спорта РБ - 1479,2; УМТ базы детск школ искусств РБ - 600,0; УМТ базы мун-х архивов РБ - 100,0; УМТ базы культ досуг типа РБ - 5000,0; УМТ базы мун-х библиотек РБ - 3700,0;  ДФ R67 - 9111,9; прочие R51 - 5012,7;в сфере образования - 4432,9+6132,0;горяч питание дошк-в ФБ-2293,1; РБ - 11,6; сод-е дорог мун-го района РБ - 15118,6; перех многоквартир дом в индив отопл - 3000,0; благоустр-во дворовых террит и тротуаров РБ - 22202,7; на разраб ПСД РБ - 1370,4,обращ с тверд коммун отход - 1171,8; капит ремонт водобаш - 18101,6;)</t>
    </r>
  </si>
  <si>
    <t xml:space="preserve">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</si>
  <si>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            Прочие межбюджетные трансферты, передаваемые бюджетам муниципальных районов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</si>
</sst>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0">
      <alignment horizontal="left" wrapText="1"/>
      <protection/>
    </xf>
    <xf numFmtId="0" fontId="6" fillId="0" borderId="0">
      <alignment horizontal="left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49" fontId="39" fillId="0" borderId="2">
      <alignment horizontal="center" vertical="top" shrinkToFit="1"/>
      <protection/>
    </xf>
    <xf numFmtId="0" fontId="39" fillId="0" borderId="2">
      <alignment horizontal="center" vertical="top" wrapTex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center" vertical="top" shrinkToFit="1"/>
      <protection/>
    </xf>
    <xf numFmtId="0" fontId="39" fillId="20" borderId="4">
      <alignment/>
      <protection/>
    </xf>
    <xf numFmtId="49" fontId="41" fillId="0" borderId="2">
      <alignment horizontal="left" vertical="top" shrinkToFit="1"/>
      <protection/>
    </xf>
    <xf numFmtId="4" fontId="41" fillId="21" borderId="2">
      <alignment horizontal="right" vertical="top" shrinkToFit="1"/>
      <protection/>
    </xf>
    <xf numFmtId="10" fontId="41" fillId="21" borderId="2">
      <alignment horizontal="center" vertical="top" shrinkToFit="1"/>
      <protection/>
    </xf>
    <xf numFmtId="0" fontId="39" fillId="0" borderId="0">
      <alignment/>
      <protection/>
    </xf>
    <xf numFmtId="0" fontId="39" fillId="20" borderId="1">
      <alignment horizontal="left"/>
      <protection/>
    </xf>
    <xf numFmtId="0" fontId="39" fillId="0" borderId="2">
      <alignment horizontal="left" vertical="top" wrapText="1"/>
      <protection/>
    </xf>
    <xf numFmtId="4" fontId="41" fillId="22" borderId="2">
      <alignment horizontal="right" vertical="top" shrinkToFit="1"/>
      <protection/>
    </xf>
    <xf numFmtId="10" fontId="41" fillId="22" borderId="2">
      <alignment horizontal="center" vertical="top" shrinkToFit="1"/>
      <protection/>
    </xf>
    <xf numFmtId="0" fontId="39" fillId="20" borderId="3">
      <alignment horizontal="left"/>
      <protection/>
    </xf>
    <xf numFmtId="0" fontId="39" fillId="20" borderId="4">
      <alignment horizontal="left"/>
      <protection/>
    </xf>
    <xf numFmtId="0" fontId="39" fillId="20" borderId="0">
      <alignment horizontal="left"/>
      <protection/>
    </xf>
    <xf numFmtId="4" fontId="4" fillId="23" borderId="5">
      <alignment horizontal="right" vertical="top" shrinkToFit="1"/>
      <protection/>
    </xf>
    <xf numFmtId="10" fontId="4" fillId="23" borderId="5">
      <alignment horizontal="center" vertical="top" shrinkToFit="1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30" borderId="6" applyNumberFormat="0" applyAlignment="0" applyProtection="0"/>
    <xf numFmtId="0" fontId="43" fillId="31" borderId="7" applyNumberFormat="0" applyAlignment="0" applyProtection="0"/>
    <xf numFmtId="0" fontId="44" fillId="31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9" fillId="37" borderId="2" xfId="47" applyFill="1">
      <alignment horizontal="center" vertical="top" shrinkToFit="1"/>
      <protection/>
    </xf>
    <xf numFmtId="0" fontId="0" fillId="37" borderId="0" xfId="0" applyFill="1" applyAlignment="1" applyProtection="1">
      <alignment/>
      <protection locked="0"/>
    </xf>
    <xf numFmtId="0" fontId="57" fillId="37" borderId="2" xfId="57" applyFont="1" applyFill="1">
      <alignment horizontal="left" vertical="top" wrapText="1"/>
      <protection/>
    </xf>
    <xf numFmtId="49" fontId="57" fillId="37" borderId="2" xfId="47" applyFont="1" applyFill="1">
      <alignment horizontal="center" vertical="top" shrinkToFit="1"/>
      <protection/>
    </xf>
    <xf numFmtId="0" fontId="57" fillId="37" borderId="2" xfId="48" applyFont="1" applyFill="1">
      <alignment horizontal="center" vertical="top" wrapText="1"/>
      <protection/>
    </xf>
    <xf numFmtId="4" fontId="57" fillId="37" borderId="2" xfId="58" applyFont="1" applyFill="1">
      <alignment horizontal="right" vertical="top" shrinkToFit="1"/>
      <protection/>
    </xf>
    <xf numFmtId="0" fontId="5" fillId="37" borderId="0" xfId="0" applyFont="1" applyFill="1" applyAlignment="1" applyProtection="1">
      <alignment/>
      <protection locked="0"/>
    </xf>
    <xf numFmtId="4" fontId="57" fillId="37" borderId="15" xfId="58" applyFont="1" applyFill="1" applyBorder="1">
      <alignment horizontal="right" vertical="top" shrinkToFit="1"/>
      <protection/>
    </xf>
    <xf numFmtId="0" fontId="38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7" fillId="37" borderId="0" xfId="39" applyFont="1" applyFill="1" applyAlignment="1">
      <alignment wrapText="1"/>
      <protection/>
    </xf>
    <xf numFmtId="0" fontId="5" fillId="37" borderId="0" xfId="39" applyFont="1" applyFill="1" applyAlignment="1">
      <alignment wrapText="1"/>
      <protection/>
    </xf>
    <xf numFmtId="4" fontId="5" fillId="37" borderId="16" xfId="0" applyNumberFormat="1" applyFont="1" applyFill="1" applyBorder="1" applyAlignment="1" applyProtection="1">
      <alignment vertical="top"/>
      <protection locked="0"/>
    </xf>
    <xf numFmtId="4" fontId="57" fillId="37" borderId="17" xfId="58" applyFont="1" applyFill="1" applyBorder="1">
      <alignment horizontal="right" vertical="top" shrinkToFit="1"/>
      <protection/>
    </xf>
    <xf numFmtId="4" fontId="5" fillId="37" borderId="17" xfId="0" applyNumberFormat="1" applyFont="1" applyFill="1" applyBorder="1" applyAlignment="1" applyProtection="1">
      <alignment vertical="top"/>
      <protection locked="0"/>
    </xf>
    <xf numFmtId="0" fontId="6" fillId="38" borderId="0" xfId="39" applyFont="1" applyFill="1" applyAlignment="1">
      <alignment wrapText="1"/>
      <protection/>
    </xf>
    <xf numFmtId="0" fontId="0" fillId="37" borderId="0" xfId="0" applyFill="1" applyAlignment="1">
      <alignment/>
    </xf>
    <xf numFmtId="0" fontId="6" fillId="38" borderId="0" xfId="40" applyFill="1" applyAlignment="1">
      <alignment wrapText="1"/>
      <protection/>
    </xf>
    <xf numFmtId="0" fontId="0" fillId="38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vertical="top"/>
      <protection locked="0"/>
    </xf>
    <xf numFmtId="0" fontId="8" fillId="37" borderId="0" xfId="41" applyFont="1" applyFill="1" applyAlignment="1">
      <alignment wrapText="1"/>
      <protection/>
    </xf>
    <xf numFmtId="0" fontId="39" fillId="37" borderId="0" xfId="43" applyFill="1">
      <alignment horizontal="right"/>
      <protection/>
    </xf>
    <xf numFmtId="0" fontId="57" fillId="37" borderId="17" xfId="43" applyFont="1" applyFill="1" applyBorder="1">
      <alignment horizontal="right"/>
      <protection/>
    </xf>
    <xf numFmtId="0" fontId="39" fillId="37" borderId="18" xfId="45" applyFill="1" applyBorder="1">
      <alignment horizontal="center" vertical="center" wrapText="1"/>
      <protection/>
    </xf>
    <xf numFmtId="4" fontId="57" fillId="37" borderId="19" xfId="58" applyFont="1" applyFill="1" applyBorder="1">
      <alignment horizontal="right" vertical="top" shrinkToFit="1"/>
      <protection/>
    </xf>
    <xf numFmtId="4" fontId="57" fillId="37" borderId="20" xfId="58" applyFont="1" applyFill="1" applyBorder="1">
      <alignment horizontal="right" vertical="top" shrinkToFit="1"/>
      <protection/>
    </xf>
    <xf numFmtId="0" fontId="57" fillId="37" borderId="18" xfId="57" applyFont="1" applyFill="1" applyBorder="1">
      <alignment horizontal="left" vertical="top" wrapText="1"/>
      <protection/>
    </xf>
    <xf numFmtId="49" fontId="39" fillId="37" borderId="15" xfId="47" applyFill="1" applyBorder="1">
      <alignment horizontal="center" vertical="top" shrinkToFit="1"/>
      <protection/>
    </xf>
    <xf numFmtId="0" fontId="57" fillId="37" borderId="17" xfId="57" applyFont="1" applyFill="1" applyBorder="1">
      <alignment horizontal="left" vertical="top" wrapText="1"/>
      <protection/>
    </xf>
    <xf numFmtId="49" fontId="57" fillId="37" borderId="21" xfId="47" applyFont="1" applyFill="1" applyBorder="1">
      <alignment horizontal="center" vertical="top" shrinkToFit="1"/>
      <protection/>
    </xf>
    <xf numFmtId="0" fontId="57" fillId="37" borderId="22" xfId="57" applyFont="1" applyFill="1" applyBorder="1">
      <alignment horizontal="left" vertical="top" wrapText="1"/>
      <protection/>
    </xf>
    <xf numFmtId="0" fontId="5" fillId="37" borderId="17" xfId="0" applyFont="1" applyFill="1" applyBorder="1" applyAlignment="1">
      <alignment horizontal="left" vertical="top" wrapText="1"/>
    </xf>
    <xf numFmtId="4" fontId="57" fillId="37" borderId="16" xfId="58" applyFont="1" applyFill="1" applyBorder="1">
      <alignment horizontal="right" vertical="top" shrinkToFit="1"/>
      <protection/>
    </xf>
    <xf numFmtId="4" fontId="57" fillId="37" borderId="0" xfId="58" applyFont="1" applyFill="1" applyBorder="1">
      <alignment horizontal="right" vertical="top" shrinkToFit="1"/>
      <protection/>
    </xf>
    <xf numFmtId="0" fontId="39" fillId="37" borderId="0" xfId="55" applyFill="1">
      <alignment/>
      <protection/>
    </xf>
    <xf numFmtId="0" fontId="57" fillId="37" borderId="0" xfId="55" applyFont="1" applyFill="1">
      <alignment/>
      <protection/>
    </xf>
    <xf numFmtId="49" fontId="58" fillId="37" borderId="2" xfId="52" applyFont="1" applyFill="1">
      <alignment horizontal="left" vertical="top" shrinkToFit="1"/>
      <protection/>
    </xf>
    <xf numFmtId="4" fontId="58" fillId="37" borderId="2" xfId="53" applyFont="1" applyFill="1">
      <alignment horizontal="right" vertical="top" shrinkToFit="1"/>
      <protection/>
    </xf>
    <xf numFmtId="4" fontId="58" fillId="37" borderId="15" xfId="53" applyFont="1" applyFill="1" applyBorder="1">
      <alignment horizontal="right" vertical="top" shrinkToFit="1"/>
      <protection/>
    </xf>
    <xf numFmtId="4" fontId="58" fillId="37" borderId="17" xfId="53" applyFont="1" applyFill="1" applyBorder="1">
      <alignment horizontal="right" vertical="top" shrinkToFit="1"/>
      <protection/>
    </xf>
    <xf numFmtId="0" fontId="57" fillId="37" borderId="0" xfId="62" applyNumberFormat="1" applyFont="1" applyFill="1" applyAlignment="1" applyProtection="1">
      <alignment horizontal="left" vertical="top" wrapText="1"/>
      <protection/>
    </xf>
    <xf numFmtId="4" fontId="5" fillId="38" borderId="0" xfId="0" applyNumberFormat="1" applyFont="1" applyFill="1" applyAlignment="1" applyProtection="1">
      <alignment vertical="top"/>
      <protection locked="0"/>
    </xf>
    <xf numFmtId="4" fontId="59" fillId="37" borderId="0" xfId="0" applyNumberFormat="1" applyFont="1" applyFill="1" applyAlignment="1" applyProtection="1">
      <alignment vertical="top"/>
      <protection locked="0"/>
    </xf>
    <xf numFmtId="4" fontId="5" fillId="37" borderId="0" xfId="0" applyNumberFormat="1" applyFont="1" applyFill="1" applyAlignment="1" applyProtection="1">
      <alignment vertical="top"/>
      <protection locked="0"/>
    </xf>
    <xf numFmtId="4" fontId="57" fillId="37" borderId="17" xfId="58" applyNumberFormat="1" applyFont="1" applyFill="1" applyBorder="1" applyAlignment="1">
      <alignment horizontal="right" vertical="top" shrinkToFit="1"/>
      <protection/>
    </xf>
    <xf numFmtId="0" fontId="57" fillId="37" borderId="23" xfId="45" applyFont="1" applyFill="1" applyBorder="1">
      <alignment horizontal="center" vertical="center" wrapText="1"/>
      <protection/>
    </xf>
    <xf numFmtId="49" fontId="39" fillId="37" borderId="2" xfId="47" applyNumberFormat="1" applyFont="1" applyFill="1" applyProtection="1">
      <alignment horizontal="center" vertical="top" shrinkToFit="1"/>
      <protection/>
    </xf>
    <xf numFmtId="49" fontId="57" fillId="37" borderId="2" xfId="47" applyNumberFormat="1" applyFont="1" applyFill="1" applyProtection="1">
      <alignment horizontal="center" vertical="top" shrinkToFit="1"/>
      <protection/>
    </xf>
    <xf numFmtId="0" fontId="57" fillId="37" borderId="2" xfId="48" applyNumberFormat="1" applyFont="1" applyFill="1" applyProtection="1">
      <alignment horizontal="center" vertical="top" wrapText="1"/>
      <protection/>
    </xf>
    <xf numFmtId="4" fontId="57" fillId="37" borderId="2" xfId="58" applyNumberFormat="1" applyFont="1" applyFill="1" applyProtection="1">
      <alignment horizontal="right" vertical="top" shrinkToFit="1"/>
      <protection/>
    </xf>
    <xf numFmtId="4" fontId="57" fillId="37" borderId="15" xfId="58" applyNumberFormat="1" applyFont="1" applyFill="1" applyBorder="1" applyProtection="1">
      <alignment horizontal="right" vertical="top" shrinkToFit="1"/>
      <protection/>
    </xf>
    <xf numFmtId="0" fontId="0" fillId="37" borderId="0" xfId="0" applyFont="1" applyFill="1" applyAlignment="1" applyProtection="1">
      <alignment/>
      <protection locked="0"/>
    </xf>
    <xf numFmtId="0" fontId="5" fillId="37" borderId="2" xfId="57" applyFont="1" applyFill="1">
      <alignment horizontal="left" vertical="top" wrapText="1"/>
      <protection/>
    </xf>
    <xf numFmtId="49" fontId="57" fillId="37" borderId="2" xfId="47" applyFont="1" applyFill="1" quotePrefix="1">
      <alignment horizontal="center" vertical="top" shrinkToFit="1"/>
      <protection/>
    </xf>
    <xf numFmtId="49" fontId="57" fillId="37" borderId="18" xfId="47" applyNumberFormat="1" applyFont="1" applyFill="1" applyBorder="1" applyProtection="1">
      <alignment horizontal="center" vertical="top" shrinkToFit="1"/>
      <protection/>
    </xf>
    <xf numFmtId="49" fontId="57" fillId="37" borderId="22" xfId="47" applyFont="1" applyFill="1" applyBorder="1">
      <alignment horizontal="center" vertical="top" shrinkToFit="1"/>
      <protection/>
    </xf>
    <xf numFmtId="0" fontId="57" fillId="37" borderId="17" xfId="62" applyNumberFormat="1" applyFont="1" applyFill="1" applyBorder="1" applyAlignment="1" applyProtection="1">
      <alignment horizontal="left" vertical="top" wrapText="1"/>
      <protection/>
    </xf>
    <xf numFmtId="1" fontId="57" fillId="37" borderId="17" xfId="41" applyNumberFormat="1" applyFont="1" applyFill="1" applyBorder="1" applyAlignment="1" applyProtection="1">
      <alignment horizontal="center" vertical="top" shrinkToFit="1"/>
      <protection/>
    </xf>
    <xf numFmtId="4" fontId="0" fillId="37" borderId="0" xfId="0" applyNumberFormat="1" applyFill="1" applyAlignment="1" applyProtection="1">
      <alignment/>
      <protection locked="0"/>
    </xf>
    <xf numFmtId="4" fontId="5" fillId="0" borderId="17" xfId="0" applyNumberFormat="1" applyFont="1" applyFill="1" applyBorder="1" applyAlignment="1" applyProtection="1">
      <alignment vertical="top"/>
      <protection locked="0"/>
    </xf>
    <xf numFmtId="4" fontId="57" fillId="0" borderId="17" xfId="58" applyFont="1" applyFill="1" applyBorder="1">
      <alignment horizontal="right" vertical="top" shrinkToFit="1"/>
      <protection/>
    </xf>
    <xf numFmtId="4" fontId="57" fillId="0" borderId="17" xfId="58" applyNumberFormat="1" applyFont="1" applyFill="1" applyBorder="1" applyAlignment="1">
      <alignment horizontal="right" vertical="top" shrinkToFit="1"/>
      <protection/>
    </xf>
    <xf numFmtId="4" fontId="60" fillId="37" borderId="17" xfId="58" applyNumberFormat="1" applyFont="1" applyFill="1" applyBorder="1" applyAlignment="1">
      <alignment horizontal="right" vertical="top" shrinkToFit="1"/>
      <protection/>
    </xf>
    <xf numFmtId="4" fontId="60" fillId="37" borderId="17" xfId="0" applyNumberFormat="1" applyFont="1" applyFill="1" applyBorder="1" applyAlignment="1" applyProtection="1">
      <alignment vertical="top"/>
      <protection locked="0"/>
    </xf>
    <xf numFmtId="0" fontId="57" fillId="0" borderId="17" xfId="57" applyFont="1" applyFill="1" applyBorder="1">
      <alignment horizontal="left" vertical="top" wrapText="1"/>
      <protection/>
    </xf>
    <xf numFmtId="0" fontId="9" fillId="38" borderId="0" xfId="0" applyFont="1" applyFill="1" applyAlignment="1" applyProtection="1">
      <alignment horizontal="center"/>
      <protection locked="0"/>
    </xf>
    <xf numFmtId="0" fontId="10" fillId="37" borderId="0" xfId="40" applyFont="1" applyFill="1" applyAlignment="1">
      <alignment horizontal="center" vertical="center" wrapText="1"/>
      <protection/>
    </xf>
    <xf numFmtId="0" fontId="57" fillId="37" borderId="24" xfId="43" applyFont="1" applyFill="1" applyBorder="1" applyAlignment="1">
      <alignment horizontal="center" vertical="center" wrapText="1"/>
      <protection/>
    </xf>
    <xf numFmtId="0" fontId="57" fillId="37" borderId="25" xfId="43" applyFont="1" applyFill="1" applyBorder="1" applyAlignment="1">
      <alignment horizontal="center" vertical="center" wrapText="1"/>
      <protection/>
    </xf>
    <xf numFmtId="0" fontId="9" fillId="37" borderId="0" xfId="39" applyFont="1" applyFill="1" applyAlignment="1">
      <alignment horizontal="center" vertical="center" wrapText="1"/>
      <protection/>
    </xf>
    <xf numFmtId="0" fontId="57" fillId="37" borderId="20" xfId="45" applyFont="1" applyFill="1" applyBorder="1">
      <alignment horizontal="center" vertical="center" wrapText="1"/>
      <protection/>
    </xf>
    <xf numFmtId="0" fontId="57" fillId="37" borderId="1" xfId="45" applyFont="1" applyFill="1" applyBorder="1">
      <alignment horizontal="center" vertical="center" wrapText="1"/>
      <protection/>
    </xf>
    <xf numFmtId="0" fontId="57" fillId="37" borderId="26" xfId="45" applyFont="1" applyFill="1" applyBorder="1">
      <alignment horizontal="center" vertical="center" wrapText="1"/>
      <protection/>
    </xf>
    <xf numFmtId="0" fontId="5" fillId="37" borderId="27" xfId="0" applyFont="1" applyFill="1" applyBorder="1" applyAlignment="1" applyProtection="1">
      <alignment horizontal="center" vertical="top" wrapText="1"/>
      <protection locked="0"/>
    </xf>
    <xf numFmtId="0" fontId="5" fillId="37" borderId="28" xfId="0" applyFont="1" applyFill="1" applyBorder="1" applyAlignment="1" applyProtection="1">
      <alignment horizontal="center" vertical="top" wrapText="1"/>
      <protection locked="0"/>
    </xf>
    <xf numFmtId="0" fontId="10" fillId="37" borderId="0" xfId="40" applyFont="1" applyFill="1" applyAlignment="1">
      <alignment horizontal="left" vertical="center" wrapText="1"/>
      <protection/>
    </xf>
    <xf numFmtId="4" fontId="9" fillId="37" borderId="0" xfId="0" applyNumberFormat="1" applyFont="1" applyFill="1" applyAlignment="1" applyProtection="1">
      <alignment horizontal="left" vertical="top" wrapText="1"/>
      <protection locked="0"/>
    </xf>
    <xf numFmtId="0" fontId="10" fillId="38" borderId="0" xfId="40" applyFont="1" applyFill="1" applyAlignment="1">
      <alignment horizontal="center" vertical="center" wrapText="1"/>
      <protection/>
    </xf>
    <xf numFmtId="0" fontId="12" fillId="37" borderId="0" xfId="0" applyFont="1" applyFill="1" applyAlignment="1">
      <alignment horizontal="center" wrapText="1"/>
    </xf>
    <xf numFmtId="0" fontId="61" fillId="37" borderId="0" xfId="41" applyFont="1" applyFill="1">
      <alignment horizontal="center" wrapText="1"/>
      <protection/>
    </xf>
    <xf numFmtId="0" fontId="57" fillId="37" borderId="18" xfId="45" applyFont="1" applyFill="1" applyBorder="1">
      <alignment horizontal="center" vertical="center" wrapText="1"/>
      <protection/>
    </xf>
    <xf numFmtId="0" fontId="57" fillId="37" borderId="23" xfId="45" applyFont="1" applyFill="1" applyBorder="1">
      <alignment horizontal="center" vertical="center" wrapText="1"/>
      <protection/>
    </xf>
    <xf numFmtId="0" fontId="61" fillId="37" borderId="0" xfId="42" applyFont="1" applyFill="1">
      <alignment horizontal="center"/>
      <protection/>
    </xf>
    <xf numFmtId="0" fontId="9" fillId="37" borderId="0" xfId="0" applyFont="1" applyFill="1" applyAlignment="1" applyProtection="1">
      <alignment horizontal="center"/>
      <protection locked="0"/>
    </xf>
    <xf numFmtId="4" fontId="9" fillId="37" borderId="0" xfId="0" applyNumberFormat="1" applyFont="1" applyFill="1" applyAlignment="1" applyProtection="1">
      <alignment horizontal="center" vertical="top"/>
      <protection locked="0"/>
    </xf>
    <xf numFmtId="0" fontId="39" fillId="37" borderId="0" xfId="43" applyFill="1" applyBorder="1" applyAlignment="1">
      <alignment horizontal="center"/>
      <protection/>
    </xf>
    <xf numFmtId="0" fontId="39" fillId="37" borderId="0" xfId="39" applyFill="1">
      <alignment horizontal="left" wrapText="1"/>
      <protection/>
    </xf>
    <xf numFmtId="49" fontId="41" fillId="37" borderId="15" xfId="52" applyFont="1" applyFill="1" applyBorder="1">
      <alignment horizontal="left" vertical="top" shrinkToFit="1"/>
      <protection/>
    </xf>
    <xf numFmtId="49" fontId="41" fillId="37" borderId="3" xfId="52" applyFont="1" applyFill="1" applyBorder="1">
      <alignment horizontal="left" vertical="top" shrinkToFit="1"/>
      <protection/>
    </xf>
    <xf numFmtId="49" fontId="41" fillId="37" borderId="21" xfId="52" applyFont="1" applyFill="1" applyBorder="1">
      <alignment horizontal="left" vertical="top" shrinkToFit="1"/>
      <protection/>
    </xf>
    <xf numFmtId="0" fontId="7" fillId="37" borderId="0" xfId="39" applyFont="1" applyFill="1">
      <alignment horizontal="left" wrapText="1"/>
      <protection/>
    </xf>
    <xf numFmtId="0" fontId="11" fillId="37" borderId="0" xfId="40" applyFont="1" applyFill="1" applyAlignment="1">
      <alignment horizontal="center" vertical="center" wrapText="1"/>
      <protection/>
    </xf>
    <xf numFmtId="0" fontId="5" fillId="37" borderId="29" xfId="0" applyFont="1" applyFill="1" applyBorder="1" applyAlignment="1" applyProtection="1">
      <alignment horizontal="center" vertical="center"/>
      <protection locked="0"/>
    </xf>
    <xf numFmtId="0" fontId="5" fillId="37" borderId="30" xfId="0" applyFont="1" applyFill="1" applyBorder="1" applyAlignment="1" applyProtection="1">
      <alignment horizontal="center" vertical="center"/>
      <protection locked="0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2 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0"/>
  <sheetViews>
    <sheetView showGridLines="0" showZeros="0" tabSelected="1" zoomScale="92" zoomScaleNormal="92" zoomScalePageLayoutView="0" workbookViewId="0" topLeftCell="B155">
      <selection activeCell="U123" sqref="U123"/>
    </sheetView>
  </sheetViews>
  <sheetFormatPr defaultColWidth="8.8515625" defaultRowHeight="15" outlineLevelRow="3"/>
  <cols>
    <col min="1" max="1" width="110.421875" style="2" hidden="1" customWidth="1"/>
    <col min="2" max="2" width="50.140625" style="7" customWidth="1"/>
    <col min="3" max="3" width="21.140625" style="7" customWidth="1"/>
    <col min="4" max="16" width="8.8515625" style="7" hidden="1" customWidth="1"/>
    <col min="17" max="17" width="17.421875" style="7" hidden="1" customWidth="1"/>
    <col min="18" max="18" width="16.421875" style="20" hidden="1" customWidth="1"/>
    <col min="19" max="19" width="16.7109375" style="20" hidden="1" customWidth="1"/>
    <col min="20" max="20" width="15.57421875" style="44" hidden="1" customWidth="1"/>
    <col min="21" max="21" width="16.140625" style="44" customWidth="1"/>
    <col min="22" max="22" width="11.28125" style="2" bestFit="1" customWidth="1"/>
    <col min="23" max="16384" width="8.8515625" style="2" customWidth="1"/>
  </cols>
  <sheetData>
    <row r="1" spans="1:21" s="19" customFormat="1" ht="14.25" customHeight="1" hidden="1">
      <c r="A1" s="16"/>
      <c r="B1" s="16"/>
      <c r="C1" s="66" t="s">
        <v>192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42"/>
      <c r="U1" s="42"/>
    </row>
    <row r="2" spans="1:21" s="19" customFormat="1" ht="105.75" customHeight="1" hidden="1">
      <c r="A2" s="16"/>
      <c r="B2" s="17"/>
      <c r="C2" s="67" t="s">
        <v>241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42"/>
      <c r="U2" s="42"/>
    </row>
    <row r="3" spans="1:21" s="19" customFormat="1" ht="37.5" customHeight="1">
      <c r="A3" s="18"/>
      <c r="B3" s="18"/>
      <c r="C3" s="78" t="s">
        <v>309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s="19" customFormat="1" ht="119.25" customHeight="1">
      <c r="A4" s="18"/>
      <c r="B4" s="18"/>
      <c r="C4" s="76" t="s">
        <v>308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1" s="9" customFormat="1" ht="19.5" customHeight="1">
      <c r="A5" s="10"/>
      <c r="B5" s="7"/>
      <c r="C5" s="85" t="s">
        <v>310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s="9" customFormat="1" ht="83.25" customHeight="1">
      <c r="A6" s="11"/>
      <c r="B6" s="12"/>
      <c r="C6" s="77" t="s">
        <v>242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ht="15.75" hidden="1"/>
    <row r="8" spans="1:21" s="19" customFormat="1" ht="15.75" hidden="1">
      <c r="A8" s="18"/>
      <c r="B8" s="18"/>
      <c r="C8" s="78" t="s">
        <v>206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42"/>
      <c r="U8" s="42"/>
    </row>
    <row r="9" spans="1:21" s="19" customFormat="1" ht="75" customHeight="1" hidden="1">
      <c r="A9" s="18"/>
      <c r="B9" s="18"/>
      <c r="C9" s="92" t="s">
        <v>235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2"/>
      <c r="U9" s="42"/>
    </row>
    <row r="10" spans="1:21" s="9" customFormat="1" ht="30.75" customHeight="1" hidden="1">
      <c r="A10" s="10"/>
      <c r="B10" s="7"/>
      <c r="C10" s="84" t="s">
        <v>174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43"/>
      <c r="U10" s="43"/>
    </row>
    <row r="11" spans="1:21" s="9" customFormat="1" ht="89.25" customHeight="1" hidden="1">
      <c r="A11" s="11"/>
      <c r="B11" s="12"/>
      <c r="C11" s="70" t="s">
        <v>201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43"/>
      <c r="U11" s="43"/>
    </row>
    <row r="12" spans="1:17" ht="30" customHeight="1" hidden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21" ht="72.75" customHeight="1">
      <c r="A13" s="21"/>
      <c r="B13" s="79" t="s">
        <v>243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17" ht="1.5" customHeight="1" hidden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ht="0" customHeight="1" hidden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21" ht="14.25" customHeight="1">
      <c r="A16" s="86" t="s">
        <v>311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4.25" customHeight="1">
      <c r="A17" s="22"/>
      <c r="B17" s="81" t="s">
        <v>164</v>
      </c>
      <c r="C17" s="81" t="s">
        <v>165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68" t="s">
        <v>207</v>
      </c>
      <c r="R17" s="74" t="s">
        <v>238</v>
      </c>
      <c r="S17" s="68" t="s">
        <v>244</v>
      </c>
      <c r="T17" s="74" t="s">
        <v>277</v>
      </c>
      <c r="U17" s="93" t="s">
        <v>267</v>
      </c>
    </row>
    <row r="18" spans="1:21" ht="52.5" customHeight="1">
      <c r="A18" s="24" t="s">
        <v>0</v>
      </c>
      <c r="B18" s="82"/>
      <c r="C18" s="82"/>
      <c r="D18" s="46" t="s">
        <v>0</v>
      </c>
      <c r="E18" s="46" t="s">
        <v>0</v>
      </c>
      <c r="F18" s="71" t="s">
        <v>1</v>
      </c>
      <c r="G18" s="72"/>
      <c r="H18" s="73"/>
      <c r="I18" s="71" t="s">
        <v>2</v>
      </c>
      <c r="J18" s="72"/>
      <c r="K18" s="73"/>
      <c r="L18" s="46" t="s">
        <v>0</v>
      </c>
      <c r="M18" s="46" t="s">
        <v>0</v>
      </c>
      <c r="N18" s="46" t="s">
        <v>0</v>
      </c>
      <c r="O18" s="46" t="s">
        <v>0</v>
      </c>
      <c r="P18" s="46" t="s">
        <v>0</v>
      </c>
      <c r="Q18" s="69"/>
      <c r="R18" s="75"/>
      <c r="S18" s="69"/>
      <c r="T18" s="75"/>
      <c r="U18" s="94"/>
    </row>
    <row r="19" spans="1:21" ht="14.25" customHeight="1">
      <c r="A19" s="1" t="s">
        <v>3</v>
      </c>
      <c r="B19" s="3" t="s">
        <v>4</v>
      </c>
      <c r="C19" s="4" t="s">
        <v>3</v>
      </c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6">
        <v>75819100</v>
      </c>
      <c r="P19" s="6">
        <v>0</v>
      </c>
      <c r="Q19" s="8">
        <f>Q20+Q25+Q33+Q46+Q50+Q53+Q60+Q63+Q74+Q82+Q88+Q96+Q112</f>
        <v>88979000</v>
      </c>
      <c r="R19" s="14">
        <f>R20+R25+R33+R46+R50+R53+R60+R63+R74+R82+R88+R96+R112</f>
        <v>3233100</v>
      </c>
      <c r="S19" s="61">
        <f>S20+S25+S33+S46+S50+S53+S60+S63+S74+S82+S88+S96+S112</f>
        <v>93875100</v>
      </c>
      <c r="T19" s="62">
        <f>U19-S19</f>
        <v>-3826500</v>
      </c>
      <c r="U19" s="62">
        <f>U20+U25+U33+U46+U50+U53+U60+U63+U74+U82+U88+U96+U112</f>
        <v>90048600</v>
      </c>
    </row>
    <row r="20" spans="1:21" ht="14.25" customHeight="1" outlineLevel="1">
      <c r="A20" s="1" t="s">
        <v>5</v>
      </c>
      <c r="B20" s="3" t="s">
        <v>6</v>
      </c>
      <c r="C20" s="4" t="s">
        <v>5</v>
      </c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6">
        <v>58017000</v>
      </c>
      <c r="P20" s="6">
        <v>0</v>
      </c>
      <c r="Q20" s="8">
        <f>Q21</f>
        <v>71830900</v>
      </c>
      <c r="R20" s="14">
        <f>R21</f>
        <v>3973100</v>
      </c>
      <c r="S20" s="61">
        <f>S21</f>
        <v>75804000</v>
      </c>
      <c r="T20" s="62">
        <f aca="true" t="shared" si="0" ref="T20:T86">U20-S20</f>
        <v>-2730800</v>
      </c>
      <c r="U20" s="62">
        <f>U21</f>
        <v>73073200</v>
      </c>
    </row>
    <row r="21" spans="1:21" ht="14.25" customHeight="1" outlineLevel="2">
      <c r="A21" s="1" t="s">
        <v>7</v>
      </c>
      <c r="B21" s="3" t="s">
        <v>8</v>
      </c>
      <c r="C21" s="4" t="s">
        <v>7</v>
      </c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6">
        <v>58017000</v>
      </c>
      <c r="P21" s="6">
        <v>0</v>
      </c>
      <c r="Q21" s="8">
        <f>Q22+Q23+Q24</f>
        <v>71830900</v>
      </c>
      <c r="R21" s="14">
        <f>R22+R23+R24</f>
        <v>3973100</v>
      </c>
      <c r="S21" s="61">
        <f>S22+S23+S24</f>
        <v>75804000</v>
      </c>
      <c r="T21" s="62">
        <f t="shared" si="0"/>
        <v>-2730800</v>
      </c>
      <c r="U21" s="62">
        <f>U22+U23+U24</f>
        <v>73073200</v>
      </c>
    </row>
    <row r="22" spans="1:21" ht="112.5" customHeight="1" outlineLevel="3">
      <c r="A22" s="1" t="s">
        <v>9</v>
      </c>
      <c r="B22" s="3" t="s">
        <v>10</v>
      </c>
      <c r="C22" s="4" t="s">
        <v>9</v>
      </c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6">
        <v>57510000</v>
      </c>
      <c r="P22" s="6">
        <v>0</v>
      </c>
      <c r="Q22" s="8">
        <v>71328000</v>
      </c>
      <c r="R22" s="15">
        <f>S22-Q22</f>
        <v>3886000</v>
      </c>
      <c r="S22" s="61">
        <v>75214000</v>
      </c>
      <c r="T22" s="62">
        <f>U22-S22</f>
        <v>-3046800</v>
      </c>
      <c r="U22" s="60">
        <f>S22-3046800</f>
        <v>72167200</v>
      </c>
    </row>
    <row r="23" spans="1:21" ht="112.5" customHeight="1" outlineLevel="3">
      <c r="A23" s="1" t="s">
        <v>55</v>
      </c>
      <c r="B23" s="3" t="s">
        <v>56</v>
      </c>
      <c r="C23" s="4" t="s">
        <v>55</v>
      </c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6">
        <v>203000</v>
      </c>
      <c r="P23" s="6">
        <v>0</v>
      </c>
      <c r="Q23" s="8">
        <v>359200</v>
      </c>
      <c r="R23" s="15">
        <f aca="true" t="shared" si="1" ref="R23:R102">S23-Q23</f>
        <v>-9200</v>
      </c>
      <c r="S23" s="61">
        <v>350000</v>
      </c>
      <c r="T23" s="62">
        <f t="shared" si="0"/>
        <v>0</v>
      </c>
      <c r="U23" s="60">
        <f>S23</f>
        <v>350000</v>
      </c>
    </row>
    <row r="24" spans="1:21" ht="45.75" customHeight="1" outlineLevel="3">
      <c r="A24" s="1" t="s">
        <v>11</v>
      </c>
      <c r="B24" s="3" t="s">
        <v>12</v>
      </c>
      <c r="C24" s="4" t="s">
        <v>11</v>
      </c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6">
        <v>304000</v>
      </c>
      <c r="P24" s="6">
        <v>0</v>
      </c>
      <c r="Q24" s="25">
        <v>143700</v>
      </c>
      <c r="R24" s="15">
        <f t="shared" si="1"/>
        <v>96300</v>
      </c>
      <c r="S24" s="61">
        <v>240000</v>
      </c>
      <c r="T24" s="62">
        <f t="shared" si="0"/>
        <v>316000</v>
      </c>
      <c r="U24" s="60">
        <f>S24+316000</f>
        <v>556000</v>
      </c>
    </row>
    <row r="25" spans="1:21" ht="57.75" customHeight="1" outlineLevel="1">
      <c r="A25" s="1" t="s">
        <v>13</v>
      </c>
      <c r="B25" s="3" t="s">
        <v>14</v>
      </c>
      <c r="C25" s="4" t="s">
        <v>13</v>
      </c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6">
        <v>3708400</v>
      </c>
      <c r="P25" s="8">
        <v>0</v>
      </c>
      <c r="Q25" s="33">
        <f>Q26+Q28+Q31+Q27+Q29+Q30</f>
        <v>3597600</v>
      </c>
      <c r="R25" s="14">
        <f>R26+R28+R31+R27+R29+R30</f>
        <v>494000</v>
      </c>
      <c r="S25" s="61">
        <f>S26+S28+S31+S27+S29+S30</f>
        <v>4091600</v>
      </c>
      <c r="T25" s="62">
        <f t="shared" si="0"/>
        <v>-369500</v>
      </c>
      <c r="U25" s="62">
        <f>U26+U28+U31+U27+U29+U30</f>
        <v>3722100</v>
      </c>
    </row>
    <row r="26" spans="1:21" ht="97.5" customHeight="1" hidden="1" outlineLevel="3">
      <c r="A26" s="1" t="s">
        <v>15</v>
      </c>
      <c r="B26" s="3" t="s">
        <v>16</v>
      </c>
      <c r="C26" s="4" t="s">
        <v>15</v>
      </c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6">
        <v>1158400</v>
      </c>
      <c r="P26" s="6">
        <v>0</v>
      </c>
      <c r="Q26" s="26">
        <v>0</v>
      </c>
      <c r="R26" s="15">
        <f t="shared" si="1"/>
        <v>0</v>
      </c>
      <c r="S26" s="61">
        <f>Q26</f>
        <v>0</v>
      </c>
      <c r="T26" s="62">
        <f t="shared" si="0"/>
        <v>0</v>
      </c>
      <c r="U26" s="60"/>
    </row>
    <row r="27" spans="1:21" ht="141" customHeight="1" outlineLevel="3">
      <c r="A27" s="1" t="s">
        <v>15</v>
      </c>
      <c r="B27" s="3" t="s">
        <v>251</v>
      </c>
      <c r="C27" s="4" t="s">
        <v>208</v>
      </c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6">
        <v>1158400</v>
      </c>
      <c r="P27" s="6">
        <v>0</v>
      </c>
      <c r="Q27" s="8">
        <v>1427800</v>
      </c>
      <c r="R27" s="15">
        <f>S27-Q27</f>
        <v>243600</v>
      </c>
      <c r="S27" s="61">
        <v>1671400</v>
      </c>
      <c r="T27" s="62">
        <f t="shared" si="0"/>
        <v>76400</v>
      </c>
      <c r="U27" s="60">
        <f>S27+76400</f>
        <v>1747800</v>
      </c>
    </row>
    <row r="28" spans="1:21" ht="92.25" customHeight="1" hidden="1" outlineLevel="3">
      <c r="A28" s="1" t="s">
        <v>17</v>
      </c>
      <c r="B28" s="3" t="s">
        <v>18</v>
      </c>
      <c r="C28" s="4" t="s">
        <v>17</v>
      </c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6">
        <v>50000</v>
      </c>
      <c r="P28" s="6">
        <v>0</v>
      </c>
      <c r="Q28" s="8">
        <v>0</v>
      </c>
      <c r="R28" s="15">
        <f t="shared" si="1"/>
        <v>0</v>
      </c>
      <c r="S28" s="61"/>
      <c r="T28" s="62">
        <f t="shared" si="0"/>
        <v>0</v>
      </c>
      <c r="U28" s="60">
        <f>S28</f>
        <v>0</v>
      </c>
    </row>
    <row r="29" spans="1:21" ht="159" customHeight="1" outlineLevel="3">
      <c r="A29" s="1" t="s">
        <v>17</v>
      </c>
      <c r="B29" s="3" t="s">
        <v>250</v>
      </c>
      <c r="C29" s="4" t="s">
        <v>209</v>
      </c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6">
        <v>50000</v>
      </c>
      <c r="P29" s="6">
        <v>0</v>
      </c>
      <c r="Q29" s="8">
        <v>9100</v>
      </c>
      <c r="R29" s="15">
        <f>S29-Q29</f>
        <v>3900</v>
      </c>
      <c r="S29" s="61">
        <v>13000</v>
      </c>
      <c r="T29" s="62">
        <f t="shared" si="0"/>
        <v>-2000</v>
      </c>
      <c r="U29" s="60">
        <f>S29-2000</f>
        <v>11000</v>
      </c>
    </row>
    <row r="30" spans="1:21" ht="102.75" customHeight="1" hidden="1" outlineLevel="3">
      <c r="A30" s="1" t="s">
        <v>19</v>
      </c>
      <c r="B30" s="3" t="s">
        <v>20</v>
      </c>
      <c r="C30" s="4" t="s">
        <v>19</v>
      </c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6">
        <v>2500000</v>
      </c>
      <c r="P30" s="6">
        <v>0</v>
      </c>
      <c r="Q30" s="8">
        <v>0</v>
      </c>
      <c r="R30" s="15">
        <f>S30-Q30</f>
        <v>0</v>
      </c>
      <c r="S30" s="61"/>
      <c r="T30" s="62">
        <f t="shared" si="0"/>
        <v>0</v>
      </c>
      <c r="U30" s="60">
        <f>S30</f>
        <v>0</v>
      </c>
    </row>
    <row r="31" spans="1:21" ht="153.75" customHeight="1" outlineLevel="3">
      <c r="A31" s="1" t="s">
        <v>19</v>
      </c>
      <c r="B31" s="3" t="s">
        <v>249</v>
      </c>
      <c r="C31" s="4" t="s">
        <v>210</v>
      </c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6">
        <v>2500000</v>
      </c>
      <c r="P31" s="6">
        <v>0</v>
      </c>
      <c r="Q31" s="8">
        <v>2160700</v>
      </c>
      <c r="R31" s="15">
        <f t="shared" si="1"/>
        <v>246500</v>
      </c>
      <c r="S31" s="61">
        <v>2407200</v>
      </c>
      <c r="T31" s="62">
        <f t="shared" si="0"/>
        <v>-443900</v>
      </c>
      <c r="U31" s="60">
        <f>S31-443900</f>
        <v>1963300</v>
      </c>
    </row>
    <row r="32" spans="1:21" ht="102" customHeight="1" hidden="1" outlineLevel="3">
      <c r="A32" s="1" t="s">
        <v>21</v>
      </c>
      <c r="B32" s="3" t="s">
        <v>22</v>
      </c>
      <c r="C32" s="4" t="s">
        <v>21</v>
      </c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6">
        <v>0</v>
      </c>
      <c r="P32" s="6">
        <v>0</v>
      </c>
      <c r="Q32" s="8">
        <v>0</v>
      </c>
      <c r="R32" s="15">
        <f t="shared" si="1"/>
        <v>0</v>
      </c>
      <c r="S32" s="61">
        <f>Q32</f>
        <v>0</v>
      </c>
      <c r="T32" s="62">
        <f t="shared" si="0"/>
        <v>0</v>
      </c>
      <c r="U32" s="60"/>
    </row>
    <row r="33" spans="1:21" ht="29.25" customHeight="1" outlineLevel="1" collapsed="1">
      <c r="A33" s="1" t="s">
        <v>23</v>
      </c>
      <c r="B33" s="3" t="s">
        <v>24</v>
      </c>
      <c r="C33" s="4" t="s">
        <v>23</v>
      </c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6">
        <v>5991600</v>
      </c>
      <c r="P33" s="6">
        <v>0</v>
      </c>
      <c r="Q33" s="8">
        <f>Q38+Q41+Q44</f>
        <v>5152300</v>
      </c>
      <c r="R33" s="14">
        <f>R38+R41+R44</f>
        <v>-564100</v>
      </c>
      <c r="S33" s="61">
        <f>S34+S38+S41+S44</f>
        <v>4938200</v>
      </c>
      <c r="T33" s="62">
        <f t="shared" si="0"/>
        <v>79400</v>
      </c>
      <c r="U33" s="62">
        <f>U34+U38+U41+U44</f>
        <v>5017600</v>
      </c>
    </row>
    <row r="34" spans="1:21" ht="29.25" customHeight="1" outlineLevel="1">
      <c r="A34" s="1"/>
      <c r="B34" s="3" t="s">
        <v>252</v>
      </c>
      <c r="C34" s="4" t="s">
        <v>253</v>
      </c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  <c r="O34" s="6"/>
      <c r="P34" s="6"/>
      <c r="Q34" s="8"/>
      <c r="R34" s="14"/>
      <c r="S34" s="61">
        <f>S35+S36+S37</f>
        <v>350000</v>
      </c>
      <c r="T34" s="62">
        <f t="shared" si="0"/>
        <v>165000</v>
      </c>
      <c r="U34" s="62">
        <f>U35+U36+U37</f>
        <v>515000</v>
      </c>
    </row>
    <row r="35" spans="1:21" ht="44.25" customHeight="1" outlineLevel="1">
      <c r="A35" s="1"/>
      <c r="B35" s="3" t="s">
        <v>272</v>
      </c>
      <c r="C35" s="54" t="s">
        <v>274</v>
      </c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6"/>
      <c r="P35" s="6"/>
      <c r="Q35" s="8"/>
      <c r="R35" s="14"/>
      <c r="S35" s="61">
        <v>300000</v>
      </c>
      <c r="T35" s="62">
        <f t="shared" si="0"/>
        <v>-15000</v>
      </c>
      <c r="U35" s="62">
        <f>S35-15000</f>
        <v>285000</v>
      </c>
    </row>
    <row r="36" spans="1:21" ht="87.75" customHeight="1" outlineLevel="1">
      <c r="A36" s="1"/>
      <c r="B36" s="3" t="s">
        <v>273</v>
      </c>
      <c r="C36" s="54" t="s">
        <v>275</v>
      </c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6"/>
      <c r="P36" s="6"/>
      <c r="Q36" s="8"/>
      <c r="R36" s="14"/>
      <c r="S36" s="61">
        <v>50000</v>
      </c>
      <c r="T36" s="62">
        <f t="shared" si="0"/>
        <v>180000</v>
      </c>
      <c r="U36" s="62">
        <f>S36+180000</f>
        <v>230000</v>
      </c>
    </row>
    <row r="37" spans="1:21" ht="29.25" customHeight="1" hidden="1" outlineLevel="1">
      <c r="A37" s="1"/>
      <c r="B37" s="3" t="s">
        <v>264</v>
      </c>
      <c r="C37" s="4" t="s">
        <v>268</v>
      </c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6"/>
      <c r="P37" s="6"/>
      <c r="Q37" s="8"/>
      <c r="R37" s="14"/>
      <c r="S37" s="61">
        <v>0</v>
      </c>
      <c r="T37" s="62">
        <f t="shared" si="0"/>
        <v>0</v>
      </c>
      <c r="U37" s="60">
        <f>S37</f>
        <v>0</v>
      </c>
    </row>
    <row r="38" spans="1:21" ht="39.75" customHeight="1" outlineLevel="2">
      <c r="A38" s="1" t="s">
        <v>64</v>
      </c>
      <c r="B38" s="3" t="s">
        <v>169</v>
      </c>
      <c r="C38" s="4" t="s">
        <v>64</v>
      </c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6">
        <v>5200000</v>
      </c>
      <c r="P38" s="6">
        <v>0</v>
      </c>
      <c r="Q38" s="8">
        <f>Q39+Q40</f>
        <v>4400000</v>
      </c>
      <c r="R38" s="14">
        <f>R39+R40</f>
        <v>-455000</v>
      </c>
      <c r="S38" s="61">
        <f>S39+S40</f>
        <v>3945000</v>
      </c>
      <c r="T38" s="62">
        <f t="shared" si="0"/>
        <v>-587000</v>
      </c>
      <c r="U38" s="62">
        <f>U39+U40</f>
        <v>3358000</v>
      </c>
    </row>
    <row r="39" spans="1:21" ht="37.5" customHeight="1" outlineLevel="3">
      <c r="A39" s="1" t="s">
        <v>65</v>
      </c>
      <c r="B39" s="3" t="s">
        <v>66</v>
      </c>
      <c r="C39" s="4" t="s">
        <v>65</v>
      </c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6">
        <v>5200000</v>
      </c>
      <c r="P39" s="6">
        <v>0</v>
      </c>
      <c r="Q39" s="8">
        <v>4400000</v>
      </c>
      <c r="R39" s="15">
        <f t="shared" si="1"/>
        <v>-455000</v>
      </c>
      <c r="S39" s="61">
        <v>3945000</v>
      </c>
      <c r="T39" s="62">
        <f t="shared" si="0"/>
        <v>-587000</v>
      </c>
      <c r="U39" s="60">
        <f>S39-587000</f>
        <v>3358000</v>
      </c>
    </row>
    <row r="40" spans="1:21" ht="51.75" customHeight="1" hidden="1" outlineLevel="3">
      <c r="A40" s="1" t="s">
        <v>67</v>
      </c>
      <c r="B40" s="3" t="s">
        <v>68</v>
      </c>
      <c r="C40" s="4" t="s">
        <v>67</v>
      </c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6">
        <v>0</v>
      </c>
      <c r="P40" s="6">
        <v>0</v>
      </c>
      <c r="Q40" s="8">
        <v>0</v>
      </c>
      <c r="R40" s="15">
        <f t="shared" si="1"/>
        <v>0</v>
      </c>
      <c r="S40" s="61">
        <f>Q40</f>
        <v>0</v>
      </c>
      <c r="T40" s="62">
        <f t="shared" si="0"/>
        <v>0</v>
      </c>
      <c r="U40" s="60"/>
    </row>
    <row r="41" spans="1:21" ht="14.25" customHeight="1" outlineLevel="2" collapsed="1">
      <c r="A41" s="1" t="s">
        <v>25</v>
      </c>
      <c r="B41" s="3" t="s">
        <v>26</v>
      </c>
      <c r="C41" s="4" t="s">
        <v>25</v>
      </c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6">
        <v>721600</v>
      </c>
      <c r="P41" s="6">
        <v>0</v>
      </c>
      <c r="Q41" s="8">
        <f>Q42+Q43</f>
        <v>667600</v>
      </c>
      <c r="R41" s="14">
        <f>R42+R43</f>
        <v>-51600</v>
      </c>
      <c r="S41" s="61">
        <f>S42+S43</f>
        <v>616000</v>
      </c>
      <c r="T41" s="62">
        <f t="shared" si="0"/>
        <v>516100</v>
      </c>
      <c r="U41" s="62">
        <f>U42+U43</f>
        <v>1132100</v>
      </c>
    </row>
    <row r="42" spans="1:21" ht="14.25" customHeight="1" outlineLevel="3">
      <c r="A42" s="1" t="s">
        <v>27</v>
      </c>
      <c r="B42" s="3" t="s">
        <v>28</v>
      </c>
      <c r="C42" s="4" t="s">
        <v>27</v>
      </c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6">
        <v>721600</v>
      </c>
      <c r="P42" s="6">
        <v>0</v>
      </c>
      <c r="Q42" s="8">
        <v>667600</v>
      </c>
      <c r="R42" s="15">
        <f t="shared" si="1"/>
        <v>-51600</v>
      </c>
      <c r="S42" s="61">
        <v>616000</v>
      </c>
      <c r="T42" s="62">
        <f t="shared" si="0"/>
        <v>516100</v>
      </c>
      <c r="U42" s="60">
        <f>S42+516100</f>
        <v>1132100</v>
      </c>
    </row>
    <row r="43" spans="1:21" ht="54" customHeight="1" hidden="1" outlineLevel="3">
      <c r="A43" s="1" t="s">
        <v>69</v>
      </c>
      <c r="B43" s="3" t="s">
        <v>70</v>
      </c>
      <c r="C43" s="4" t="s">
        <v>69</v>
      </c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6">
        <v>0</v>
      </c>
      <c r="P43" s="6">
        <v>0</v>
      </c>
      <c r="Q43" s="8">
        <v>0</v>
      </c>
      <c r="R43" s="15">
        <f t="shared" si="1"/>
        <v>0</v>
      </c>
      <c r="S43" s="61">
        <f>Q43</f>
        <v>0</v>
      </c>
      <c r="T43" s="62">
        <f t="shared" si="0"/>
        <v>0</v>
      </c>
      <c r="U43" s="60"/>
    </row>
    <row r="44" spans="1:21" ht="34.5" customHeight="1" outlineLevel="2" collapsed="1">
      <c r="A44" s="1" t="s">
        <v>71</v>
      </c>
      <c r="B44" s="3" t="s">
        <v>72</v>
      </c>
      <c r="C44" s="4" t="s">
        <v>71</v>
      </c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6">
        <v>70000</v>
      </c>
      <c r="P44" s="6">
        <v>0</v>
      </c>
      <c r="Q44" s="8">
        <f>Q45</f>
        <v>84700</v>
      </c>
      <c r="R44" s="14">
        <f>R45</f>
        <v>-57500</v>
      </c>
      <c r="S44" s="61">
        <f>S45</f>
        <v>27200</v>
      </c>
      <c r="T44" s="62">
        <f t="shared" si="0"/>
        <v>-14700</v>
      </c>
      <c r="U44" s="61">
        <f>U45</f>
        <v>12500</v>
      </c>
    </row>
    <row r="45" spans="1:21" ht="53.25" customHeight="1" outlineLevel="3">
      <c r="A45" s="1" t="s">
        <v>73</v>
      </c>
      <c r="B45" s="3" t="s">
        <v>74</v>
      </c>
      <c r="C45" s="4" t="s">
        <v>73</v>
      </c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6">
        <v>70000</v>
      </c>
      <c r="P45" s="6">
        <v>0</v>
      </c>
      <c r="Q45" s="8">
        <v>84700</v>
      </c>
      <c r="R45" s="15">
        <f t="shared" si="1"/>
        <v>-57500</v>
      </c>
      <c r="S45" s="61">
        <v>27200</v>
      </c>
      <c r="T45" s="62">
        <f t="shared" si="0"/>
        <v>-14700</v>
      </c>
      <c r="U45" s="60">
        <f>S45-14700</f>
        <v>12500</v>
      </c>
    </row>
    <row r="46" spans="1:21" ht="14.25" customHeight="1" outlineLevel="1">
      <c r="A46" s="1" t="s">
        <v>29</v>
      </c>
      <c r="B46" s="3" t="s">
        <v>30</v>
      </c>
      <c r="C46" s="4" t="s">
        <v>29</v>
      </c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6">
        <v>792100</v>
      </c>
      <c r="P46" s="6">
        <v>0</v>
      </c>
      <c r="Q46" s="8">
        <f>Q47</f>
        <v>900000</v>
      </c>
      <c r="R46" s="14">
        <f>R47</f>
        <v>144900</v>
      </c>
      <c r="S46" s="61">
        <f>S47</f>
        <v>1044900</v>
      </c>
      <c r="T46" s="62">
        <f t="shared" si="0"/>
        <v>192600</v>
      </c>
      <c r="U46" s="62">
        <f>U47</f>
        <v>1237500</v>
      </c>
    </row>
    <row r="47" spans="1:21" ht="14.25" customHeight="1" outlineLevel="2">
      <c r="A47" s="1" t="s">
        <v>75</v>
      </c>
      <c r="B47" s="3" t="s">
        <v>76</v>
      </c>
      <c r="C47" s="4" t="s">
        <v>75</v>
      </c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6">
        <v>792100</v>
      </c>
      <c r="P47" s="6">
        <v>0</v>
      </c>
      <c r="Q47" s="8">
        <f>Q48+Q49</f>
        <v>900000</v>
      </c>
      <c r="R47" s="14">
        <f>R48+R49</f>
        <v>144900</v>
      </c>
      <c r="S47" s="61">
        <f>S48+S49</f>
        <v>1044900</v>
      </c>
      <c r="T47" s="62">
        <f t="shared" si="0"/>
        <v>192600</v>
      </c>
      <c r="U47" s="62">
        <f>U48+U49</f>
        <v>1237500</v>
      </c>
    </row>
    <row r="48" spans="1:21" ht="14.25" customHeight="1" outlineLevel="3">
      <c r="A48" s="1" t="s">
        <v>77</v>
      </c>
      <c r="B48" s="3" t="s">
        <v>78</v>
      </c>
      <c r="C48" s="4" t="s">
        <v>77</v>
      </c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  <c r="O48" s="6">
        <v>175000</v>
      </c>
      <c r="P48" s="6">
        <v>0</v>
      </c>
      <c r="Q48" s="8">
        <v>198900</v>
      </c>
      <c r="R48" s="15">
        <f t="shared" si="1"/>
        <v>-28900</v>
      </c>
      <c r="S48" s="61">
        <v>170000</v>
      </c>
      <c r="T48" s="62">
        <f t="shared" si="0"/>
        <v>20000</v>
      </c>
      <c r="U48" s="60">
        <f>S48+20000</f>
        <v>190000</v>
      </c>
    </row>
    <row r="49" spans="1:21" ht="14.25" customHeight="1" outlineLevel="3">
      <c r="A49" s="1" t="s">
        <v>79</v>
      </c>
      <c r="B49" s="3" t="s">
        <v>80</v>
      </c>
      <c r="C49" s="4" t="s">
        <v>79</v>
      </c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  <c r="O49" s="6">
        <v>617100</v>
      </c>
      <c r="P49" s="6">
        <v>0</v>
      </c>
      <c r="Q49" s="8">
        <v>701100</v>
      </c>
      <c r="R49" s="15">
        <f t="shared" si="1"/>
        <v>173800</v>
      </c>
      <c r="S49" s="61">
        <v>874900</v>
      </c>
      <c r="T49" s="62">
        <f t="shared" si="0"/>
        <v>172600</v>
      </c>
      <c r="U49" s="60">
        <f>S49+172600</f>
        <v>1047500</v>
      </c>
    </row>
    <row r="50" spans="1:21" ht="55.5" customHeight="1" outlineLevel="1">
      <c r="A50" s="1" t="s">
        <v>81</v>
      </c>
      <c r="B50" s="3" t="s">
        <v>82</v>
      </c>
      <c r="C50" s="4" t="s">
        <v>81</v>
      </c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  <c r="O50" s="6">
        <v>1090700</v>
      </c>
      <c r="P50" s="6">
        <v>0</v>
      </c>
      <c r="Q50" s="8">
        <f aca="true" t="shared" si="2" ref="Q50:U51">Q51</f>
        <v>421500</v>
      </c>
      <c r="R50" s="14">
        <f t="shared" si="2"/>
        <v>144200</v>
      </c>
      <c r="S50" s="61">
        <f t="shared" si="2"/>
        <v>565700</v>
      </c>
      <c r="T50" s="62">
        <f t="shared" si="0"/>
        <v>0</v>
      </c>
      <c r="U50" s="62">
        <f t="shared" si="2"/>
        <v>565700</v>
      </c>
    </row>
    <row r="51" spans="1:21" ht="14.25" customHeight="1" outlineLevel="2">
      <c r="A51" s="1" t="s">
        <v>83</v>
      </c>
      <c r="B51" s="3" t="s">
        <v>168</v>
      </c>
      <c r="C51" s="4" t="s">
        <v>83</v>
      </c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6">
        <v>1090700</v>
      </c>
      <c r="P51" s="6">
        <v>0</v>
      </c>
      <c r="Q51" s="8">
        <f t="shared" si="2"/>
        <v>421500</v>
      </c>
      <c r="R51" s="14">
        <f t="shared" si="2"/>
        <v>144200</v>
      </c>
      <c r="S51" s="61">
        <f t="shared" si="2"/>
        <v>565700</v>
      </c>
      <c r="T51" s="62">
        <f t="shared" si="0"/>
        <v>0</v>
      </c>
      <c r="U51" s="62">
        <f>S51</f>
        <v>565700</v>
      </c>
    </row>
    <row r="52" spans="1:21" ht="39.75" customHeight="1" outlineLevel="3">
      <c r="A52" s="1" t="s">
        <v>84</v>
      </c>
      <c r="B52" s="3" t="s">
        <v>167</v>
      </c>
      <c r="C52" s="4" t="s">
        <v>84</v>
      </c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6">
        <v>1090700</v>
      </c>
      <c r="P52" s="6">
        <v>0</v>
      </c>
      <c r="Q52" s="8">
        <v>421500</v>
      </c>
      <c r="R52" s="15">
        <f t="shared" si="1"/>
        <v>144200</v>
      </c>
      <c r="S52" s="61">
        <v>565700</v>
      </c>
      <c r="T52" s="62">
        <f t="shared" si="0"/>
        <v>0</v>
      </c>
      <c r="U52" s="62">
        <f>S52</f>
        <v>565700</v>
      </c>
    </row>
    <row r="53" spans="1:21" ht="14.25" customHeight="1" outlineLevel="1">
      <c r="A53" s="1" t="s">
        <v>31</v>
      </c>
      <c r="B53" s="3" t="s">
        <v>32</v>
      </c>
      <c r="C53" s="4" t="s">
        <v>31</v>
      </c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6">
        <v>1202800</v>
      </c>
      <c r="P53" s="6">
        <v>0</v>
      </c>
      <c r="Q53" s="8">
        <f>Q54+Q55+Q57+Q58</f>
        <v>970600</v>
      </c>
      <c r="R53" s="14">
        <f>R54+R55+R57+R58</f>
        <v>395400</v>
      </c>
      <c r="S53" s="61">
        <f>S54+S55+S57+S58+S59+S56</f>
        <v>1366000</v>
      </c>
      <c r="T53" s="61">
        <f>T54+T55+T57+T58+T59+T56</f>
        <v>-115000</v>
      </c>
      <c r="U53" s="61">
        <f>U54+U55+U57+U58+U59+U56</f>
        <v>1251000</v>
      </c>
    </row>
    <row r="54" spans="1:21" ht="66" customHeight="1" outlineLevel="3">
      <c r="A54" s="1" t="s">
        <v>85</v>
      </c>
      <c r="B54" s="3" t="s">
        <v>86</v>
      </c>
      <c r="C54" s="4" t="s">
        <v>85</v>
      </c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  <c r="O54" s="6">
        <v>1202800</v>
      </c>
      <c r="P54" s="6">
        <v>-360500</v>
      </c>
      <c r="Q54" s="8">
        <v>628100</v>
      </c>
      <c r="R54" s="15">
        <f t="shared" si="1"/>
        <v>198000</v>
      </c>
      <c r="S54" s="61">
        <v>826100</v>
      </c>
      <c r="T54" s="62">
        <f t="shared" si="0"/>
        <v>142100</v>
      </c>
      <c r="U54" s="60">
        <f>S54+142100</f>
        <v>968200</v>
      </c>
    </row>
    <row r="55" spans="1:21" ht="78.75" customHeight="1" outlineLevel="3">
      <c r="A55" s="1" t="s">
        <v>87</v>
      </c>
      <c r="B55" s="3" t="s">
        <v>88</v>
      </c>
      <c r="C55" s="4" t="s">
        <v>87</v>
      </c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6">
        <v>0</v>
      </c>
      <c r="P55" s="6">
        <v>0</v>
      </c>
      <c r="Q55" s="8">
        <v>2000</v>
      </c>
      <c r="R55" s="15">
        <f t="shared" si="1"/>
        <v>-200</v>
      </c>
      <c r="S55" s="61">
        <v>1800</v>
      </c>
      <c r="T55" s="62">
        <f t="shared" si="0"/>
        <v>1200</v>
      </c>
      <c r="U55" s="60">
        <f>S55+1200</f>
        <v>3000</v>
      </c>
    </row>
    <row r="56" spans="1:21" ht="105" customHeight="1" hidden="1" outlineLevel="3">
      <c r="A56" s="1" t="s">
        <v>89</v>
      </c>
      <c r="B56" s="3" t="s">
        <v>90</v>
      </c>
      <c r="C56" s="4" t="s">
        <v>89</v>
      </c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6">
        <v>0</v>
      </c>
      <c r="P56" s="6">
        <v>200</v>
      </c>
      <c r="Q56" s="8"/>
      <c r="R56" s="15">
        <f t="shared" si="1"/>
        <v>0</v>
      </c>
      <c r="S56" s="61">
        <f>Q56</f>
        <v>0</v>
      </c>
      <c r="T56" s="62">
        <f t="shared" si="0"/>
        <v>0</v>
      </c>
      <c r="U56" s="60">
        <f>S56</f>
        <v>0</v>
      </c>
    </row>
    <row r="57" spans="1:21" ht="52.5" customHeight="1" outlineLevel="3">
      <c r="A57" s="1" t="s">
        <v>91</v>
      </c>
      <c r="B57" s="3" t="s">
        <v>92</v>
      </c>
      <c r="C57" s="4" t="s">
        <v>91</v>
      </c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6">
        <v>0</v>
      </c>
      <c r="P57" s="6">
        <v>360000</v>
      </c>
      <c r="Q57" s="8">
        <v>340500</v>
      </c>
      <c r="R57" s="15">
        <f t="shared" si="1"/>
        <v>197600</v>
      </c>
      <c r="S57" s="61">
        <v>538100</v>
      </c>
      <c r="T57" s="62">
        <f t="shared" si="0"/>
        <v>-338100</v>
      </c>
      <c r="U57" s="60">
        <f>S57-338100</f>
        <v>200000</v>
      </c>
    </row>
    <row r="58" spans="1:21" ht="53.25" customHeight="1" outlineLevel="3">
      <c r="A58" s="1" t="s">
        <v>93</v>
      </c>
      <c r="B58" s="27" t="s">
        <v>94</v>
      </c>
      <c r="C58" s="4" t="s">
        <v>93</v>
      </c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6">
        <v>0</v>
      </c>
      <c r="P58" s="6">
        <v>300</v>
      </c>
      <c r="Q58" s="8">
        <v>0</v>
      </c>
      <c r="R58" s="15">
        <f t="shared" si="1"/>
        <v>0</v>
      </c>
      <c r="S58" s="61">
        <v>0</v>
      </c>
      <c r="T58" s="62">
        <f t="shared" si="0"/>
        <v>32400</v>
      </c>
      <c r="U58" s="60">
        <f>S58+32400</f>
        <v>32400</v>
      </c>
    </row>
    <row r="59" spans="1:21" ht="129" customHeight="1" outlineLevel="3">
      <c r="A59" s="28"/>
      <c r="B59" s="65" t="s">
        <v>289</v>
      </c>
      <c r="C59" s="30" t="s">
        <v>288</v>
      </c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6"/>
      <c r="P59" s="6"/>
      <c r="Q59" s="8"/>
      <c r="R59" s="15"/>
      <c r="S59" s="61">
        <v>0</v>
      </c>
      <c r="T59" s="62">
        <f>U59-S59</f>
        <v>47400</v>
      </c>
      <c r="U59" s="60">
        <f>S59+47400</f>
        <v>47400</v>
      </c>
    </row>
    <row r="60" spans="1:21" ht="57" customHeight="1" hidden="1" outlineLevel="1">
      <c r="A60" s="28" t="s">
        <v>95</v>
      </c>
      <c r="B60" s="29" t="s">
        <v>96</v>
      </c>
      <c r="C60" s="30" t="s">
        <v>95</v>
      </c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6">
        <v>0</v>
      </c>
      <c r="P60" s="6">
        <v>0</v>
      </c>
      <c r="Q60" s="8">
        <f aca="true" t="shared" si="3" ref="Q60:S61">Q61</f>
        <v>0</v>
      </c>
      <c r="R60" s="14">
        <f t="shared" si="3"/>
        <v>0</v>
      </c>
      <c r="S60" s="61">
        <f t="shared" si="3"/>
        <v>0</v>
      </c>
      <c r="T60" s="62">
        <f t="shared" si="0"/>
        <v>0</v>
      </c>
      <c r="U60" s="60"/>
    </row>
    <row r="61" spans="1:21" ht="42.75" customHeight="1" hidden="1" outlineLevel="2">
      <c r="A61" s="1" t="s">
        <v>97</v>
      </c>
      <c r="B61" s="31" t="s">
        <v>98</v>
      </c>
      <c r="C61" s="4" t="s">
        <v>97</v>
      </c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6">
        <v>0</v>
      </c>
      <c r="P61" s="6">
        <v>0</v>
      </c>
      <c r="Q61" s="8">
        <f t="shared" si="3"/>
        <v>0</v>
      </c>
      <c r="R61" s="14">
        <f t="shared" si="3"/>
        <v>0</v>
      </c>
      <c r="S61" s="61">
        <f t="shared" si="3"/>
        <v>0</v>
      </c>
      <c r="T61" s="62">
        <f t="shared" si="0"/>
        <v>0</v>
      </c>
      <c r="U61" s="60"/>
    </row>
    <row r="62" spans="1:21" ht="66" customHeight="1" hidden="1" outlineLevel="3">
      <c r="A62" s="1" t="s">
        <v>99</v>
      </c>
      <c r="B62" s="3" t="s">
        <v>100</v>
      </c>
      <c r="C62" s="4" t="s">
        <v>99</v>
      </c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6">
        <v>0</v>
      </c>
      <c r="P62" s="6">
        <v>0</v>
      </c>
      <c r="Q62" s="8">
        <v>0</v>
      </c>
      <c r="R62" s="15">
        <f t="shared" si="1"/>
        <v>0</v>
      </c>
      <c r="S62" s="61">
        <f>Q62</f>
        <v>0</v>
      </c>
      <c r="T62" s="62">
        <f t="shared" si="0"/>
        <v>0</v>
      </c>
      <c r="U62" s="60"/>
    </row>
    <row r="63" spans="1:22" ht="63" customHeight="1" outlineLevel="1" collapsed="1">
      <c r="A63" s="1" t="s">
        <v>33</v>
      </c>
      <c r="B63" s="3" t="s">
        <v>34</v>
      </c>
      <c r="C63" s="4" t="s">
        <v>33</v>
      </c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6">
        <v>2987000</v>
      </c>
      <c r="P63" s="6">
        <v>0</v>
      </c>
      <c r="Q63" s="8">
        <f>Q66+Q72</f>
        <v>3248000</v>
      </c>
      <c r="R63" s="33">
        <f>R66+R72</f>
        <v>286800</v>
      </c>
      <c r="S63" s="61">
        <f>S64+S66+S70</f>
        <v>3544800</v>
      </c>
      <c r="T63" s="62">
        <f t="shared" si="0"/>
        <v>-362700</v>
      </c>
      <c r="U63" s="61">
        <f>U64+U66+U70+U72</f>
        <v>3182100</v>
      </c>
      <c r="V63" s="59"/>
    </row>
    <row r="64" spans="1:21" ht="102" customHeight="1" outlineLevel="1">
      <c r="A64" s="1"/>
      <c r="B64" s="3" t="s">
        <v>247</v>
      </c>
      <c r="C64" s="4" t="s">
        <v>245</v>
      </c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6"/>
      <c r="P64" s="6"/>
      <c r="Q64" s="8"/>
      <c r="R64" s="34"/>
      <c r="S64" s="61">
        <f>S65</f>
        <v>10000</v>
      </c>
      <c r="T64" s="62">
        <f t="shared" si="0"/>
        <v>0</v>
      </c>
      <c r="U64" s="61">
        <f>U65</f>
        <v>10000</v>
      </c>
    </row>
    <row r="65" spans="1:21" ht="90" customHeight="1" outlineLevel="1">
      <c r="A65" s="1"/>
      <c r="B65" s="3" t="s">
        <v>248</v>
      </c>
      <c r="C65" s="4" t="s">
        <v>246</v>
      </c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6"/>
      <c r="P65" s="6"/>
      <c r="Q65" s="8"/>
      <c r="R65" s="34"/>
      <c r="S65" s="61">
        <v>10000</v>
      </c>
      <c r="T65" s="62">
        <f t="shared" si="0"/>
        <v>0</v>
      </c>
      <c r="U65" s="60">
        <f>S65</f>
        <v>10000</v>
      </c>
    </row>
    <row r="66" spans="1:21" ht="106.5" customHeight="1" outlineLevel="2">
      <c r="A66" s="1" t="s">
        <v>35</v>
      </c>
      <c r="B66" s="3" t="s">
        <v>36</v>
      </c>
      <c r="C66" s="4" t="s">
        <v>35</v>
      </c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6">
        <v>2887000</v>
      </c>
      <c r="P66" s="6">
        <v>0</v>
      </c>
      <c r="Q66" s="8">
        <f>Q67+Q68+Q69+Q71</f>
        <v>3248000</v>
      </c>
      <c r="R66" s="8">
        <f>R67+R68+R69+R71</f>
        <v>286800</v>
      </c>
      <c r="S66" s="61">
        <f>S67+S68+S69</f>
        <v>3084800</v>
      </c>
      <c r="T66" s="62">
        <f t="shared" si="0"/>
        <v>-427500</v>
      </c>
      <c r="U66" s="61">
        <f>U67+U68+U69</f>
        <v>2657300</v>
      </c>
    </row>
    <row r="67" spans="1:21" ht="122.25" customHeight="1" outlineLevel="3">
      <c r="A67" s="1" t="s">
        <v>101</v>
      </c>
      <c r="B67" s="32" t="s">
        <v>176</v>
      </c>
      <c r="C67" s="4" t="s">
        <v>175</v>
      </c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6">
        <v>2400000</v>
      </c>
      <c r="P67" s="6">
        <v>0</v>
      </c>
      <c r="Q67" s="8">
        <v>2000000</v>
      </c>
      <c r="R67" s="15">
        <f t="shared" si="1"/>
        <v>900000</v>
      </c>
      <c r="S67" s="61">
        <v>2900000</v>
      </c>
      <c r="T67" s="62">
        <f t="shared" si="0"/>
        <v>-900000</v>
      </c>
      <c r="U67" s="60">
        <f>S67-900000</f>
        <v>2000000</v>
      </c>
    </row>
    <row r="68" spans="1:21" ht="117" customHeight="1" outlineLevel="3">
      <c r="A68" s="1" t="s">
        <v>102</v>
      </c>
      <c r="B68" s="3" t="s">
        <v>103</v>
      </c>
      <c r="C68" s="4" t="s">
        <v>102</v>
      </c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  <c r="O68" s="6">
        <v>267000</v>
      </c>
      <c r="P68" s="6">
        <v>0</v>
      </c>
      <c r="Q68" s="8">
        <v>0</v>
      </c>
      <c r="R68" s="15">
        <f t="shared" si="1"/>
        <v>0</v>
      </c>
      <c r="S68" s="61">
        <f>Q68</f>
        <v>0</v>
      </c>
      <c r="T68" s="62">
        <f t="shared" si="0"/>
        <v>425600</v>
      </c>
      <c r="U68" s="60">
        <f>S68+425600</f>
        <v>425600</v>
      </c>
    </row>
    <row r="69" spans="1:21" ht="78.75" customHeight="1" outlineLevel="3">
      <c r="A69" s="1" t="s">
        <v>104</v>
      </c>
      <c r="B69" s="3" t="s">
        <v>105</v>
      </c>
      <c r="C69" s="4" t="s">
        <v>104</v>
      </c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6">
        <v>220000</v>
      </c>
      <c r="P69" s="6">
        <v>0</v>
      </c>
      <c r="Q69" s="8">
        <v>248000</v>
      </c>
      <c r="R69" s="15">
        <f t="shared" si="1"/>
        <v>-63200</v>
      </c>
      <c r="S69" s="61">
        <v>184800</v>
      </c>
      <c r="T69" s="62">
        <f t="shared" si="0"/>
        <v>46900</v>
      </c>
      <c r="U69" s="60">
        <f>S69+46900</f>
        <v>231700</v>
      </c>
    </row>
    <row r="70" spans="1:21" ht="67.5" customHeight="1" outlineLevel="3">
      <c r="A70" s="1"/>
      <c r="B70" s="3" t="s">
        <v>266</v>
      </c>
      <c r="C70" s="4" t="s">
        <v>265</v>
      </c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  <c r="O70" s="6"/>
      <c r="P70" s="6"/>
      <c r="Q70" s="8"/>
      <c r="R70" s="13"/>
      <c r="S70" s="61">
        <f>S71</f>
        <v>450000</v>
      </c>
      <c r="T70" s="62">
        <f t="shared" si="0"/>
        <v>17000</v>
      </c>
      <c r="U70" s="60">
        <f>U71</f>
        <v>467000</v>
      </c>
    </row>
    <row r="71" spans="1:21" s="52" customFormat="1" ht="153" customHeight="1" outlineLevel="3">
      <c r="A71" s="47"/>
      <c r="B71" s="41" t="s">
        <v>239</v>
      </c>
      <c r="C71" s="55" t="s">
        <v>240</v>
      </c>
      <c r="D71" s="48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50"/>
      <c r="P71" s="50"/>
      <c r="Q71" s="51">
        <v>1000000</v>
      </c>
      <c r="R71" s="13">
        <f t="shared" si="1"/>
        <v>-550000</v>
      </c>
      <c r="S71" s="60">
        <v>450000</v>
      </c>
      <c r="T71" s="62">
        <f t="shared" si="0"/>
        <v>17000</v>
      </c>
      <c r="U71" s="60">
        <f>S71+17000</f>
        <v>467000</v>
      </c>
    </row>
    <row r="72" spans="1:21" ht="114" customHeight="1" outlineLevel="2">
      <c r="A72" s="28" t="s">
        <v>106</v>
      </c>
      <c r="B72" s="57" t="s">
        <v>283</v>
      </c>
      <c r="C72" s="58" t="s">
        <v>281</v>
      </c>
      <c r="D72" s="30"/>
      <c r="E72" s="4"/>
      <c r="F72" s="5"/>
      <c r="G72" s="4"/>
      <c r="H72" s="4"/>
      <c r="I72" s="4"/>
      <c r="J72" s="4"/>
      <c r="K72" s="4"/>
      <c r="L72" s="4"/>
      <c r="M72" s="4"/>
      <c r="N72" s="4"/>
      <c r="O72" s="6">
        <v>100000</v>
      </c>
      <c r="P72" s="6">
        <v>0</v>
      </c>
      <c r="Q72" s="8">
        <f>Q73</f>
        <v>0</v>
      </c>
      <c r="R72" s="14">
        <f>R73</f>
        <v>0</v>
      </c>
      <c r="S72" s="61">
        <f>S73</f>
        <v>0</v>
      </c>
      <c r="T72" s="62">
        <f t="shared" si="0"/>
        <v>47800</v>
      </c>
      <c r="U72" s="60">
        <f>U73</f>
        <v>47800</v>
      </c>
    </row>
    <row r="73" spans="1:21" ht="119.25" customHeight="1" outlineLevel="3">
      <c r="A73" s="28" t="s">
        <v>107</v>
      </c>
      <c r="B73" s="57" t="s">
        <v>284</v>
      </c>
      <c r="C73" s="58" t="s">
        <v>282</v>
      </c>
      <c r="D73" s="30"/>
      <c r="E73" s="4"/>
      <c r="F73" s="5"/>
      <c r="G73" s="4"/>
      <c r="H73" s="4"/>
      <c r="I73" s="4"/>
      <c r="J73" s="4"/>
      <c r="K73" s="4"/>
      <c r="L73" s="4"/>
      <c r="M73" s="4"/>
      <c r="N73" s="4"/>
      <c r="O73" s="6">
        <v>100000</v>
      </c>
      <c r="P73" s="6">
        <v>0</v>
      </c>
      <c r="Q73" s="8"/>
      <c r="R73" s="15">
        <f t="shared" si="1"/>
        <v>0</v>
      </c>
      <c r="S73" s="61">
        <f>Q73</f>
        <v>0</v>
      </c>
      <c r="T73" s="62">
        <f t="shared" si="0"/>
        <v>47800</v>
      </c>
      <c r="U73" s="60">
        <f>S73+47800</f>
        <v>47800</v>
      </c>
    </row>
    <row r="74" spans="1:21" ht="35.25" customHeight="1" outlineLevel="1">
      <c r="A74" s="1" t="s">
        <v>108</v>
      </c>
      <c r="B74" s="31" t="s">
        <v>109</v>
      </c>
      <c r="C74" s="56" t="s">
        <v>108</v>
      </c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  <c r="O74" s="6">
        <v>900000</v>
      </c>
      <c r="P74" s="6">
        <v>0</v>
      </c>
      <c r="Q74" s="8">
        <f>Q75</f>
        <v>750000</v>
      </c>
      <c r="R74" s="14">
        <f>R75</f>
        <v>-210000</v>
      </c>
      <c r="S74" s="61">
        <f>S75</f>
        <v>540000</v>
      </c>
      <c r="T74" s="62">
        <f t="shared" si="0"/>
        <v>-287900</v>
      </c>
      <c r="U74" s="61">
        <f>U75</f>
        <v>252100</v>
      </c>
    </row>
    <row r="75" spans="1:21" ht="36" customHeight="1" outlineLevel="2">
      <c r="A75" s="1" t="s">
        <v>110</v>
      </c>
      <c r="B75" s="3" t="s">
        <v>166</v>
      </c>
      <c r="C75" s="4" t="s">
        <v>110</v>
      </c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  <c r="O75" s="6">
        <v>900000</v>
      </c>
      <c r="P75" s="6">
        <v>0</v>
      </c>
      <c r="Q75" s="8">
        <f>Q76+Q77+Q78+Q79+Q80+Q81</f>
        <v>750000</v>
      </c>
      <c r="R75" s="14">
        <f>R76+R77+R78+R79+R80+R81</f>
        <v>-210000</v>
      </c>
      <c r="S75" s="61">
        <f>S76+S77+S78+S79+S80+S81</f>
        <v>540000</v>
      </c>
      <c r="T75" s="62">
        <f t="shared" si="0"/>
        <v>-287900</v>
      </c>
      <c r="U75" s="61">
        <f>U76+U77+U78+U79+U80+U81</f>
        <v>252100</v>
      </c>
    </row>
    <row r="76" spans="1:21" ht="49.5" customHeight="1" outlineLevel="3">
      <c r="A76" s="1" t="s">
        <v>111</v>
      </c>
      <c r="B76" s="3" t="s">
        <v>112</v>
      </c>
      <c r="C76" s="4" t="s">
        <v>111</v>
      </c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  <c r="O76" s="6">
        <v>220000</v>
      </c>
      <c r="P76" s="6">
        <v>0</v>
      </c>
      <c r="Q76" s="8">
        <v>187500</v>
      </c>
      <c r="R76" s="15">
        <f>S76-Q76</f>
        <v>192500</v>
      </c>
      <c r="S76" s="61">
        <v>380000</v>
      </c>
      <c r="T76" s="62">
        <f t="shared" si="0"/>
        <v>-138000</v>
      </c>
      <c r="U76" s="60">
        <f>S76-138000</f>
        <v>242000</v>
      </c>
    </row>
    <row r="77" spans="1:21" ht="36.75" customHeight="1" hidden="1" outlineLevel="3">
      <c r="A77" s="1" t="s">
        <v>113</v>
      </c>
      <c r="B77" s="3" t="s">
        <v>114</v>
      </c>
      <c r="C77" s="4" t="s">
        <v>113</v>
      </c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  <c r="O77" s="6">
        <v>3800</v>
      </c>
      <c r="P77" s="6">
        <v>0</v>
      </c>
      <c r="Q77" s="13"/>
      <c r="R77" s="15">
        <f t="shared" si="1"/>
        <v>0</v>
      </c>
      <c r="S77" s="61">
        <f>Q77</f>
        <v>0</v>
      </c>
      <c r="T77" s="62">
        <f t="shared" si="0"/>
        <v>0</v>
      </c>
      <c r="U77" s="60">
        <f>S77</f>
        <v>0</v>
      </c>
    </row>
    <row r="78" spans="1:21" ht="36" customHeight="1" outlineLevel="3">
      <c r="A78" s="1" t="s">
        <v>115</v>
      </c>
      <c r="B78" s="3" t="s">
        <v>116</v>
      </c>
      <c r="C78" s="4" t="s">
        <v>115</v>
      </c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  <c r="O78" s="6">
        <v>395000</v>
      </c>
      <c r="P78" s="6">
        <v>0</v>
      </c>
      <c r="Q78" s="8">
        <v>251300</v>
      </c>
      <c r="R78" s="15">
        <f t="shared" si="1"/>
        <v>-236300</v>
      </c>
      <c r="S78" s="61">
        <v>15000</v>
      </c>
      <c r="T78" s="62">
        <f t="shared" si="0"/>
        <v>-14900</v>
      </c>
      <c r="U78" s="60">
        <f>S78-14900</f>
        <v>100</v>
      </c>
    </row>
    <row r="79" spans="1:21" ht="31.5" customHeight="1" hidden="1" outlineLevel="3">
      <c r="A79" s="1" t="s">
        <v>117</v>
      </c>
      <c r="B79" s="3" t="s">
        <v>118</v>
      </c>
      <c r="C79" s="4" t="s">
        <v>117</v>
      </c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  <c r="O79" s="6">
        <v>281200</v>
      </c>
      <c r="P79" s="6">
        <v>0</v>
      </c>
      <c r="Q79" s="8">
        <v>0</v>
      </c>
      <c r="R79" s="15">
        <f t="shared" si="1"/>
        <v>0</v>
      </c>
      <c r="S79" s="61">
        <f>Q79</f>
        <v>0</v>
      </c>
      <c r="T79" s="62">
        <f t="shared" si="0"/>
        <v>0</v>
      </c>
      <c r="U79" s="60">
        <f>S79</f>
        <v>0</v>
      </c>
    </row>
    <row r="80" spans="1:21" ht="31.5" customHeight="1" outlineLevel="3">
      <c r="A80" s="1" t="s">
        <v>117</v>
      </c>
      <c r="B80" s="3" t="s">
        <v>197</v>
      </c>
      <c r="C80" s="4" t="s">
        <v>199</v>
      </c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  <c r="O80" s="6">
        <v>281200</v>
      </c>
      <c r="P80" s="6">
        <v>0</v>
      </c>
      <c r="Q80" s="8">
        <v>300700</v>
      </c>
      <c r="R80" s="15">
        <f t="shared" si="1"/>
        <v>-165700</v>
      </c>
      <c r="S80" s="61">
        <v>135000</v>
      </c>
      <c r="T80" s="62">
        <f t="shared" si="0"/>
        <v>-125000</v>
      </c>
      <c r="U80" s="60">
        <f>S80-125000</f>
        <v>10000</v>
      </c>
    </row>
    <row r="81" spans="1:21" ht="31.5" customHeight="1" hidden="1" outlineLevel="3">
      <c r="A81" s="1"/>
      <c r="B81" s="3" t="s">
        <v>198</v>
      </c>
      <c r="C81" s="4" t="s">
        <v>200</v>
      </c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  <c r="O81" s="6"/>
      <c r="P81" s="6"/>
      <c r="Q81" s="8">
        <v>10500</v>
      </c>
      <c r="R81" s="15">
        <f t="shared" si="1"/>
        <v>-500</v>
      </c>
      <c r="S81" s="61">
        <v>10000</v>
      </c>
      <c r="T81" s="62">
        <f t="shared" si="0"/>
        <v>-10000</v>
      </c>
      <c r="U81" s="60">
        <f>S81-10000</f>
        <v>0</v>
      </c>
    </row>
    <row r="82" spans="1:21" ht="51" customHeight="1" outlineLevel="1" collapsed="1">
      <c r="A82" s="1" t="s">
        <v>37</v>
      </c>
      <c r="B82" s="3" t="s">
        <v>38</v>
      </c>
      <c r="C82" s="4" t="s">
        <v>37</v>
      </c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  <c r="O82" s="6">
        <v>189500</v>
      </c>
      <c r="P82" s="6">
        <v>0</v>
      </c>
      <c r="Q82" s="8">
        <f>Q83+Q85</f>
        <v>92600</v>
      </c>
      <c r="R82" s="14">
        <f>R83+R85</f>
        <v>30300</v>
      </c>
      <c r="S82" s="61">
        <f>S83+S85</f>
        <v>122900</v>
      </c>
      <c r="T82" s="62">
        <f t="shared" si="0"/>
        <v>0</v>
      </c>
      <c r="U82" s="62">
        <f>U83+U85</f>
        <v>122900</v>
      </c>
    </row>
    <row r="83" spans="1:21" ht="17.25" customHeight="1" hidden="1" outlineLevel="2">
      <c r="A83" s="1" t="s">
        <v>119</v>
      </c>
      <c r="B83" s="3" t="s">
        <v>120</v>
      </c>
      <c r="C83" s="4" t="s">
        <v>119</v>
      </c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  <c r="O83" s="6">
        <v>21700</v>
      </c>
      <c r="P83" s="6">
        <v>0</v>
      </c>
      <c r="Q83" s="8">
        <f>Q84</f>
        <v>0</v>
      </c>
      <c r="R83" s="14">
        <f>R84</f>
        <v>0</v>
      </c>
      <c r="S83" s="61">
        <f>S84</f>
        <v>0</v>
      </c>
      <c r="T83" s="62">
        <f t="shared" si="0"/>
        <v>0</v>
      </c>
      <c r="U83" s="60"/>
    </row>
    <row r="84" spans="1:21" ht="58.5" customHeight="1" hidden="1" outlineLevel="3">
      <c r="A84" s="1" t="s">
        <v>121</v>
      </c>
      <c r="B84" s="3" t="s">
        <v>122</v>
      </c>
      <c r="C84" s="4" t="s">
        <v>121</v>
      </c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  <c r="O84" s="6">
        <v>21700</v>
      </c>
      <c r="P84" s="6">
        <v>0</v>
      </c>
      <c r="Q84" s="8">
        <v>0</v>
      </c>
      <c r="R84" s="15">
        <f t="shared" si="1"/>
        <v>0</v>
      </c>
      <c r="S84" s="61">
        <f>Q84</f>
        <v>0</v>
      </c>
      <c r="T84" s="62">
        <f t="shared" si="0"/>
        <v>0</v>
      </c>
      <c r="U84" s="60"/>
    </row>
    <row r="85" spans="1:21" ht="36.75" customHeight="1" outlineLevel="2" collapsed="1">
      <c r="A85" s="1" t="s">
        <v>39</v>
      </c>
      <c r="B85" s="3" t="s">
        <v>40</v>
      </c>
      <c r="C85" s="4" t="s">
        <v>39</v>
      </c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  <c r="O85" s="6">
        <v>167800</v>
      </c>
      <c r="P85" s="6">
        <v>0</v>
      </c>
      <c r="Q85" s="8">
        <f>Q86+Q87</f>
        <v>92600</v>
      </c>
      <c r="R85" s="14">
        <f>R86+R87</f>
        <v>30300</v>
      </c>
      <c r="S85" s="61">
        <f>S86+S87</f>
        <v>122900</v>
      </c>
      <c r="T85" s="62">
        <f t="shared" si="0"/>
        <v>0</v>
      </c>
      <c r="U85" s="61">
        <f>U86+U87</f>
        <v>122900</v>
      </c>
    </row>
    <row r="86" spans="1:21" ht="60.75" customHeight="1" outlineLevel="3">
      <c r="A86" s="1" t="s">
        <v>123</v>
      </c>
      <c r="B86" s="3" t="s">
        <v>124</v>
      </c>
      <c r="C86" s="4" t="s">
        <v>123</v>
      </c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6">
        <v>24000</v>
      </c>
      <c r="P86" s="6">
        <v>0</v>
      </c>
      <c r="Q86" s="8">
        <v>8800</v>
      </c>
      <c r="R86" s="15">
        <f t="shared" si="1"/>
        <v>71400</v>
      </c>
      <c r="S86" s="61">
        <v>80200</v>
      </c>
      <c r="T86" s="62">
        <f t="shared" si="0"/>
        <v>0</v>
      </c>
      <c r="U86" s="60">
        <f>S86</f>
        <v>80200</v>
      </c>
    </row>
    <row r="87" spans="1:21" ht="36" customHeight="1" outlineLevel="3">
      <c r="A87" s="1" t="s">
        <v>125</v>
      </c>
      <c r="B87" s="3" t="s">
        <v>126</v>
      </c>
      <c r="C87" s="4" t="s">
        <v>125</v>
      </c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6">
        <v>143800</v>
      </c>
      <c r="P87" s="6">
        <v>0</v>
      </c>
      <c r="Q87" s="8">
        <v>83800</v>
      </c>
      <c r="R87" s="15">
        <f t="shared" si="1"/>
        <v>-41100</v>
      </c>
      <c r="S87" s="61">
        <v>42700</v>
      </c>
      <c r="T87" s="62">
        <f aca="true" t="shared" si="4" ref="T87:T145">U87-S87</f>
        <v>0</v>
      </c>
      <c r="U87" s="60">
        <f>S87</f>
        <v>42700</v>
      </c>
    </row>
    <row r="88" spans="1:21" ht="47.25" outlineLevel="1">
      <c r="A88" s="1" t="s">
        <v>57</v>
      </c>
      <c r="B88" s="3" t="s">
        <v>58</v>
      </c>
      <c r="C88" s="4" t="s">
        <v>57</v>
      </c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6">
        <v>290000</v>
      </c>
      <c r="P88" s="6">
        <v>0</v>
      </c>
      <c r="Q88" s="8">
        <f>Q89+Q91+Q92</f>
        <v>647300</v>
      </c>
      <c r="R88" s="14">
        <f>R89+R91+R92</f>
        <v>-129300</v>
      </c>
      <c r="S88" s="61">
        <f>S89+S91+S92</f>
        <v>518000</v>
      </c>
      <c r="T88" s="62">
        <f t="shared" si="4"/>
        <v>505200</v>
      </c>
      <c r="U88" s="62">
        <f>U89+U91+U92</f>
        <v>1023200</v>
      </c>
    </row>
    <row r="89" spans="1:21" ht="110.25" hidden="1" outlineLevel="2">
      <c r="A89" s="1" t="s">
        <v>59</v>
      </c>
      <c r="B89" s="3" t="s">
        <v>172</v>
      </c>
      <c r="C89" s="4" t="s">
        <v>170</v>
      </c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6">
        <v>290000</v>
      </c>
      <c r="P89" s="6">
        <v>0</v>
      </c>
      <c r="Q89" s="8">
        <f>Q90</f>
        <v>0</v>
      </c>
      <c r="R89" s="14">
        <f>R90</f>
        <v>0</v>
      </c>
      <c r="S89" s="61">
        <f>S90</f>
        <v>0</v>
      </c>
      <c r="T89" s="62">
        <f t="shared" si="4"/>
        <v>0</v>
      </c>
      <c r="U89" s="60"/>
    </row>
    <row r="90" spans="1:21" ht="126" hidden="1" outlineLevel="3">
      <c r="A90" s="1" t="s">
        <v>61</v>
      </c>
      <c r="B90" s="3" t="s">
        <v>173</v>
      </c>
      <c r="C90" s="4" t="s">
        <v>171</v>
      </c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  <c r="O90" s="6">
        <v>90000</v>
      </c>
      <c r="P90" s="6">
        <v>0</v>
      </c>
      <c r="Q90" s="8"/>
      <c r="R90" s="15">
        <f t="shared" si="1"/>
        <v>0</v>
      </c>
      <c r="S90" s="61">
        <f>Q90</f>
        <v>0</v>
      </c>
      <c r="T90" s="62">
        <f t="shared" si="4"/>
        <v>0</v>
      </c>
      <c r="U90" s="60"/>
    </row>
    <row r="91" spans="1:21" ht="47.25" outlineLevel="2" collapsed="1">
      <c r="A91" s="1" t="s">
        <v>59</v>
      </c>
      <c r="B91" s="3" t="s">
        <v>60</v>
      </c>
      <c r="C91" s="4" t="s">
        <v>59</v>
      </c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  <c r="O91" s="6">
        <v>290000</v>
      </c>
      <c r="P91" s="6">
        <v>0</v>
      </c>
      <c r="Q91" s="8">
        <f>Q94+Q95+Q93</f>
        <v>525000</v>
      </c>
      <c r="R91" s="14">
        <f>R94+R95+R93</f>
        <v>-7000</v>
      </c>
      <c r="S91" s="61">
        <f>S94+S95+S93</f>
        <v>518000</v>
      </c>
      <c r="T91" s="62">
        <f t="shared" si="4"/>
        <v>505200</v>
      </c>
      <c r="U91" s="62">
        <f>U94+U95+U93</f>
        <v>1023200</v>
      </c>
    </row>
    <row r="92" spans="1:21" ht="126" hidden="1" outlineLevel="2">
      <c r="A92" s="1"/>
      <c r="B92" s="3" t="s">
        <v>202</v>
      </c>
      <c r="C92" s="4" t="s">
        <v>203</v>
      </c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  <c r="O92" s="6"/>
      <c r="P92" s="6"/>
      <c r="Q92" s="8">
        <v>122300</v>
      </c>
      <c r="R92" s="15">
        <f>S92-Q92</f>
        <v>-122300</v>
      </c>
      <c r="S92" s="61"/>
      <c r="T92" s="62">
        <f t="shared" si="4"/>
        <v>0</v>
      </c>
      <c r="U92" s="60"/>
    </row>
    <row r="93" spans="1:21" ht="78.75" outlineLevel="3">
      <c r="A93" s="1" t="s">
        <v>61</v>
      </c>
      <c r="B93" s="3" t="s">
        <v>190</v>
      </c>
      <c r="C93" s="4" t="s">
        <v>187</v>
      </c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  <c r="O93" s="6">
        <v>90000</v>
      </c>
      <c r="P93" s="6">
        <v>0</v>
      </c>
      <c r="Q93" s="8">
        <v>500000</v>
      </c>
      <c r="R93" s="15">
        <f>S93-Q93</f>
        <v>0</v>
      </c>
      <c r="S93" s="61">
        <v>500000</v>
      </c>
      <c r="T93" s="62">
        <f t="shared" si="4"/>
        <v>523200</v>
      </c>
      <c r="U93" s="60">
        <f>S93+523200</f>
        <v>1023200</v>
      </c>
    </row>
    <row r="94" spans="1:21" ht="62.25" customHeight="1" hidden="1" outlineLevel="3">
      <c r="A94" s="1" t="s">
        <v>61</v>
      </c>
      <c r="B94" s="3" t="s">
        <v>191</v>
      </c>
      <c r="C94" s="4" t="s">
        <v>61</v>
      </c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  <c r="O94" s="6">
        <v>90000</v>
      </c>
      <c r="P94" s="6">
        <v>0</v>
      </c>
      <c r="Q94" s="8">
        <v>0</v>
      </c>
      <c r="R94" s="15">
        <f t="shared" si="1"/>
        <v>0</v>
      </c>
      <c r="S94" s="61">
        <f>Q94</f>
        <v>0</v>
      </c>
      <c r="T94" s="62">
        <f t="shared" si="4"/>
        <v>0</v>
      </c>
      <c r="U94" s="60">
        <f>S94</f>
        <v>0</v>
      </c>
    </row>
    <row r="95" spans="1:21" ht="78.75" hidden="1" outlineLevel="3">
      <c r="A95" s="1" t="s">
        <v>127</v>
      </c>
      <c r="B95" s="3" t="s">
        <v>128</v>
      </c>
      <c r="C95" s="4" t="s">
        <v>127</v>
      </c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  <c r="O95" s="6">
        <v>200000</v>
      </c>
      <c r="P95" s="6">
        <v>0</v>
      </c>
      <c r="Q95" s="8">
        <v>25000</v>
      </c>
      <c r="R95" s="15">
        <f t="shared" si="1"/>
        <v>-7000</v>
      </c>
      <c r="S95" s="61">
        <v>18000</v>
      </c>
      <c r="T95" s="62">
        <f t="shared" si="4"/>
        <v>-18000</v>
      </c>
      <c r="U95" s="60">
        <f>S95-18000</f>
        <v>0</v>
      </c>
    </row>
    <row r="96" spans="1:21" ht="39.75" customHeight="1" outlineLevel="1" collapsed="1">
      <c r="A96" s="1" t="s">
        <v>62</v>
      </c>
      <c r="B96" s="3" t="s">
        <v>63</v>
      </c>
      <c r="C96" s="4" t="s">
        <v>62</v>
      </c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  <c r="O96" s="6">
        <v>460000</v>
      </c>
      <c r="P96" s="6">
        <v>0</v>
      </c>
      <c r="Q96" s="8">
        <f>SUM(Q97:Q110)</f>
        <v>1303000</v>
      </c>
      <c r="R96" s="14">
        <f>SUM(R97:R110)</f>
        <v>-1303000</v>
      </c>
      <c r="S96" s="61">
        <f>SUM(S97:S111)</f>
        <v>1303000</v>
      </c>
      <c r="T96" s="62">
        <f t="shared" si="4"/>
        <v>-703000</v>
      </c>
      <c r="U96" s="61">
        <f>SUM(U97:U111)</f>
        <v>600000</v>
      </c>
    </row>
    <row r="97" spans="1:21" ht="114.75" customHeight="1" outlineLevel="3">
      <c r="A97" s="1" t="s">
        <v>129</v>
      </c>
      <c r="B97" s="3" t="s">
        <v>299</v>
      </c>
      <c r="C97" s="4" t="s">
        <v>290</v>
      </c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  <c r="O97" s="6">
        <v>22500</v>
      </c>
      <c r="P97" s="6">
        <v>0</v>
      </c>
      <c r="Q97" s="8"/>
      <c r="R97" s="15">
        <f t="shared" si="1"/>
        <v>0</v>
      </c>
      <c r="S97" s="61">
        <f>Q97</f>
        <v>0</v>
      </c>
      <c r="T97" s="62">
        <f t="shared" si="4"/>
        <v>1500</v>
      </c>
      <c r="U97" s="60">
        <f>S97+1500</f>
        <v>1500</v>
      </c>
    </row>
    <row r="98" spans="1:21" ht="156.75" customHeight="1" outlineLevel="3">
      <c r="A98" s="1" t="s">
        <v>130</v>
      </c>
      <c r="B98" s="3" t="s">
        <v>300</v>
      </c>
      <c r="C98" s="4" t="s">
        <v>291</v>
      </c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  <c r="O98" s="6">
        <v>2500</v>
      </c>
      <c r="P98" s="6">
        <v>0</v>
      </c>
      <c r="Q98" s="8"/>
      <c r="R98" s="15">
        <f t="shared" si="1"/>
        <v>0</v>
      </c>
      <c r="S98" s="61">
        <f>Q98</f>
        <v>0</v>
      </c>
      <c r="T98" s="62">
        <f t="shared" si="4"/>
        <v>52000</v>
      </c>
      <c r="U98" s="60">
        <f>52000</f>
        <v>52000</v>
      </c>
    </row>
    <row r="99" spans="1:21" ht="123.75" customHeight="1" outlineLevel="3">
      <c r="A99" s="1" t="s">
        <v>131</v>
      </c>
      <c r="B99" s="3" t="s">
        <v>301</v>
      </c>
      <c r="C99" s="4" t="s">
        <v>292</v>
      </c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  <c r="O99" s="6">
        <v>16500</v>
      </c>
      <c r="P99" s="6">
        <v>0</v>
      </c>
      <c r="Q99" s="8"/>
      <c r="R99" s="15">
        <f t="shared" si="1"/>
        <v>0</v>
      </c>
      <c r="S99" s="61">
        <f>Q99</f>
        <v>0</v>
      </c>
      <c r="T99" s="62">
        <f t="shared" si="4"/>
        <v>1000</v>
      </c>
      <c r="U99" s="60">
        <f>S99+1000</f>
        <v>1000</v>
      </c>
    </row>
    <row r="100" spans="1:21" ht="141" customHeight="1" outlineLevel="3">
      <c r="A100" s="1" t="s">
        <v>132</v>
      </c>
      <c r="B100" s="3" t="s">
        <v>302</v>
      </c>
      <c r="C100" s="4" t="s">
        <v>293</v>
      </c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6">
        <v>5100</v>
      </c>
      <c r="P100" s="6">
        <v>0</v>
      </c>
      <c r="Q100" s="8"/>
      <c r="R100" s="15">
        <f t="shared" si="1"/>
        <v>0</v>
      </c>
      <c r="S100" s="61">
        <f aca="true" t="shared" si="5" ref="S100:S105">Q100</f>
        <v>0</v>
      </c>
      <c r="T100" s="62">
        <f t="shared" si="4"/>
        <v>2250</v>
      </c>
      <c r="U100" s="60">
        <f>S100+2250</f>
        <v>2250</v>
      </c>
    </row>
    <row r="101" spans="1:21" ht="135" customHeight="1" outlineLevel="3">
      <c r="A101" s="1" t="s">
        <v>133</v>
      </c>
      <c r="B101" s="3" t="s">
        <v>303</v>
      </c>
      <c r="C101" s="4" t="s">
        <v>294</v>
      </c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6">
        <v>11000</v>
      </c>
      <c r="P101" s="6">
        <v>0</v>
      </c>
      <c r="Q101" s="8"/>
      <c r="R101" s="15">
        <f t="shared" si="1"/>
        <v>0</v>
      </c>
      <c r="S101" s="61">
        <f t="shared" si="5"/>
        <v>0</v>
      </c>
      <c r="T101" s="62">
        <f t="shared" si="4"/>
        <v>250</v>
      </c>
      <c r="U101" s="60">
        <f>S101+250</f>
        <v>250</v>
      </c>
    </row>
    <row r="102" spans="1:21" ht="119.25" customHeight="1" outlineLevel="3">
      <c r="A102" s="1" t="s">
        <v>134</v>
      </c>
      <c r="B102" s="3" t="s">
        <v>304</v>
      </c>
      <c r="C102" s="4" t="s">
        <v>295</v>
      </c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6">
        <v>44000</v>
      </c>
      <c r="P102" s="6">
        <v>0</v>
      </c>
      <c r="Q102" s="8"/>
      <c r="R102" s="15">
        <f t="shared" si="1"/>
        <v>0</v>
      </c>
      <c r="S102" s="61">
        <f t="shared" si="5"/>
        <v>0</v>
      </c>
      <c r="T102" s="62">
        <f t="shared" si="4"/>
        <v>3500</v>
      </c>
      <c r="U102" s="60">
        <f>S102+3500</f>
        <v>3500</v>
      </c>
    </row>
    <row r="103" spans="1:21" ht="132.75" customHeight="1" outlineLevel="2">
      <c r="A103" s="1" t="s">
        <v>135</v>
      </c>
      <c r="B103" s="3" t="s">
        <v>305</v>
      </c>
      <c r="C103" s="4" t="s">
        <v>296</v>
      </c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6">
        <v>30300</v>
      </c>
      <c r="P103" s="6">
        <v>0</v>
      </c>
      <c r="Q103" s="8">
        <v>0</v>
      </c>
      <c r="R103" s="15">
        <f aca="true" t="shared" si="6" ref="R103:R157">S103-Q103</f>
        <v>0</v>
      </c>
      <c r="S103" s="61">
        <f t="shared" si="5"/>
        <v>0</v>
      </c>
      <c r="T103" s="62">
        <f t="shared" si="4"/>
        <v>43500</v>
      </c>
      <c r="U103" s="60">
        <f>S103+43500</f>
        <v>43500</v>
      </c>
    </row>
    <row r="104" spans="1:21" ht="78.75" customHeight="1" hidden="1" outlineLevel="3">
      <c r="A104" s="1" t="s">
        <v>136</v>
      </c>
      <c r="B104" s="3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6">
        <v>30300</v>
      </c>
      <c r="P104" s="6">
        <v>0</v>
      </c>
      <c r="Q104" s="8">
        <v>0</v>
      </c>
      <c r="R104" s="15">
        <f t="shared" si="6"/>
        <v>0</v>
      </c>
      <c r="S104" s="61">
        <f t="shared" si="5"/>
        <v>0</v>
      </c>
      <c r="T104" s="62">
        <f t="shared" si="4"/>
        <v>0</v>
      </c>
      <c r="U104" s="60">
        <f>S104</f>
        <v>0</v>
      </c>
    </row>
    <row r="105" spans="1:21" ht="99" customHeight="1" outlineLevel="3">
      <c r="A105" s="1" t="s">
        <v>137</v>
      </c>
      <c r="B105" s="3" t="s">
        <v>307</v>
      </c>
      <c r="C105" s="4" t="s">
        <v>298</v>
      </c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6">
        <v>4900</v>
      </c>
      <c r="P105" s="6">
        <v>0</v>
      </c>
      <c r="Q105" s="8"/>
      <c r="R105" s="15">
        <f t="shared" si="6"/>
        <v>0</v>
      </c>
      <c r="S105" s="61">
        <f t="shared" si="5"/>
        <v>0</v>
      </c>
      <c r="T105" s="62">
        <f t="shared" si="4"/>
        <v>20300</v>
      </c>
      <c r="U105" s="60">
        <f>S105+20300</f>
        <v>20300</v>
      </c>
    </row>
    <row r="106" spans="1:21" ht="91.5" customHeight="1" hidden="1" outlineLevel="3">
      <c r="A106" s="1" t="s">
        <v>138</v>
      </c>
      <c r="B106" s="3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6">
        <v>64800</v>
      </c>
      <c r="P106" s="6">
        <v>0</v>
      </c>
      <c r="Q106" s="8"/>
      <c r="R106" s="15">
        <f t="shared" si="6"/>
        <v>0</v>
      </c>
      <c r="S106" s="61">
        <f>Q106</f>
        <v>0</v>
      </c>
      <c r="T106" s="62">
        <f t="shared" si="4"/>
        <v>0</v>
      </c>
      <c r="U106" s="60"/>
    </row>
    <row r="107" spans="1:21" ht="77.25" customHeight="1" hidden="1" outlineLevel="3">
      <c r="A107" s="1" t="s">
        <v>139</v>
      </c>
      <c r="B107" s="3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6">
        <v>0</v>
      </c>
      <c r="P107" s="6">
        <v>0</v>
      </c>
      <c r="Q107" s="8"/>
      <c r="R107" s="15">
        <f t="shared" si="6"/>
        <v>0</v>
      </c>
      <c r="S107" s="61">
        <f>Q107</f>
        <v>0</v>
      </c>
      <c r="T107" s="62">
        <f t="shared" si="4"/>
        <v>0</v>
      </c>
      <c r="U107" s="60"/>
    </row>
    <row r="108" spans="1:21" ht="39.75" customHeight="1" hidden="1" outlineLevel="3">
      <c r="A108" s="1" t="s">
        <v>140</v>
      </c>
      <c r="B108" s="3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6">
        <v>0</v>
      </c>
      <c r="P108" s="6">
        <v>0</v>
      </c>
      <c r="Q108" s="8"/>
      <c r="R108" s="15">
        <f t="shared" si="6"/>
        <v>0</v>
      </c>
      <c r="S108" s="61">
        <f>Q108</f>
        <v>0</v>
      </c>
      <c r="T108" s="62">
        <f t="shared" si="4"/>
        <v>0</v>
      </c>
      <c r="U108" s="60"/>
    </row>
    <row r="109" spans="1:21" ht="97.5" customHeight="1" hidden="1" outlineLevel="3">
      <c r="A109" s="1" t="s">
        <v>141</v>
      </c>
      <c r="B109" s="3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6">
        <v>7000</v>
      </c>
      <c r="P109" s="6">
        <v>0</v>
      </c>
      <c r="Q109" s="8"/>
      <c r="R109" s="15">
        <f t="shared" si="6"/>
        <v>0</v>
      </c>
      <c r="S109" s="61">
        <f>Q109</f>
        <v>0</v>
      </c>
      <c r="T109" s="62">
        <f t="shared" si="4"/>
        <v>0</v>
      </c>
      <c r="U109" s="60"/>
    </row>
    <row r="110" spans="1:21" ht="63" customHeight="1" hidden="1" outlineLevel="3">
      <c r="A110" s="1" t="s">
        <v>142</v>
      </c>
      <c r="B110" s="3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6">
        <v>251400</v>
      </c>
      <c r="P110" s="6">
        <v>0</v>
      </c>
      <c r="Q110" s="8">
        <v>1303000</v>
      </c>
      <c r="R110" s="15">
        <f t="shared" si="6"/>
        <v>-1303000</v>
      </c>
      <c r="S110" s="61">
        <v>0</v>
      </c>
      <c r="T110" s="62">
        <f t="shared" si="4"/>
        <v>0</v>
      </c>
      <c r="U110" s="60">
        <v>0</v>
      </c>
    </row>
    <row r="111" spans="1:21" ht="95.25" customHeight="1" outlineLevel="3">
      <c r="A111" s="1"/>
      <c r="B111" s="3" t="s">
        <v>306</v>
      </c>
      <c r="C111" s="4" t="s">
        <v>297</v>
      </c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6"/>
      <c r="P111" s="6"/>
      <c r="Q111" s="8"/>
      <c r="R111" s="15"/>
      <c r="S111" s="61">
        <v>1303000</v>
      </c>
      <c r="T111" s="62">
        <f t="shared" si="4"/>
        <v>-827300</v>
      </c>
      <c r="U111" s="60">
        <f>S111-827300</f>
        <v>475700</v>
      </c>
    </row>
    <row r="112" spans="1:21" ht="14.25" customHeight="1" outlineLevel="1">
      <c r="A112" s="1" t="s">
        <v>41</v>
      </c>
      <c r="B112" s="3" t="s">
        <v>42</v>
      </c>
      <c r="C112" s="4" t="s">
        <v>41</v>
      </c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6">
        <v>190000</v>
      </c>
      <c r="P112" s="6">
        <v>0</v>
      </c>
      <c r="Q112" s="8">
        <f>Q113+Q115</f>
        <v>65200</v>
      </c>
      <c r="R112" s="14">
        <f>R113+R115</f>
        <v>-29200</v>
      </c>
      <c r="S112" s="61">
        <f>S113+S115</f>
        <v>36000</v>
      </c>
      <c r="T112" s="62">
        <f t="shared" si="4"/>
        <v>-34800</v>
      </c>
      <c r="U112" s="62">
        <f>U113+U115</f>
        <v>1200</v>
      </c>
    </row>
    <row r="113" spans="1:21" ht="14.25" customHeight="1" hidden="1" outlineLevel="2">
      <c r="A113" s="1" t="s">
        <v>43</v>
      </c>
      <c r="B113" s="3" t="s">
        <v>44</v>
      </c>
      <c r="C113" s="4" t="s">
        <v>43</v>
      </c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6">
        <v>0</v>
      </c>
      <c r="P113" s="6">
        <v>0</v>
      </c>
      <c r="Q113" s="8">
        <f>Q114</f>
        <v>0</v>
      </c>
      <c r="R113" s="14">
        <f>R114</f>
        <v>0</v>
      </c>
      <c r="S113" s="61">
        <f>S114</f>
        <v>0</v>
      </c>
      <c r="T113" s="62">
        <f t="shared" si="4"/>
        <v>0</v>
      </c>
      <c r="U113" s="60"/>
    </row>
    <row r="114" spans="1:21" ht="36.75" customHeight="1" hidden="1" outlineLevel="3">
      <c r="A114" s="1" t="s">
        <v>143</v>
      </c>
      <c r="B114" s="3" t="s">
        <v>144</v>
      </c>
      <c r="C114" s="4" t="s">
        <v>143</v>
      </c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6">
        <v>0</v>
      </c>
      <c r="P114" s="6">
        <v>0</v>
      </c>
      <c r="Q114" s="8">
        <v>0</v>
      </c>
      <c r="R114" s="15">
        <f t="shared" si="6"/>
        <v>0</v>
      </c>
      <c r="S114" s="61">
        <f>Q114</f>
        <v>0</v>
      </c>
      <c r="T114" s="62">
        <f t="shared" si="4"/>
        <v>0</v>
      </c>
      <c r="U114" s="60"/>
    </row>
    <row r="115" spans="1:21" ht="14.25" customHeight="1" outlineLevel="2" collapsed="1">
      <c r="A115" s="1" t="s">
        <v>145</v>
      </c>
      <c r="B115" s="3" t="s">
        <v>146</v>
      </c>
      <c r="C115" s="4" t="s">
        <v>145</v>
      </c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6">
        <v>190000</v>
      </c>
      <c r="P115" s="6">
        <v>0</v>
      </c>
      <c r="Q115" s="8">
        <f>Q116</f>
        <v>65200</v>
      </c>
      <c r="R115" s="14">
        <f>R116</f>
        <v>-29200</v>
      </c>
      <c r="S115" s="61">
        <f>S116</f>
        <v>36000</v>
      </c>
      <c r="T115" s="62">
        <f t="shared" si="4"/>
        <v>-34800</v>
      </c>
      <c r="U115" s="62">
        <f>U116</f>
        <v>1200</v>
      </c>
    </row>
    <row r="116" spans="1:21" ht="37.5" customHeight="1" outlineLevel="3">
      <c r="A116" s="1" t="s">
        <v>147</v>
      </c>
      <c r="B116" s="3" t="s">
        <v>148</v>
      </c>
      <c r="C116" s="4" t="s">
        <v>147</v>
      </c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6">
        <v>190000</v>
      </c>
      <c r="P116" s="6">
        <v>0</v>
      </c>
      <c r="Q116" s="8">
        <v>65200</v>
      </c>
      <c r="R116" s="15">
        <f t="shared" si="6"/>
        <v>-29200</v>
      </c>
      <c r="S116" s="61">
        <v>36000</v>
      </c>
      <c r="T116" s="62">
        <f t="shared" si="4"/>
        <v>-34800</v>
      </c>
      <c r="U116" s="60">
        <f>S116-34800</f>
        <v>1200</v>
      </c>
    </row>
    <row r="117" spans="1:21" ht="14.25" customHeight="1">
      <c r="A117" s="1" t="s">
        <v>45</v>
      </c>
      <c r="B117" s="3" t="s">
        <v>46</v>
      </c>
      <c r="C117" s="4" t="s">
        <v>45</v>
      </c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6">
        <v>142917900</v>
      </c>
      <c r="P117" s="6">
        <v>21730473</v>
      </c>
      <c r="Q117" s="8">
        <f>Q118+Q154+Q156</f>
        <v>262486787.02999997</v>
      </c>
      <c r="R117" s="15">
        <f t="shared" si="6"/>
        <v>33094315.99000001</v>
      </c>
      <c r="S117" s="61">
        <f>S118+S154+S156</f>
        <v>295581103.02</v>
      </c>
      <c r="T117" s="62">
        <f t="shared" si="4"/>
        <v>90638067.32</v>
      </c>
      <c r="U117" s="62">
        <f>U118+U154+U156</f>
        <v>386219170.34</v>
      </c>
    </row>
    <row r="118" spans="1:21" ht="58.5" customHeight="1" outlineLevel="1">
      <c r="A118" s="1" t="s">
        <v>47</v>
      </c>
      <c r="B118" s="3" t="s">
        <v>48</v>
      </c>
      <c r="C118" s="4" t="s">
        <v>47</v>
      </c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6">
        <v>142917900</v>
      </c>
      <c r="P118" s="6">
        <v>22168038</v>
      </c>
      <c r="Q118" s="8">
        <f>Q119+Q123+Q140+Q150</f>
        <v>272870787.03</v>
      </c>
      <c r="R118" s="15">
        <f t="shared" si="6"/>
        <v>55411581.80000001</v>
      </c>
      <c r="S118" s="14">
        <f>S119+S123+S140+S150</f>
        <v>328282368.83</v>
      </c>
      <c r="T118" s="45">
        <f t="shared" si="4"/>
        <v>90636067.32</v>
      </c>
      <c r="U118" s="45">
        <f>U119+U123+U140+U150</f>
        <v>418918436.15</v>
      </c>
    </row>
    <row r="119" spans="1:21" ht="33" customHeight="1" outlineLevel="2">
      <c r="A119" s="1" t="s">
        <v>49</v>
      </c>
      <c r="B119" s="3" t="s">
        <v>177</v>
      </c>
      <c r="C119" s="4" t="s">
        <v>229</v>
      </c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6">
        <v>581800</v>
      </c>
      <c r="P119" s="6">
        <v>0</v>
      </c>
      <c r="Q119" s="14">
        <f>SUM(Q120:Q122)</f>
        <v>26579300</v>
      </c>
      <c r="R119" s="15">
        <f t="shared" si="6"/>
        <v>-26579300</v>
      </c>
      <c r="S119" s="14">
        <f>SUM(S120:S122)</f>
        <v>0</v>
      </c>
      <c r="T119" s="45">
        <f t="shared" si="4"/>
        <v>3826500</v>
      </c>
      <c r="U119" s="45">
        <f>SUM(U120:U122)</f>
        <v>3826500</v>
      </c>
    </row>
    <row r="120" spans="1:21" ht="53.25" customHeight="1" outlineLevel="3">
      <c r="A120" s="1" t="s">
        <v>149</v>
      </c>
      <c r="B120" s="3" t="s">
        <v>178</v>
      </c>
      <c r="C120" s="4" t="s">
        <v>230</v>
      </c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6">
        <v>581800</v>
      </c>
      <c r="P120" s="6">
        <v>0</v>
      </c>
      <c r="Q120" s="8"/>
      <c r="R120" s="15">
        <f t="shared" si="6"/>
        <v>0</v>
      </c>
      <c r="S120" s="14">
        <f>Q120</f>
        <v>0</v>
      </c>
      <c r="T120" s="45">
        <f t="shared" si="4"/>
        <v>3826500</v>
      </c>
      <c r="U120" s="15">
        <f>1658600+2167900</f>
        <v>3826500</v>
      </c>
    </row>
    <row r="121" spans="1:21" ht="75" customHeight="1" hidden="1" outlineLevel="3">
      <c r="A121" s="1"/>
      <c r="B121" s="3" t="s">
        <v>188</v>
      </c>
      <c r="C121" s="4" t="s">
        <v>186</v>
      </c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6"/>
      <c r="P121" s="6"/>
      <c r="Q121" s="8"/>
      <c r="R121" s="15">
        <f>S121-Q121</f>
        <v>0</v>
      </c>
      <c r="S121" s="14">
        <f>Q121</f>
        <v>0</v>
      </c>
      <c r="T121" s="45">
        <f t="shared" si="4"/>
        <v>0</v>
      </c>
      <c r="U121" s="15"/>
    </row>
    <row r="122" spans="1:21" ht="42.75" customHeight="1" hidden="1" outlineLevel="3">
      <c r="A122" s="1"/>
      <c r="B122" s="3" t="s">
        <v>189</v>
      </c>
      <c r="C122" s="4" t="s">
        <v>228</v>
      </c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6"/>
      <c r="P122" s="6"/>
      <c r="Q122" s="8">
        <v>26579300</v>
      </c>
      <c r="R122" s="15">
        <f>S122-Q122</f>
        <v>-26579300</v>
      </c>
      <c r="S122" s="14"/>
      <c r="T122" s="45">
        <f t="shared" si="4"/>
        <v>0</v>
      </c>
      <c r="U122" s="15"/>
    </row>
    <row r="123" spans="1:21" ht="48" customHeight="1" outlineLevel="2" collapsed="1">
      <c r="A123" s="1" t="s">
        <v>50</v>
      </c>
      <c r="B123" s="3" t="s">
        <v>51</v>
      </c>
      <c r="C123" s="4" t="s">
        <v>227</v>
      </c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6">
        <v>14986500</v>
      </c>
      <c r="P123" s="6">
        <v>18087262</v>
      </c>
      <c r="Q123" s="8">
        <f>SUM(Q124:Q139)</f>
        <v>88826725.03</v>
      </c>
      <c r="R123" s="14">
        <f>SUM(R124:R139)</f>
        <v>42136363.800000004</v>
      </c>
      <c r="S123" s="14">
        <f>SUM(S124:S139)</f>
        <v>167777688.82999998</v>
      </c>
      <c r="T123" s="45">
        <f t="shared" si="4"/>
        <v>62997968.82000002</v>
      </c>
      <c r="U123" s="45">
        <f>SUM(U124:U139)</f>
        <v>230775657.65</v>
      </c>
    </row>
    <row r="124" spans="1:21" ht="126" customHeight="1" outlineLevel="3">
      <c r="A124" s="1" t="s">
        <v>150</v>
      </c>
      <c r="B124" s="53" t="s">
        <v>315</v>
      </c>
      <c r="C124" s="4" t="s">
        <v>211</v>
      </c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6">
        <v>0</v>
      </c>
      <c r="P124" s="6">
        <v>5350408</v>
      </c>
      <c r="Q124" s="8">
        <v>39803300</v>
      </c>
      <c r="R124" s="15">
        <f t="shared" si="6"/>
        <v>-26978600</v>
      </c>
      <c r="S124" s="14">
        <v>12824700</v>
      </c>
      <c r="T124" s="45">
        <f t="shared" si="4"/>
        <v>6206000</v>
      </c>
      <c r="U124" s="15">
        <f>S124+6206000</f>
        <v>19030700</v>
      </c>
    </row>
    <row r="125" spans="1:21" ht="76.5" customHeight="1" hidden="1" outlineLevel="3">
      <c r="A125" s="1"/>
      <c r="B125" s="3" t="s">
        <v>255</v>
      </c>
      <c r="C125" s="4" t="s">
        <v>254</v>
      </c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6"/>
      <c r="P125" s="6"/>
      <c r="Q125" s="8"/>
      <c r="R125" s="15"/>
      <c r="S125" s="14"/>
      <c r="T125" s="45">
        <f t="shared" si="4"/>
        <v>0</v>
      </c>
      <c r="U125" s="15">
        <f aca="true" t="shared" si="7" ref="U125:U132">S125</f>
        <v>0</v>
      </c>
    </row>
    <row r="126" spans="1:21" ht="60" customHeight="1" hidden="1" outlineLevel="3">
      <c r="A126" s="1"/>
      <c r="B126" s="3" t="s">
        <v>196</v>
      </c>
      <c r="C126" s="4" t="s">
        <v>231</v>
      </c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6"/>
      <c r="P126" s="6"/>
      <c r="Q126" s="8"/>
      <c r="R126" s="15">
        <f t="shared" si="6"/>
        <v>0</v>
      </c>
      <c r="S126" s="14">
        <f>Q126</f>
        <v>0</v>
      </c>
      <c r="T126" s="45">
        <f t="shared" si="4"/>
        <v>0</v>
      </c>
      <c r="U126" s="15">
        <f t="shared" si="7"/>
        <v>0</v>
      </c>
    </row>
    <row r="127" spans="1:21" ht="76.5" customHeight="1" outlineLevel="3">
      <c r="A127" s="1"/>
      <c r="B127" s="3" t="s">
        <v>181</v>
      </c>
      <c r="C127" s="4" t="s">
        <v>232</v>
      </c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6"/>
      <c r="P127" s="6"/>
      <c r="Q127" s="8"/>
      <c r="R127" s="15">
        <f t="shared" si="6"/>
        <v>1294300</v>
      </c>
      <c r="S127" s="14">
        <v>1294300</v>
      </c>
      <c r="T127" s="45">
        <f t="shared" si="4"/>
        <v>-228400</v>
      </c>
      <c r="U127" s="15">
        <f>S127-228400</f>
        <v>1065900</v>
      </c>
    </row>
    <row r="128" spans="1:21" ht="76.5" customHeight="1" hidden="1" outlineLevel="3">
      <c r="A128" s="1"/>
      <c r="B128" s="3" t="s">
        <v>236</v>
      </c>
      <c r="C128" s="4" t="s">
        <v>232</v>
      </c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6"/>
      <c r="P128" s="6"/>
      <c r="Q128" s="8">
        <v>970002.51</v>
      </c>
      <c r="R128" s="15">
        <f t="shared" si="6"/>
        <v>-970002.51</v>
      </c>
      <c r="S128" s="14"/>
      <c r="T128" s="45">
        <f t="shared" si="4"/>
        <v>0</v>
      </c>
      <c r="U128" s="15">
        <f t="shared" si="7"/>
        <v>0</v>
      </c>
    </row>
    <row r="129" spans="1:21" ht="76.5" customHeight="1" outlineLevel="3">
      <c r="A129" s="1"/>
      <c r="B129" s="3" t="s">
        <v>285</v>
      </c>
      <c r="C129" s="4" t="s">
        <v>286</v>
      </c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6"/>
      <c r="P129" s="6"/>
      <c r="Q129" s="8"/>
      <c r="R129" s="15"/>
      <c r="S129" s="14"/>
      <c r="T129" s="45">
        <f t="shared" si="4"/>
        <v>2304681.3</v>
      </c>
      <c r="U129" s="15">
        <f>S129+2304681.3</f>
        <v>2304681.3</v>
      </c>
    </row>
    <row r="130" spans="1:21" ht="96" customHeight="1" outlineLevel="3">
      <c r="A130" s="1"/>
      <c r="B130" s="3" t="s">
        <v>260</v>
      </c>
      <c r="C130" s="4" t="s">
        <v>226</v>
      </c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6"/>
      <c r="P130" s="6"/>
      <c r="Q130" s="8">
        <v>1188612.02</v>
      </c>
      <c r="R130" s="15">
        <f>S130-Q130</f>
        <v>-991591.73</v>
      </c>
      <c r="S130" s="14">
        <v>197020.29</v>
      </c>
      <c r="T130" s="45">
        <f t="shared" si="4"/>
        <v>0</v>
      </c>
      <c r="U130" s="15">
        <f>S130</f>
        <v>197020.29</v>
      </c>
    </row>
    <row r="131" spans="1:21" ht="63" customHeight="1" outlineLevel="3">
      <c r="A131" s="1"/>
      <c r="B131" s="3" t="s">
        <v>259</v>
      </c>
      <c r="C131" s="4" t="s">
        <v>212</v>
      </c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6"/>
      <c r="P131" s="6"/>
      <c r="Q131" s="8">
        <v>8331387.72</v>
      </c>
      <c r="R131" s="15">
        <f>S131-Q131</f>
        <v>-3982581.1899999995</v>
      </c>
      <c r="S131" s="14">
        <v>4348806.53</v>
      </c>
      <c r="T131" s="45">
        <f t="shared" si="4"/>
        <v>-347647.83999999985</v>
      </c>
      <c r="U131" s="15">
        <f>S131-347647.84</f>
        <v>4001158.6900000004</v>
      </c>
    </row>
    <row r="132" spans="1:21" ht="63" customHeight="1" outlineLevel="3">
      <c r="A132" s="1"/>
      <c r="B132" s="3" t="s">
        <v>262</v>
      </c>
      <c r="C132" s="4" t="s">
        <v>261</v>
      </c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6"/>
      <c r="P132" s="6"/>
      <c r="Q132" s="8"/>
      <c r="R132" s="15"/>
      <c r="S132" s="14">
        <v>3600000</v>
      </c>
      <c r="T132" s="45">
        <f t="shared" si="4"/>
        <v>0</v>
      </c>
      <c r="U132" s="15">
        <f t="shared" si="7"/>
        <v>3600000</v>
      </c>
    </row>
    <row r="133" spans="1:21" ht="42" customHeight="1" outlineLevel="3">
      <c r="A133" s="1"/>
      <c r="B133" s="3" t="s">
        <v>258</v>
      </c>
      <c r="C133" s="4" t="s">
        <v>213</v>
      </c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6"/>
      <c r="P133" s="6"/>
      <c r="Q133" s="8">
        <v>5988.74</v>
      </c>
      <c r="R133" s="15">
        <f>S133-Q133</f>
        <v>36724.26</v>
      </c>
      <c r="S133" s="14">
        <v>42713</v>
      </c>
      <c r="T133" s="45">
        <f t="shared" si="4"/>
        <v>0</v>
      </c>
      <c r="U133" s="15">
        <v>42713</v>
      </c>
    </row>
    <row r="134" spans="1:21" ht="84" customHeight="1" outlineLevel="3">
      <c r="A134" s="1"/>
      <c r="B134" s="3" t="s">
        <v>257</v>
      </c>
      <c r="C134" s="4" t="s">
        <v>214</v>
      </c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6"/>
      <c r="P134" s="6"/>
      <c r="Q134" s="8"/>
      <c r="R134" s="15">
        <f>S134-Q134</f>
        <v>4158783.2</v>
      </c>
      <c r="S134" s="14">
        <v>4158783.2</v>
      </c>
      <c r="T134" s="45">
        <f t="shared" si="4"/>
        <v>0</v>
      </c>
      <c r="U134" s="15">
        <f>S134</f>
        <v>4158783.2</v>
      </c>
    </row>
    <row r="135" spans="1:21" ht="54" customHeight="1" outlineLevel="3">
      <c r="A135" s="1"/>
      <c r="B135" s="3" t="s">
        <v>256</v>
      </c>
      <c r="C135" s="4" t="s">
        <v>215</v>
      </c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6"/>
      <c r="P135" s="6"/>
      <c r="Q135" s="13">
        <v>5448617.02</v>
      </c>
      <c r="R135" s="15">
        <f t="shared" si="6"/>
        <v>8148082.98</v>
      </c>
      <c r="S135" s="14">
        <v>13596700</v>
      </c>
      <c r="T135" s="45">
        <f t="shared" si="4"/>
        <v>-1409800</v>
      </c>
      <c r="U135" s="15">
        <f>S135-1409797.98-2.02</f>
        <v>12186900</v>
      </c>
    </row>
    <row r="136" spans="1:21" ht="54" customHeight="1" outlineLevel="3">
      <c r="A136" s="1"/>
      <c r="B136" s="3" t="s">
        <v>287</v>
      </c>
      <c r="C136" s="4" t="s">
        <v>312</v>
      </c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6"/>
      <c r="P136" s="6"/>
      <c r="Q136" s="13">
        <v>5448617.02</v>
      </c>
      <c r="R136" s="15">
        <f>S136-Q136</f>
        <v>-5448617.02</v>
      </c>
      <c r="S136" s="14">
        <v>0</v>
      </c>
      <c r="T136" s="45">
        <f t="shared" si="4"/>
        <v>1721167.1</v>
      </c>
      <c r="U136" s="15">
        <f>S136+1409797.98+311369.12</f>
        <v>1721167.1</v>
      </c>
    </row>
    <row r="137" spans="1:21" ht="51" customHeight="1" outlineLevel="3">
      <c r="A137" s="1"/>
      <c r="B137" s="3" t="s">
        <v>313</v>
      </c>
      <c r="C137" s="4" t="s">
        <v>269</v>
      </c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6"/>
      <c r="P137" s="6"/>
      <c r="Q137" s="13"/>
      <c r="R137" s="15"/>
      <c r="S137" s="14">
        <v>33214600</v>
      </c>
      <c r="T137" s="45">
        <f t="shared" si="4"/>
        <v>-331859</v>
      </c>
      <c r="U137" s="15">
        <f>3454580+29760000-331539-300</f>
        <v>32882741</v>
      </c>
    </row>
    <row r="138" spans="1:21" ht="39.75" customHeight="1" outlineLevel="3">
      <c r="A138" s="1" t="s">
        <v>151</v>
      </c>
      <c r="B138" s="3" t="s">
        <v>314</v>
      </c>
      <c r="C138" s="4" t="s">
        <v>216</v>
      </c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6">
        <v>13409800</v>
      </c>
      <c r="P138" s="6">
        <v>57780</v>
      </c>
      <c r="Q138" s="14">
        <v>27630200</v>
      </c>
      <c r="R138" s="15">
        <f>S138-Q138</f>
        <v>66869865.81</v>
      </c>
      <c r="S138" s="14">
        <v>94500065.81</v>
      </c>
      <c r="T138" s="45">
        <f t="shared" si="4"/>
        <v>55083827.25999999</v>
      </c>
      <c r="U138" s="15">
        <f>1171800+1370400+15118600+3000000+100000+5000000+3700000+2396300+600000+10000000+1479200+4432900+13020000+22202728.84+18101600+2641800+5794500+5301200-91618.7-2304681.3+6132000+3028900-2335-2373452-1900-3220300-2018100+14962836.97+19123300+686000+240200+0.57-7986.31</f>
        <v>149583893.07</v>
      </c>
    </row>
    <row r="139" spans="1:21" ht="21" customHeight="1" hidden="1" outlineLevel="3">
      <c r="A139" s="1" t="s">
        <v>151</v>
      </c>
      <c r="B139" s="3" t="s">
        <v>204</v>
      </c>
      <c r="C139" s="4" t="s">
        <v>180</v>
      </c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6">
        <v>13409800</v>
      </c>
      <c r="P139" s="6">
        <v>57780</v>
      </c>
      <c r="Q139" s="8">
        <v>0</v>
      </c>
      <c r="R139" s="15">
        <f t="shared" si="6"/>
        <v>0</v>
      </c>
      <c r="S139" s="14">
        <f>Q139</f>
        <v>0</v>
      </c>
      <c r="T139" s="45">
        <f t="shared" si="4"/>
        <v>0</v>
      </c>
      <c r="U139" s="15"/>
    </row>
    <row r="140" spans="1:21" ht="36" customHeight="1" outlineLevel="2" collapsed="1">
      <c r="A140" s="1" t="s">
        <v>52</v>
      </c>
      <c r="B140" s="3" t="s">
        <v>179</v>
      </c>
      <c r="C140" s="4" t="s">
        <v>263</v>
      </c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6">
        <v>120997500</v>
      </c>
      <c r="P140" s="6">
        <v>584276</v>
      </c>
      <c r="Q140" s="8">
        <f>SUM(Q141:Q149)</f>
        <v>148975215.1</v>
      </c>
      <c r="R140" s="14">
        <f>SUM(R141:R149)</f>
        <v>-1587645.1</v>
      </c>
      <c r="S140" s="14">
        <f>SUM(S141:S149)</f>
        <v>147789570</v>
      </c>
      <c r="T140" s="45">
        <f t="shared" si="4"/>
        <v>10492311.280000001</v>
      </c>
      <c r="U140" s="45">
        <f>SUM(U141:U149)</f>
        <v>158281881.28</v>
      </c>
    </row>
    <row r="141" spans="1:21" ht="60" customHeight="1" outlineLevel="3">
      <c r="A141" s="1" t="s">
        <v>152</v>
      </c>
      <c r="B141" s="3" t="s">
        <v>237</v>
      </c>
      <c r="C141" s="4" t="s">
        <v>218</v>
      </c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6">
        <v>1523300</v>
      </c>
      <c r="P141" s="6">
        <v>-203300</v>
      </c>
      <c r="Q141" s="8">
        <v>142907488</v>
      </c>
      <c r="R141" s="15">
        <f t="shared" si="6"/>
        <v>-3701488</v>
      </c>
      <c r="S141" s="14">
        <v>139206000</v>
      </c>
      <c r="T141" s="45">
        <f t="shared" si="4"/>
        <v>10928300</v>
      </c>
      <c r="U141" s="15">
        <f>800+1600+321600+57600+675100+598000+27348200+94695600+3041600+63300+12402600+1588700+9420700-81100</f>
        <v>150134300</v>
      </c>
    </row>
    <row r="142" spans="1:21" ht="114.75" customHeight="1" outlineLevel="3">
      <c r="A142" s="1"/>
      <c r="B142" s="3" t="s">
        <v>153</v>
      </c>
      <c r="C142" s="4" t="s">
        <v>217</v>
      </c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6"/>
      <c r="P142" s="6"/>
      <c r="Q142" s="14">
        <f>O142+318500</f>
        <v>318500</v>
      </c>
      <c r="R142" s="15">
        <f t="shared" si="6"/>
        <v>197400</v>
      </c>
      <c r="S142" s="14">
        <v>515900</v>
      </c>
      <c r="T142" s="45">
        <f t="shared" si="4"/>
        <v>-315900</v>
      </c>
      <c r="U142" s="15">
        <f>S142-315900</f>
        <v>200000</v>
      </c>
    </row>
    <row r="143" spans="1:21" ht="111" customHeight="1" outlineLevel="3">
      <c r="A143" s="1"/>
      <c r="B143" s="3" t="s">
        <v>154</v>
      </c>
      <c r="C143" s="4" t="s">
        <v>219</v>
      </c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6"/>
      <c r="P143" s="6"/>
      <c r="Q143" s="8">
        <v>2891790</v>
      </c>
      <c r="R143" s="15">
        <f t="shared" si="6"/>
        <v>2178680</v>
      </c>
      <c r="S143" s="14">
        <v>5070470</v>
      </c>
      <c r="T143" s="45">
        <f t="shared" si="4"/>
        <v>-20</v>
      </c>
      <c r="U143" s="15">
        <f>3042270+2028180</f>
        <v>5070450</v>
      </c>
    </row>
    <row r="144" spans="1:21" ht="63" customHeight="1" outlineLevel="3">
      <c r="A144" s="1" t="s">
        <v>155</v>
      </c>
      <c r="B144" s="3" t="s">
        <v>182</v>
      </c>
      <c r="C144" s="4" t="s">
        <v>220</v>
      </c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6">
        <v>0</v>
      </c>
      <c r="P144" s="6">
        <v>780800</v>
      </c>
      <c r="Q144" s="8">
        <v>899500</v>
      </c>
      <c r="R144" s="15">
        <f t="shared" si="6"/>
        <v>3900</v>
      </c>
      <c r="S144" s="14">
        <v>903400</v>
      </c>
      <c r="T144" s="45">
        <f t="shared" si="4"/>
        <v>88400</v>
      </c>
      <c r="U144" s="15">
        <f>S144+88400</f>
        <v>991800</v>
      </c>
    </row>
    <row r="145" spans="1:21" ht="123" customHeight="1" outlineLevel="3">
      <c r="A145" s="1"/>
      <c r="B145" s="3" t="s">
        <v>184</v>
      </c>
      <c r="C145" s="4" t="s">
        <v>221</v>
      </c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6"/>
      <c r="P145" s="6"/>
      <c r="Q145" s="8">
        <v>7400</v>
      </c>
      <c r="R145" s="15">
        <f t="shared" si="6"/>
        <v>3800</v>
      </c>
      <c r="S145" s="14">
        <v>11200</v>
      </c>
      <c r="T145" s="45">
        <f t="shared" si="4"/>
        <v>0</v>
      </c>
      <c r="U145" s="15">
        <f>S145</f>
        <v>11200</v>
      </c>
    </row>
    <row r="146" spans="1:21" ht="0.75" customHeight="1" outlineLevel="3">
      <c r="A146" s="1"/>
      <c r="B146" s="3" t="s">
        <v>184</v>
      </c>
      <c r="C146" s="4" t="s">
        <v>183</v>
      </c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6"/>
      <c r="P146" s="6"/>
      <c r="Q146" s="8">
        <v>0</v>
      </c>
      <c r="R146" s="15">
        <f t="shared" si="6"/>
        <v>0</v>
      </c>
      <c r="S146" s="14">
        <f>Q146</f>
        <v>0</v>
      </c>
      <c r="T146" s="45">
        <f aca="true" t="shared" si="8" ref="T146:T158">U146-S146</f>
        <v>0</v>
      </c>
      <c r="U146" s="15">
        <f>S146</f>
        <v>0</v>
      </c>
    </row>
    <row r="147" spans="1:21" ht="63" customHeight="1" outlineLevel="3">
      <c r="A147" s="1"/>
      <c r="B147" s="3" t="s">
        <v>205</v>
      </c>
      <c r="C147" s="4" t="s">
        <v>222</v>
      </c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6"/>
      <c r="P147" s="6"/>
      <c r="Q147" s="8">
        <v>103437.1</v>
      </c>
      <c r="R147" s="15">
        <f t="shared" si="6"/>
        <v>40562.899999999994</v>
      </c>
      <c r="S147" s="14">
        <v>144000</v>
      </c>
      <c r="T147" s="45">
        <f t="shared" si="8"/>
        <v>-20068.72</v>
      </c>
      <c r="U147" s="15">
        <f>S147-20068.72</f>
        <v>123931.28</v>
      </c>
    </row>
    <row r="148" spans="1:21" ht="51.75" customHeight="1" outlineLevel="3">
      <c r="A148" s="1"/>
      <c r="B148" s="3" t="s">
        <v>271</v>
      </c>
      <c r="C148" s="4" t="s">
        <v>270</v>
      </c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6"/>
      <c r="P148" s="6"/>
      <c r="Q148" s="8"/>
      <c r="R148" s="15"/>
      <c r="S148" s="14">
        <v>402000</v>
      </c>
      <c r="T148" s="45">
        <f t="shared" si="8"/>
        <v>-402000</v>
      </c>
      <c r="U148" s="15">
        <f>S148-402000</f>
        <v>0</v>
      </c>
    </row>
    <row r="149" spans="1:21" ht="60" customHeight="1" outlineLevel="3">
      <c r="A149" s="1"/>
      <c r="B149" s="3" t="s">
        <v>185</v>
      </c>
      <c r="C149" s="4" t="s">
        <v>223</v>
      </c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6"/>
      <c r="P149" s="6"/>
      <c r="Q149" s="8">
        <v>1847100</v>
      </c>
      <c r="R149" s="15">
        <f t="shared" si="6"/>
        <v>-310500</v>
      </c>
      <c r="S149" s="14">
        <v>1536600</v>
      </c>
      <c r="T149" s="45">
        <f t="shared" si="8"/>
        <v>213600</v>
      </c>
      <c r="U149" s="15">
        <f>S149+40600+173000</f>
        <v>1750200</v>
      </c>
    </row>
    <row r="150" spans="1:21" ht="14.25" customHeight="1" outlineLevel="2">
      <c r="A150" s="1" t="s">
        <v>156</v>
      </c>
      <c r="B150" s="3" t="s">
        <v>157</v>
      </c>
      <c r="C150" s="4" t="s">
        <v>233</v>
      </c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6">
        <v>6352100</v>
      </c>
      <c r="P150" s="6">
        <v>3496500</v>
      </c>
      <c r="Q150" s="25">
        <f>SUM(Q151:Q153)</f>
        <v>8489546.9</v>
      </c>
      <c r="R150" s="14">
        <f>SUM(R151:R153)</f>
        <v>4225563.1</v>
      </c>
      <c r="S150" s="14">
        <f>SUM(S151:S153)</f>
        <v>12715110</v>
      </c>
      <c r="T150" s="45">
        <f t="shared" si="8"/>
        <v>13319287.219999999</v>
      </c>
      <c r="U150" s="45">
        <f>SUM(U151:U153)</f>
        <v>26034397.22</v>
      </c>
    </row>
    <row r="151" spans="1:21" ht="93" customHeight="1" outlineLevel="2">
      <c r="A151" s="1"/>
      <c r="B151" s="3" t="s">
        <v>158</v>
      </c>
      <c r="C151" s="4" t="s">
        <v>224</v>
      </c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6"/>
      <c r="P151" s="8"/>
      <c r="Q151" s="33">
        <v>8484946.9</v>
      </c>
      <c r="R151" s="15">
        <f t="shared" si="6"/>
        <v>1469963.0999999996</v>
      </c>
      <c r="S151" s="14">
        <v>9954910</v>
      </c>
      <c r="T151" s="45">
        <f t="shared" si="8"/>
        <v>-2029812.7799999993</v>
      </c>
      <c r="U151" s="15">
        <f>20000+9739510+64277.22-1898690</f>
        <v>7925097.220000001</v>
      </c>
    </row>
    <row r="152" spans="1:21" ht="101.25" customHeight="1" outlineLevel="3">
      <c r="A152" s="1"/>
      <c r="B152" s="3" t="s">
        <v>279</v>
      </c>
      <c r="C152" s="4" t="s">
        <v>278</v>
      </c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6"/>
      <c r="P152" s="6"/>
      <c r="Q152" s="34"/>
      <c r="R152" s="15"/>
      <c r="S152" s="14"/>
      <c r="T152" s="45">
        <f t="shared" si="8"/>
        <v>2734200</v>
      </c>
      <c r="U152" s="15">
        <f>S152+2760200-26000</f>
        <v>2734200</v>
      </c>
    </row>
    <row r="153" spans="1:21" ht="40.5" customHeight="1" outlineLevel="3">
      <c r="A153" s="1"/>
      <c r="B153" s="3" t="s">
        <v>316</v>
      </c>
      <c r="C153" s="4" t="s">
        <v>225</v>
      </c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6"/>
      <c r="P153" s="6"/>
      <c r="Q153" s="34">
        <v>4600</v>
      </c>
      <c r="R153" s="15">
        <f t="shared" si="6"/>
        <v>2755600</v>
      </c>
      <c r="S153" s="14">
        <v>2760200</v>
      </c>
      <c r="T153" s="45">
        <f t="shared" si="8"/>
        <v>12614900</v>
      </c>
      <c r="U153" s="15">
        <f>S153+310100+8900000+6000000+80000-2760200+85000</f>
        <v>15375100</v>
      </c>
    </row>
    <row r="154" spans="1:21" ht="135.75" customHeight="1" outlineLevel="1">
      <c r="A154" s="1" t="s">
        <v>53</v>
      </c>
      <c r="B154" s="3" t="s">
        <v>193</v>
      </c>
      <c r="C154" s="4" t="s">
        <v>194</v>
      </c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6">
        <v>0</v>
      </c>
      <c r="P154" s="6">
        <v>0</v>
      </c>
      <c r="Q154" s="8">
        <f>Q155</f>
        <v>0</v>
      </c>
      <c r="R154" s="14">
        <f>R155</f>
        <v>0</v>
      </c>
      <c r="S154" s="14">
        <f>S155</f>
        <v>0</v>
      </c>
      <c r="T154" s="14">
        <f>T155</f>
        <v>2000</v>
      </c>
      <c r="U154" s="14">
        <f>U155</f>
        <v>2000</v>
      </c>
    </row>
    <row r="155" spans="1:21" ht="88.5" customHeight="1" outlineLevel="3">
      <c r="A155" s="1" t="s">
        <v>159</v>
      </c>
      <c r="B155" s="3" t="s">
        <v>195</v>
      </c>
      <c r="C155" s="4" t="s">
        <v>234</v>
      </c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6">
        <v>0</v>
      </c>
      <c r="P155" s="6">
        <v>0</v>
      </c>
      <c r="Q155" s="8"/>
      <c r="R155" s="15">
        <f t="shared" si="6"/>
        <v>0</v>
      </c>
      <c r="S155" s="14">
        <f>Q155</f>
        <v>0</v>
      </c>
      <c r="T155" s="63">
        <f t="shared" si="8"/>
        <v>2000</v>
      </c>
      <c r="U155" s="64">
        <v>2000</v>
      </c>
    </row>
    <row r="156" spans="1:25" ht="68.25" customHeight="1" outlineLevel="1">
      <c r="A156" s="1" t="s">
        <v>160</v>
      </c>
      <c r="B156" s="3" t="s">
        <v>161</v>
      </c>
      <c r="C156" s="4" t="s">
        <v>160</v>
      </c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6">
        <v>0</v>
      </c>
      <c r="P156" s="6">
        <v>-437565</v>
      </c>
      <c r="Q156" s="8">
        <f>Q157</f>
        <v>-10384000</v>
      </c>
      <c r="R156" s="14">
        <f>R157</f>
        <v>-22317265.81</v>
      </c>
      <c r="S156" s="14">
        <f>S157</f>
        <v>-32701265.81</v>
      </c>
      <c r="T156" s="45">
        <f t="shared" si="8"/>
        <v>0</v>
      </c>
      <c r="U156" s="15">
        <f>U157</f>
        <v>-32701265.81</v>
      </c>
      <c r="Y156" s="2" t="s">
        <v>280</v>
      </c>
    </row>
    <row r="157" spans="1:21" ht="72" customHeight="1" outlineLevel="3">
      <c r="A157" s="1" t="s">
        <v>162</v>
      </c>
      <c r="B157" s="3" t="s">
        <v>163</v>
      </c>
      <c r="C157" s="4" t="s">
        <v>276</v>
      </c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  <c r="O157" s="6">
        <v>0</v>
      </c>
      <c r="P157" s="6">
        <v>-437565</v>
      </c>
      <c r="Q157" s="8">
        <v>-10384000</v>
      </c>
      <c r="R157" s="15">
        <f t="shared" si="6"/>
        <v>-22317265.81</v>
      </c>
      <c r="S157" s="14">
        <v>-32701265.81</v>
      </c>
      <c r="T157" s="45">
        <f t="shared" si="8"/>
        <v>0</v>
      </c>
      <c r="U157" s="15">
        <f>-8732700-23968565.81</f>
        <v>-32701265.81</v>
      </c>
    </row>
    <row r="158" spans="1:21" ht="14.25" customHeight="1">
      <c r="A158" s="88" t="s">
        <v>54</v>
      </c>
      <c r="B158" s="89"/>
      <c r="C158" s="89"/>
      <c r="D158" s="89"/>
      <c r="E158" s="89"/>
      <c r="F158" s="89"/>
      <c r="G158" s="89"/>
      <c r="H158" s="90"/>
      <c r="I158" s="37"/>
      <c r="J158" s="37"/>
      <c r="K158" s="37"/>
      <c r="L158" s="37"/>
      <c r="M158" s="37"/>
      <c r="N158" s="37"/>
      <c r="O158" s="38">
        <v>218737000</v>
      </c>
      <c r="P158" s="38">
        <v>21730473</v>
      </c>
      <c r="Q158" s="39">
        <f>Q19+Q117</f>
        <v>351465787.03</v>
      </c>
      <c r="R158" s="39">
        <f>R19+R117</f>
        <v>36327415.99000001</v>
      </c>
      <c r="S158" s="40">
        <f>S19+S117</f>
        <v>389456203.02</v>
      </c>
      <c r="T158" s="45">
        <f t="shared" si="8"/>
        <v>86811567.32</v>
      </c>
      <c r="U158" s="40">
        <f>U19+U117</f>
        <v>476267770.34</v>
      </c>
    </row>
    <row r="159" spans="1:17" ht="12.75" customHeight="1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4.2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</row>
  </sheetData>
  <sheetProtection/>
  <autoFilter ref="A17:U158"/>
  <mergeCells count="26">
    <mergeCell ref="C5:U5"/>
    <mergeCell ref="A16:U16"/>
    <mergeCell ref="A160:Q160"/>
    <mergeCell ref="A158:H158"/>
    <mergeCell ref="S17:S18"/>
    <mergeCell ref="A12:Q12"/>
    <mergeCell ref="C9:S9"/>
    <mergeCell ref="B17:B18"/>
    <mergeCell ref="T17:T18"/>
    <mergeCell ref="U17:U18"/>
    <mergeCell ref="B13:U13"/>
    <mergeCell ref="C8:S8"/>
    <mergeCell ref="A14:Q14"/>
    <mergeCell ref="C17:C18"/>
    <mergeCell ref="A15:Q15"/>
    <mergeCell ref="C10:S10"/>
    <mergeCell ref="C1:S1"/>
    <mergeCell ref="C2:S2"/>
    <mergeCell ref="Q17:Q18"/>
    <mergeCell ref="C11:S11"/>
    <mergeCell ref="F18:H18"/>
    <mergeCell ref="I18:K18"/>
    <mergeCell ref="R17:R18"/>
    <mergeCell ref="C4:U4"/>
    <mergeCell ref="C6:U6"/>
    <mergeCell ref="C3:U3"/>
  </mergeCells>
  <printOptions/>
  <pageMargins left="0.39375001192092896" right="0.39375001192092896" top="0.5902777910232544" bottom="0.5902777910232544" header="0.39375001192092896" footer="0.39375001192092896"/>
  <pageSetup blackAndWhite="1"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Инна Иванова</cp:lastModifiedBy>
  <cp:lastPrinted>2020-11-17T08:03:23Z</cp:lastPrinted>
  <dcterms:created xsi:type="dcterms:W3CDTF">2016-11-02T07:14:45Z</dcterms:created>
  <dcterms:modified xsi:type="dcterms:W3CDTF">2020-11-24T07:23:39Z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c:\Temp\ks\BudgetSmart2016\ReportManager\sqr_info_isp_budg_inc_3.xls</vt:lpwstr>
  </property>
</Properties>
</file>