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4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state="hidden" r:id="rId21"/>
    <sheet name="Лист3" sheetId="22" r:id="rId22"/>
    <sheet name="Лист4" sheetId="23" r:id="rId23"/>
    <sheet name="Лист5" sheetId="24" state="hidden" r:id="rId24"/>
  </sheets>
  <externalReferences>
    <externalReference r:id="rId25"/>
  </externalReferences>
  <definedNames>
    <definedName name="Z_1718F1EE_9F48_4DBE_9531_3B70F9C4A5DD_.wvu.Cols" localSheetId="1" hidden="1">Справка!$AV:$AX,Справка!$BB:$BD,Справка!$BH:$BP,Справка!$BT:$BY,Справка!$CX:$DF</definedName>
    <definedName name="Z_1718F1EE_9F48_4DBE_9531_3B70F9C4A5DD_.wvu.PrintArea" localSheetId="5" hidden="1">Иль!$A$1:$F$104</definedName>
    <definedName name="Z_1718F1EE_9F48_4DBE_9531_3B70F9C4A5DD_.wvu.PrintArea" localSheetId="0" hidden="1">Консол!$A$1:$K$28</definedName>
    <definedName name="Z_1718F1EE_9F48_4DBE_9531_3B70F9C4A5DD_.wvu.PrintArea" localSheetId="7" hidden="1">Мор!$A$1:$F$102</definedName>
    <definedName name="Z_1718F1EE_9F48_4DBE_9531_3B70F9C4A5DD_.wvu.PrintArea" localSheetId="1" hidden="1">Справка!$A$1:$EY$31</definedName>
    <definedName name="Z_1718F1EE_9F48_4DBE_9531_3B70F9C4A5DD_.wvu.PrintArea" localSheetId="11" hidden="1">Тор!$A$1:$F$101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Але!$19:$24,Але!$28:$35,Але!$45:$45,Але!$52:$52,Але!$54:$56,Але!$62:$63,Але!$71:$71,Але!$73:$74,Але!$78:$82,Але!$85:$92,Але!$141:$141</definedName>
    <definedName name="Z_1718F1EE_9F48_4DBE_9531_3B70F9C4A5DD_.wvu.Rows" localSheetId="5" hidden="1">Иль!$19:$24,Иль!$39:$39,Иль!$46:$46,Иль!$58:$58,Иль!$60:$62,Иль!$68:$69,Иль!$78:$79,Иль!$81:$81,Иль!$86:$90,Иль!$93:$100,Иль!$143:$143</definedName>
    <definedName name="Z_1718F1EE_9F48_4DBE_9531_3B70F9C4A5DD_.wvu.Rows" localSheetId="6" hidden="1">Кад!$19:$24,Кад!$29:$29,Кад!$38:$38,Кад!$56:$56,Кад!$58:$60,Кад!$66:$67,Кад!$77:$77,Кад!$82:$86,Кад!$89:$96,Кад!$142:$142</definedName>
    <definedName name="Z_1718F1EE_9F48_4DBE_9531_3B70F9C4A5DD_.wvu.Rows" localSheetId="0" hidden="1">Консол!$22:$22,Консол!#REF!</definedName>
    <definedName name="Z_1718F1EE_9F48_4DBE_9531_3B70F9C4A5DD_.wvu.Rows" localSheetId="19" hidden="1">Лист1!$82:$84</definedName>
    <definedName name="Z_1718F1EE_9F48_4DBE_9531_3B70F9C4A5DD_.wvu.Rows" localSheetId="7" hidden="1">Мор!$17:$24,Мор!$27:$27,Мор!$31:$31,Мор!$38:$38,Мор!$50:$51,Мор!$58:$58,Мор!$60:$62,Мор!$65:$66,Мор!$68:$69,Мор!$79:$79,Мор!$84:$89,Мор!$92:$98,Мор!$143:$143</definedName>
    <definedName name="Z_1718F1EE_9F48_4DBE_9531_3B70F9C4A5DD_.wvu.Rows" localSheetId="8" hidden="1">Мос!$19:$24,Мос!$29:$33,Мос!$59:$59,Мос!$61:$62,Мос!$69:$70,Мос!$80:$80,Мос!$83:$83,Мос!$86:$93,Мос!$96:$103,Мос!$144:$144</definedName>
    <definedName name="Z_1718F1EE_9F48_4DBE_9531_3B70F9C4A5DD_.wvu.Rows" localSheetId="9" hidden="1">Ори!$19:$24,Ори!$31:$32,Ори!$44:$44,Ори!$48:$50,Ори!$57:$57,Ори!$59:$60,Ори!$67:$68,Ори!$78:$78,Ори!$81:$81,Ори!$84:$88,Ори!$91:$98,Ори!$142:$142</definedName>
    <definedName name="Z_1718F1EE_9F48_4DBE_9531_3B70F9C4A5DD_.wvu.Rows" localSheetId="2" hidden="1">район!$18:$19,район!$21:$21,район!$26:$26,район!$28:$32,район!$36:$36,район!$39:$39,район!$52:$53,район!$67:$67,район!$74:$74,район!$91:$91,район!$98:$98,район!$126:$128,район!$131:$132</definedName>
    <definedName name="Z_1718F1EE_9F48_4DBE_9531_3B70F9C4A5DD_.wvu.Rows" localSheetId="4" hidden="1">Сун!$19:$24,Сун!$45:$45,Сун!$49:$51,Сун!$58:$58,Сун!$60:$62,Сун!$68:$69,Сун!$79:$79,Сун!$82:$82,Сун!$85:$85,Сун!$93:$100,Сун!$142:$142</definedName>
    <definedName name="Z_1718F1EE_9F48_4DBE_9531_3B70F9C4A5DD_.wvu.Rows" localSheetId="10" hidden="1">Сят!$19:$24,Сят!$38:$38,Сят!$45:$47,Сят!$57:$57,Сят!$59:$60,Сят!$67:$68,Сят!$78:$78,Сят!$83:$87,Сят!$90:$97,Сят!$143:$143</definedName>
    <definedName name="Z_1718F1EE_9F48_4DBE_9531_3B70F9C4A5DD_.wvu.Rows" localSheetId="11" hidden="1">Тор!$19:$24,Тор!$32:$34,Тор!$39:$39,Тор!$50:$50,Тор!$57:$57,Тор!$59:$60,Тор!$67:$68,Тор!$75:$75,Тор!$79:$79,Тор!$84:$95,Тор!$142:$142</definedName>
    <definedName name="Z_1718F1EE_9F48_4DBE_9531_3B70F9C4A5DD_.wvu.Rows" localSheetId="12" hidden="1">Хор!$19:$24,Хор!$28:$33,Хор!$42:$42,Хор!$46:$46,Хор!$48:$50,Хор!$57:$57,Хор!$59:$61,Хор!$67:$68,Хор!$78:$78,Хор!$83:$87,Хор!$90:$97,Хор!$144:$144</definedName>
    <definedName name="Z_1718F1EE_9F48_4DBE_9531_3B70F9C4A5DD_.wvu.Rows" localSheetId="13" hidden="1">Чум!$19:$24,Чум!$31:$39,Чум!$46:$49,Чум!$57:$57,Чум!$59:$61,Чум!$67:$68,Чум!$78:$78,Чум!$83:$87,Чум!$90:$97,Чум!$142:$142</definedName>
    <definedName name="Z_1718F1EE_9F48_4DBE_9531_3B70F9C4A5DD_.wvu.Rows" localSheetId="14" hidden="1">Шать!$19:$19,Шать!$22:$25,Шать!$35:$36,Шать!$46:$49,Шать!$57:$57,Шать!$59:$61,Шать!$67:$68,Шать!$78:$78,Шать!$83:$87,Шать!$90:$97,Шать!$142:$142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Юнг!$19:$24,Юнг!$31:$35,Юнг!$38:$38,Юнг!$45:$47,Юнг!$49:$49,Юнг!$56:$56,Юнг!$58:$60,Юнг!$66:$67,Юнг!$77:$77,Юнг!$82:$86,Юнг!$89:$96,Юнг!$142:$142</definedName>
    <definedName name="Z_1718F1EE_9F48_4DBE_9531_3B70F9C4A5DD_.wvu.Rows" localSheetId="16" hidden="1">Юсь!$19:$24,Юсь!$38:$38,Юсь!$46:$52,Юсь!$60:$60,Юсь!$62:$64,Юсь!$70:$71,Юсь!$81:$81,Юсь!$86:$90,Юсь!$93:$100,Юсь!$144:$144</definedName>
    <definedName name="Z_1718F1EE_9F48_4DBE_9531_3B70F9C4A5DD_.wvu.Rows" localSheetId="17" hidden="1">Яра!$19:$24,Яра!$46:$50,Яра!$58:$58,Яра!$60:$62,Яра!$68:$69,Яра!$79:$79,Яра!$84:$88,Яра!$91:$98,Яра!$143:$143</definedName>
    <definedName name="Z_1718F1EE_9F48_4DBE_9531_3B70F9C4A5DD_.wvu.Rows" localSheetId="18" hidden="1">Яро!$19:$24,Яро!$28:$31,Яро!$43:$44,Яро!$46:$47,Яро!$54:$54,Яро!$56:$57,Яро!$64:$65,Яро!$75:$75,Яро!$80:$84,Яро!$87:$94</definedName>
    <definedName name="Z_1A52382B_3765_4E8C_903F_6B8919B7242E_.wvu.Cols" localSheetId="1" hidden="1">Справка!$AV:$AX,Справка!$BB:$BD,Справка!$BH:$BM,Справка!$BT:$BY,Справка!$CX:$DF</definedName>
    <definedName name="Z_1A52382B_3765_4E8C_903F_6B8919B7242E_.wvu.PrintArea" localSheetId="5" hidden="1">Иль!$A$1:$F$104</definedName>
    <definedName name="Z_1A52382B_3765_4E8C_903F_6B8919B7242E_.wvu.PrintArea" localSheetId="0" hidden="1">Консол!$A$1:$K$28</definedName>
    <definedName name="Z_1A52382B_3765_4E8C_903F_6B8919B7242E_.wvu.PrintArea" localSheetId="7" hidden="1">Мор!$A$1:$F$102</definedName>
    <definedName name="Z_1A52382B_3765_4E8C_903F_6B8919B7242E_.wvu.PrintArea" localSheetId="1" hidden="1">Справка!$A$1:$EY$31</definedName>
    <definedName name="Z_1A52382B_3765_4E8C_903F_6B8919B7242E_.wvu.PrintArea" localSheetId="11" hidden="1">Тор!$A$1:$F$101</definedName>
    <definedName name="Z_1A52382B_3765_4E8C_903F_6B8919B7242E_.wvu.PrintArea" localSheetId="12" hidden="1">Хор!$A$1:$F$101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Але!$19:$24,Але!$43:$43,Але!$45:$45,Але!$52:$52,Але!$54:$55,Але!$62:$63,Але!$73:$74,Але!$78:$82,Але!$86:$88</definedName>
    <definedName name="Z_1A52382B_3765_4E8C_903F_6B8919B7242E_.wvu.Rows" localSheetId="5" hidden="1">Иль!$19:$24,Иль!$30:$31,Иль!$33:$33,Иль!$46:$46,Иль!$51:$51,Иль!$60:$61,Иль!$68:$69,Иль!$78:$79,Иль!$81:$81,Иль!$93:$97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Консол!$22:$22,Консол!#REF!,Консол!$55:$57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Мор!$17:$17,Мор!$21:$21,Мор!$23:$23,Мор!$38:$38,Мор!$45:$45,Мор!$47:$48,Мор!$50:$51,Мор!$58:$58,Мор!$60:$61,Мор!$68:$69,Мор!$84:$89,Мор!$92:$98</definedName>
    <definedName name="Z_1A52382B_3765_4E8C_903F_6B8919B7242E_.wvu.Rows" localSheetId="8" hidden="1">Мос!$19:$24,Мос!$45:$45,Мос!$59:$59,Мос!$61:$62,Мос!$69:$70,Мос!$83:$83,Мос!$87:$91,Мос!$96:$101</definedName>
    <definedName name="Z_1A52382B_3765_4E8C_903F_6B8919B7242E_.wvu.Rows" localSheetId="9" hidden="1">Ори!$19:$24,Ори!$32:$32,Ори!$44:$44,Ори!$48:$50,Ори!$57:$57,Ори!$59:$60,Ори!$67:$68,Ори!$78:$79,Ори!$81:$81,Ори!$84:$88,Ори!$91:$98</definedName>
    <definedName name="Z_1A52382B_3765_4E8C_903F_6B8919B7242E_.wvu.Rows" localSheetId="2" hidden="1">район!$18:$19,район!$21:$21,район!$29:$31,район!$52:$53,район!#REF!,район!$67:$67,район!$74:$74,район!$91:$91,район!$98:$98,район!$126:$128</definedName>
    <definedName name="Z_1A52382B_3765_4E8C_903F_6B8919B7242E_.wvu.Rows" localSheetId="1" hidden="1">Справка!#REF!</definedName>
    <definedName name="Z_1A52382B_3765_4E8C_903F_6B8919B7242E_.wvu.Rows" localSheetId="4" hidden="1">Сун!$19:$24,Сун!$49:$51,Сун!$58:$58,Сун!$60:$61,Сун!$68:$69,Сун!$79:$80,Сун!$82:$82,Сун!$88:$89,Сун!$93:$97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Тор!$19:$24,Тор!$32:$39,Тор!$46:$47,Тор!$49:$50,Тор!$57:$57,Тор!$59:$60,Тор!$67:$68,Тор!$75:$75,Тор!$79:$80,Тор!$84:$95</definedName>
    <definedName name="Z_1A52382B_3765_4E8C_903F_6B8919B7242E_.wvu.Rows" localSheetId="12" hidden="1">Хор!$19:$24,Хор!$28:$38,Хор!$42:$42,Хор!$48:$50,Хор!$57:$57,Хор!$59:$61,Хор!$67:$68,Хор!$74:$74,Хор!$78:$79,Хор!$83:$87,Хор!$90:$97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Юсь!$20:$24,Юсь!$38:$38,Юсь!$42:$42,Юсь!$46:$51,Юсь!$60:$60,Юсь!$62:$63,Юсь!$70:$71,Юсь!$81:$82,Юсь!$86:$90,Юсь!$93:$100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Яро!$19:$24,Яро!$43:$43,Яро!$54:$54,Яро!$56:$58,Яро!$64:$65,Яро!$75:$76,Яро!$80:$84,Яро!$87:$94</definedName>
    <definedName name="Z_3DCB9AAA_F09C_4EA6_B992_F93E466D374A_.wvu.Cols" localSheetId="1" hidden="1">Справка!$AV:$AX,Справка!$BB:$BD,Справка!$BH:$BM,Справка!$BT:$BY,Справка!$CX:$DF</definedName>
    <definedName name="Z_3DCB9AAA_F09C_4EA6_B992_F93E466D374A_.wvu.PrintArea" localSheetId="5" hidden="1">Иль!$A$1:$F$104</definedName>
    <definedName name="Z_3DCB9AAA_F09C_4EA6_B992_F93E466D374A_.wvu.PrintArea" localSheetId="0" hidden="1">Консол!$A$1:$K$28</definedName>
    <definedName name="Z_3DCB9AAA_F09C_4EA6_B992_F93E466D374A_.wvu.PrintArea" localSheetId="7" hidden="1">Мор!$A$1:$F$102</definedName>
    <definedName name="Z_3DCB9AAA_F09C_4EA6_B992_F93E466D374A_.wvu.PrintArea" localSheetId="1" hidden="1">Справка!$A$1:$EY$31</definedName>
    <definedName name="Z_3DCB9AAA_F09C_4EA6_B992_F93E466D374A_.wvu.PrintArea" localSheetId="11" hidden="1">Тор!$A$1:$F$101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Але!$19:$24,Але!$43:$43,Але!$45:$45,Але!$52:$52,Але!$54:$55,Але!$62:$63,Але!$73:$74,Але!$78:$92</definedName>
    <definedName name="Z_3DCB9AAA_F09C_4EA6_B992_F93E466D374A_.wvu.Rows" localSheetId="5" hidden="1">Иль!$19:$24,Иль!$30:$31,Иль!$33:$33,Иль!$46:$46,Иль!$51:$51,Иль!$60:$61,Иль!$68:$69,Иль!$78:$79,Иль!$81:$81,Иль!$83:$90,Иль!$93:$97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Консол!$22:$22,Консол!#REF!,Консол!$55:$57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Мор!$21:$21,Мор!$23:$23,Мор!$38:$38,Мор!$45:$45,Мор!$48:$48,Мор!$50:$51,Мор!$58:$58,Мор!$60:$61,Мор!$68:$69,Мор!$84:$89,Мор!$92:$98</definedName>
    <definedName name="Z_3DCB9AAA_F09C_4EA6_B992_F93E466D374A_.wvu.Rows" localSheetId="8" hidden="1">Мос!$19:$24,Мос!$45:$45,Мос!$59:$59,Мос!$61:$62,Мос!$69:$70,Мос!$83:$83,Мос!$85:$91,Мос!$96:$101</definedName>
    <definedName name="Z_3DCB9AAA_F09C_4EA6_B992_F93E466D374A_.wvu.Rows" localSheetId="9" hidden="1">Ори!$19:$24,Ори!$32:$32,Ори!$44:$44,Ори!$48:$50,Ори!$57:$57,Ори!$59:$60,Ори!$67:$68,Ори!$78:$79,Ори!$81:$81,Ори!$83:$87,Ори!$91:$98</definedName>
    <definedName name="Z_3DCB9AAA_F09C_4EA6_B992_F93E466D374A_.wvu.Rows" localSheetId="2" hidden="1">район!$18:$19,район!$21:$21,район!$29:$31,район!$52:$53,район!$67:$67,район!$74:$74,район!$91:$91,район!$98:$98,район!$126:$128</definedName>
    <definedName name="Z_3DCB9AAA_F09C_4EA6_B992_F93E466D374A_.wvu.Rows" localSheetId="1" hidden="1">Справка!#REF!</definedName>
    <definedName name="Z_3DCB9AAA_F09C_4EA6_B992_F93E466D374A_.wvu.Rows" localSheetId="4" hidden="1">Сун!$19:$24,Сун!$49:$51,Сун!$58:$58,Сун!$60:$61,Сун!$68:$69,Сун!$79:$80,Сун!$82:$85,Сун!$88:$89,Сун!$93:$97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Тор!$19:$19,Тор!$50:$50,Тор!$57:$57,Тор!$59:$60,Тор!$67:$68,Тор!$75:$75,Тор!$79:$80,Тор!$83:$93</definedName>
    <definedName name="Z_3DCB9AAA_F09C_4EA6_B992_F93E466D374A_.wvu.Rows" localSheetId="12" hidden="1">Хор!$19:$24,Хор!$32:$32,Хор!$42:$42,Хор!$46:$46,Хор!$57:$57,Хор!$59:$60,Хор!$67:$68,Хор!$83:$87,Хор!$90:$97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6" hidden="1">Юсь!$20:$24,Юсь!$42:$42,Юсь!$46:$51,Юсь!$60:$60,Юсь!$62:$63,Юсь!$70:$71,Юсь!$81:$82,Юсь!$85:$90,Юсь!$93:$100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Яро!$19:$24,Яро!$29:$30,Яро!$32:$32,Яро!$43:$43,Яро!$54:$54,Яро!$56:$57,Яро!$64:$65,Яро!$75:$76,Яро!$80:$85,Яро!$87:$94</definedName>
    <definedName name="Z_42584DC0_1D41_4C93_9B38_C388E7B8DAC4_.wvu.Cols" localSheetId="1" hidden="1">Справка!$AV:$AX,Справка!$BB:$BD,Справка!$BH:$BP,Справка!$BT:$BY,Справка!$CX:$DF</definedName>
    <definedName name="Z_42584DC0_1D41_4C93_9B38_C388E7B8DAC4_.wvu.PrintArea" localSheetId="5" hidden="1">Иль!$A$1:$F$104</definedName>
    <definedName name="Z_42584DC0_1D41_4C93_9B38_C388E7B8DAC4_.wvu.PrintArea" localSheetId="0" hidden="1">Консол!$A$1:$K$28</definedName>
    <definedName name="Z_42584DC0_1D41_4C93_9B38_C388E7B8DAC4_.wvu.PrintArea" localSheetId="7" hidden="1">Мор!$A$1:$F$102</definedName>
    <definedName name="Z_42584DC0_1D41_4C93_9B38_C388E7B8DAC4_.wvu.PrintArea" localSheetId="1" hidden="1">Справка!$A$1:$EY$31</definedName>
    <definedName name="Z_42584DC0_1D41_4C93_9B38_C388E7B8DAC4_.wvu.PrintArea" localSheetId="11" hidden="1">Тор!$A$1:$F$101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Але!$19:$24,Але!$31:$33,Але!#REF!,Але!$43:$43,Але!$45:$45,Але!$52:$52,Але!$54:$56,Але!$62:$63,Але!$73:$74,Але!$78:$82,Але!$85:$92</definedName>
    <definedName name="Z_42584DC0_1D41_4C93_9B38_C388E7B8DAC4_.wvu.Rows" localSheetId="5" hidden="1">Иль!$19:$24,Иль!$30:$40,Иль!$46:$46,Иль!$48:$51,Иль!$58:$58,Иль!$60:$62,Иль!$68:$69,Иль!$78:$79,Иль!$81:$81,Иль!$86:$90,Иль!$93:$100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Консол!$22:$22,Консол!#REF!</definedName>
    <definedName name="Z_42584DC0_1D41_4C93_9B38_C388E7B8DAC4_.wvu.Rows" localSheetId="7" hidden="1">Мор!$17:$24,Мор!$38:$38,Мор!$45:$45,Мор!$47:$48,Мор!$50:$51,Мор!$58:$58,Мор!$60:$61,Мор!$65:$66,Мор!$68:$69,Мор!$79:$80,Мор!$84:$89,Мор!$92:$98</definedName>
    <definedName name="Z_42584DC0_1D41_4C93_9B38_C388E7B8DAC4_.wvu.Rows" localSheetId="8" hidden="1">Мос!$19:$24,Мос!$29:$36,Мос!$45:$45,Мос!$47:$51,Мос!$59:$59,Мос!$61:$62,Мос!$69:$70,Мос!$80:$81,Мос!$83:$83,Мос!$86:$93,Мос!$96:$103</definedName>
    <definedName name="Z_42584DC0_1D41_4C93_9B38_C388E7B8DAC4_.wvu.Rows" localSheetId="9" hidden="1">Ори!$19:$24,Ори!$31:$35,Ори!$38:$38,Ори!$44:$44,Ори!$46:$46,Ори!$48:$50,Ори!$57:$57,Ори!$59:$61,Ори!$67:$68,Ори!$78:$79,Ори!$81:$81,Ори!$84:$88,Ори!$91:$98</definedName>
    <definedName name="Z_42584DC0_1D41_4C93_9B38_C388E7B8DAC4_.wvu.Rows" localSheetId="2" hidden="1">район!$18:$19,район!$21:$21,район!$26:$26,район!$28:$32,район!$36:$36,район!$39:$39,район!$47:$47,район!$52:$53,район!#REF!,район!#REF!,район!$61:$63,район!$67:$67,район!$74:$74,район!$85:$85,район!$91:$91,район!$94:$94,район!$98:$98,район!$106:$106,район!$126:$128,район!$131:$132</definedName>
    <definedName name="Z_42584DC0_1D41_4C93_9B38_C388E7B8DAC4_.wvu.Rows" localSheetId="1" hidden="1">Справка!#REF!</definedName>
    <definedName name="Z_42584DC0_1D41_4C93_9B38_C388E7B8DAC4_.wvu.Rows" localSheetId="4" hidden="1">Сун!$19:$24,Сун!$34:$39,Сун!$49:$51,Сун!$58:$58,Сун!$60:$63,Сун!$68:$69,Сун!$79:$80,Сун!$82:$82,Сун!$85:$85,Сун!$87:$89,Сун!$93:$100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Тор!$19:$24,Тор!$32:$36,Тор!$46:$47,Тор!$50:$50,Тор!$57:$57,Тор!$59:$60,Тор!$67:$68,Тор!$75:$75,Тор!$79:$80,Тор!$84:$95</definedName>
    <definedName name="Z_42584DC0_1D41_4C93_9B38_C388E7B8DAC4_.wvu.Rows" localSheetId="12" hidden="1">Хор!$19:$24,Хор!$28:$38,Хор!$42:$42,Хор!$46:$46,Хор!$48:$50,Хор!$57:$57,Хор!$59:$61,Хор!$67:$68,Хор!$74:$74,Хор!$78:$79,Хор!$83:$87,Хор!$90:$97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Юсь!$19:$24,Юсь!$31:$33,Юсь!$38:$38,Юсь!$42:$42,Юсь!$46:$51,Юсь!$60:$60,Юсь!$62:$64,Юсь!$70:$71,Юсь!$81:$82,Юсь!$86:$90,Юсь!$93:$100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Яро!$19:$24,Яро!$28:$36,Яро!$43:$44,Яро!$46:$47,Яро!$54:$54,Яро!$56:$58,Яро!$64:$65,Яро!$75:$76,Яро!$80:$84,Яро!$87:$94</definedName>
    <definedName name="Z_5BFCA170_DEAE_4D2C_98A0_1E68B427AC01_.wvu.Cols" localSheetId="1" hidden="1">Справка!$AV:$AX,Справка!$BB:$BD,Справка!$BH:$BM,Справка!$BT:$BY,Справка!$CX:$DF</definedName>
    <definedName name="Z_5BFCA170_DEAE_4D2C_98A0_1E68B427AC01_.wvu.PrintArea" localSheetId="5" hidden="1">Иль!$A$1:$F$104</definedName>
    <definedName name="Z_5BFCA170_DEAE_4D2C_98A0_1E68B427AC01_.wvu.PrintArea" localSheetId="0" hidden="1">Консол!$A$1:$K$28</definedName>
    <definedName name="Z_5BFCA170_DEAE_4D2C_98A0_1E68B427AC01_.wvu.PrintArea" localSheetId="7" hidden="1">Мор!$A$1:$F$102</definedName>
    <definedName name="Z_5BFCA170_DEAE_4D2C_98A0_1E68B427AC01_.wvu.PrintArea" localSheetId="1" hidden="1">Справка!$A$1:$EY$31</definedName>
    <definedName name="Z_5BFCA170_DEAE_4D2C_98A0_1E68B427AC01_.wvu.PrintArea" localSheetId="11" hidden="1">Тор!$A$1:$F$101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Але!$19:$24,Але!$43:$43,Але!$45:$45,Але!$52:$52,Але!$54:$55,Але!$62:$63,Але!$73:$74,Але!$78:$82,Але!$86:$88</definedName>
    <definedName name="Z_5BFCA170_DEAE_4D2C_98A0_1E68B427AC01_.wvu.Rows" localSheetId="5" hidden="1">Иль!$19:$24,Иль!$30:$31,Иль!$33:$33,Иль!$46:$46,Иль!$51:$51,Иль!$60:$61,Иль!$68:$69,Иль!$78:$79,Иль!$81:$81,Иль!$93:$97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Консол!$22:$22,Консол!#REF!,Консол!$55:$57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Мор!$21:$21,Мор!$23:$23,Мор!$38:$38,Мор!$45:$45,Мор!$48:$48,Мор!$50:$51,Мор!$58:$58,Мор!$60:$61,Мор!$68:$69,Мор!$84:$89,Мор!$92:$98</definedName>
    <definedName name="Z_5BFCA170_DEAE_4D2C_98A0_1E68B427AC01_.wvu.Rows" localSheetId="8" hidden="1">Мос!$19:$24,Мос!$45:$45,Мос!$59:$59,Мос!$61:$62,Мос!$69:$70,Мос!$83:$83,Мос!$85:$91,Мос!$96:$101</definedName>
    <definedName name="Z_5BFCA170_DEAE_4D2C_98A0_1E68B427AC01_.wvu.Rows" localSheetId="9" hidden="1">Ори!$19:$24,Ори!$32:$32,Ори!$44:$44,Ори!$48:$50,Ори!$57:$57,Ори!$59:$60,Ори!$67:$68,Ори!$78:$79,Ори!$81:$81,Ори!$83:$87,Ори!$91:$98</definedName>
    <definedName name="Z_5BFCA170_DEAE_4D2C_98A0_1E68B427AC01_.wvu.Rows" localSheetId="2" hidden="1">район!$18:$19,район!$21:$21,район!$29:$31,район!$52:$53,район!$67:$67,район!$74:$74,район!$91:$91,район!$98:$98,район!$126:$128</definedName>
    <definedName name="Z_5BFCA170_DEAE_4D2C_98A0_1E68B427AC01_.wvu.Rows" localSheetId="4" hidden="1">Сун!$19:$24,Сун!$49:$51,Сун!$58:$58,Сун!$60:$61,Сун!$68:$69,Сун!$79:$80,Сун!$82:$82,Сун!$88:$89,Сун!$93:$97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Тор!$19:$19,Тор!$50:$50,Тор!$57:$57,Тор!$59:$60,Тор!$67:$68,Тор!$75:$75,Тор!$79:$80,Тор!$83:$93</definedName>
    <definedName name="Z_5BFCA170_DEAE_4D2C_98A0_1E68B427AC01_.wvu.Rows" localSheetId="12" hidden="1">Хор!$19:$24,Хор!$32:$32,Хор!$42:$42,Хор!$46:$46,Хор!$57:$57,Хор!$59:$60,Хор!$67:$68,Хор!$83:$87,Хор!$90:$97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6" hidden="1">Юсь!$20:$24,Юсь!$42:$42,Юсь!$46:$51,Юсь!$60:$60,Юсь!$62:$63,Юсь!$70:$71,Юсь!$81:$82,Юсь!$85:$90,Юсь!$93:$100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Яро!$19:$24,Яро!$43:$43,Яро!$54:$54,Яро!$56:$57,Яро!$64:$65,Яро!$75:$76,Яро!$80:$85,Яро!$87:$94</definedName>
    <definedName name="Z_61528DAC_5C4C_48F4_ADE2_8A724B05A086_.wvu.Cols" localSheetId="1" hidden="1">Справка!$AV:$AX,Справка!$BB:$BD,Справка!$BH:$BJ,Справка!$BL:$BM,Справка!$BT:$BY,Справка!$CX:$DF</definedName>
    <definedName name="Z_61528DAC_5C4C_48F4_ADE2_8A724B05A086_.wvu.PrintArea" localSheetId="3" hidden="1">Але!$A$1:$F$96</definedName>
    <definedName name="Z_61528DAC_5C4C_48F4_ADE2_8A724B05A086_.wvu.PrintArea" localSheetId="5" hidden="1">Иль!$A$1:$F$104</definedName>
    <definedName name="Z_61528DAC_5C4C_48F4_ADE2_8A724B05A086_.wvu.PrintArea" localSheetId="0" hidden="1">Консол!$A$1:$K$28</definedName>
    <definedName name="Z_61528DAC_5C4C_48F4_ADE2_8A724B05A086_.wvu.PrintArea" localSheetId="7" hidden="1">Мор!$A$1:$F$102</definedName>
    <definedName name="Z_61528DAC_5C4C_48F4_ADE2_8A724B05A086_.wvu.PrintArea" localSheetId="2" hidden="1">район!$A$1:$F$140</definedName>
    <definedName name="Z_61528DAC_5C4C_48F4_ADE2_8A724B05A086_.wvu.PrintArea" localSheetId="1" hidden="1">Справка!$A$1:$EY$31</definedName>
    <definedName name="Z_61528DAC_5C4C_48F4_ADE2_8A724B05A086_.wvu.PrintArea" localSheetId="4" hidden="1">Сун!$A$1:$F$104</definedName>
    <definedName name="Z_61528DAC_5C4C_48F4_ADE2_8A724B05A086_.wvu.PrintArea" localSheetId="11" hidden="1">Тор!$A$1:$F$101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Але!$19:$24,Але!$28:$28,Але!#REF!,Але!$45:$45,Але!$54:$55,Але!$62:$63,Але!$73:$73,Але!$78:$81,Але!$85:$92,Але!$141:$141</definedName>
    <definedName name="Z_61528DAC_5C4C_48F4_ADE2_8A724B05A086_.wvu.Rows" localSheetId="5" hidden="1">Иль!$19:$23,Иль!$58:$58,Иль!$60:$61,Иль!$68:$69,Иль!$78:$79,Иль!$86:$90,Иль!$93:$100,Иль!$143:$143</definedName>
    <definedName name="Z_61528DAC_5C4C_48F4_ADE2_8A724B05A086_.wvu.Rows" localSheetId="6" hidden="1">Кад!$19:$24,Кад!$31:$33,Кад!$38:$38,Кад!$44:$44,Кад!$48:$48,Кад!$56:$56,Кад!$58:$59,Кад!$66:$67,Кад!$73:$73,Кад!$77:$77,Кад!$82:$86,Кад!$89:$96,Кад!$142:$142</definedName>
    <definedName name="Z_61528DAC_5C4C_48F4_ADE2_8A724B05A086_.wvu.Rows" localSheetId="0" hidden="1">Консол!$22:$22,Консол!#REF!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Мор!$17:$24,Мор!$27:$27,Мор!$45:$45,Мор!$48:$48,Мор!$50:$50,Мор!$58:$58,Мор!$60:$61,Мор!$65:$66,Мор!$68:$69,Мор!$79:$79,Мор!$84:$89,Мор!$92:$98,Мор!$143:$143</definedName>
    <definedName name="Z_61528DAC_5C4C_48F4_ADE2_8A724B05A086_.wvu.Rows" localSheetId="8" hidden="1">Мос!$19:$23,Мос!$29:$32,Мос!$45:$45,Мос!$51:$51,Мос!$59:$59,Мос!$61:$62,Мос!$69:$70,Мос!$76:$76,Мос!$80:$80,Мос!$83:$83,Мос!$86:$93,Мос!$96:$103,Мос!$144:$144</definedName>
    <definedName name="Z_61528DAC_5C4C_48F4_ADE2_8A724B05A086_.wvu.Rows" localSheetId="9" hidden="1">Ори!$19:$24,Ори!$31:$35,Ори!$44:$44,Ори!$48:$50,Ори!$57:$57,Ори!$59:$60,Ори!$67:$68,Ори!$78:$78,Ори!$81:$81,Ори!$84:$88,Ори!$91:$98,Ори!$142:$142</definedName>
    <definedName name="Z_61528DAC_5C4C_48F4_ADE2_8A724B05A086_.wvu.Rows" localSheetId="2" hidden="1">район!$132:$132</definedName>
    <definedName name="Z_61528DAC_5C4C_48F4_ADE2_8A724B05A086_.wvu.Rows" localSheetId="4" hidden="1">Сун!$19:$24,Сун!$33:$34,Сун!$45:$45,Сун!$49:$51,Сун!$58:$58,Сун!$60:$61,Сун!$68:$69,Сун!$79:$79,Сун!$82:$82,Сун!$87:$87,Сун!$93:$99,Сун!$142:$142</definedName>
    <definedName name="Z_61528DAC_5C4C_48F4_ADE2_8A724B05A086_.wvu.Rows" localSheetId="10" hidden="1">Сят!$19:$24,Сят!$38:$38,Сят!$45:$47,Сят!$57:$57,Сят!$59:$60,Сят!$67:$68,Сят!$78:$78,Сят!$83:$87,Сят!$90:$97,Сят!$143:$143</definedName>
    <definedName name="Z_61528DAC_5C4C_48F4_ADE2_8A724B05A086_.wvu.Rows" localSheetId="11" hidden="1">Тор!$19:$24,Тор!$32:$34,Тор!$39:$39,Тор!$57:$57,Тор!$59:$60,Тор!$67:$68,Тор!$75:$75,Тор!$79:$79,Тор!$85:$95,Тор!$142:$142</definedName>
    <definedName name="Z_61528DAC_5C4C_48F4_ADE2_8A724B05A086_.wvu.Rows" localSheetId="12" hidden="1">Хор!$19:$23,Хор!$42:$42,Хор!$48:$50,Хор!$57:$57,Хор!$59:$60,Хор!$67:$68,Хор!$78:$78,Хор!$83:$87,Хор!$90:$97,Хор!$144:$144</definedName>
    <definedName name="Z_61528DAC_5C4C_48F4_ADE2_8A724B05A086_.wvu.Rows" localSheetId="13" hidden="1">Чум!$19:$24,Чум!$31:$36,Чум!$57:$57,Чум!$59:$60,Чум!$67:$68,Чум!$78:$78,Чум!$83:$87,Чум!$90:$97,Чум!$142:$142</definedName>
    <definedName name="Z_61528DAC_5C4C_48F4_ADE2_8A724B05A086_.wvu.Rows" localSheetId="14" hidden="1">Шать!$19:$25,Шать!$31:$33,Шать!$35:$36,Шать!$57:$57,Шать!$59:$60,Шать!$67:$68,Шать!$78:$78,Шать!$84:$86,Шать!$90:$97,Шать!$142:$142</definedName>
    <definedName name="Z_61528DAC_5C4C_48F4_ADE2_8A724B05A086_.wvu.Rows" localSheetId="15" hidden="1">Юнг!$19:$24,Юнг!$38:$38,Юнг!$46:$46,Юнг!$56:$56,Юнг!$58:$59,Юнг!$66:$67,Юнг!$77:$77,Юнг!$82:$86,Юнг!$89:$96,Юнг!$142:$142</definedName>
    <definedName name="Z_61528DAC_5C4C_48F4_ADE2_8A724B05A086_.wvu.Rows" localSheetId="16" hidden="1">Юсь!$19:$24,Юсь!$38:$38,Юсь!$60:$60,Юсь!$62:$63,Юсь!$70:$71,Юсь!$81:$81,Юсь!$86:$90,Юсь!$93:$100,Юсь!$144:$144</definedName>
    <definedName name="Z_61528DAC_5C4C_48F4_ADE2_8A724B05A086_.wvu.Rows" localSheetId="17" hidden="1">Яра!$19:$24,Яра!$28:$29,Яра!$33:$33,Яра!$46:$46,Яра!$48:$48,Яра!$58:$58,Яра!$60:$61,Яра!$68:$69,Яра!$79:$79,Яра!$84:$88,Яра!$91:$98,Яра!$143:$143</definedName>
    <definedName name="Z_61528DAC_5C4C_48F4_ADE2_8A724B05A086_.wvu.Rows" localSheetId="18" hidden="1">Яро!$19:$24,Яро!$28:$28,Яро!$43:$43,Яро!$46:$47,Яро!$54:$54,Яро!$56:$57,Яро!$64:$65,Яро!$75:$75,Яро!$82:$84,Яро!$87:$90,Яро!$92:$94</definedName>
    <definedName name="Z_A54C432C_6C68_4B53_A75C_446EB3A61B2B_.wvu.Cols" localSheetId="1" hidden="1">Справка!$AV:$AX,Справка!$BB:$BD,Справка!$BH:$BP,Справка!$BT:$BY,Справка!$CX:$DF</definedName>
    <definedName name="Z_A54C432C_6C68_4B53_A75C_446EB3A61B2B_.wvu.PrintArea" localSheetId="5" hidden="1">Иль!$A$1:$F$104</definedName>
    <definedName name="Z_A54C432C_6C68_4B53_A75C_446EB3A61B2B_.wvu.PrintArea" localSheetId="0" hidden="1">Консол!$A$1:$K$28</definedName>
    <definedName name="Z_A54C432C_6C68_4B53_A75C_446EB3A61B2B_.wvu.PrintArea" localSheetId="7" hidden="1">Мор!$A$1:$F$102</definedName>
    <definedName name="Z_A54C432C_6C68_4B53_A75C_446EB3A61B2B_.wvu.PrintArea" localSheetId="1" hidden="1">Справка!$A$1:$EY$31</definedName>
    <definedName name="Z_A54C432C_6C68_4B53_A75C_446EB3A61B2B_.wvu.PrintArea" localSheetId="11" hidden="1">Тор!$A$1:$F$101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Але!$19:$24,Але!$28:$33,Але!#REF!,Але!$45:$45,Але!$52:$52,Але!$54:$56,Але!$62:$63,Але!$73:$74,Але!$78:$82,Але!$85:$92,Але!$141:$141</definedName>
    <definedName name="Z_A54C432C_6C68_4B53_A75C_446EB3A61B2B_.wvu.Rows" localSheetId="5" hidden="1">Иль!$19:$24,Иль!$30:$40,Иль!$46:$46,Иль!$48:$51,Иль!$58:$58,Иль!$60:$62,Иль!$68:$69,Иль!$78:$79,Иль!$81:$81,Иль!$86:$90,Иль!$93:$100,Иль!$143:$143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Консол!$22:$22,Консол!#REF!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Мор!$17:$24,Мор!$27:$27,Мор!$31:$35,Мор!$38:$38,Мор!$45:$45,Мор!$47:$48,Мор!$50:$51,Мор!$58:$58,Мор!$60:$61,Мор!$65:$66,Мор!$68:$69,Мор!$79:$80,Мор!$84:$89,Мор!$92:$98,Мор!$143:$143</definedName>
    <definedName name="Z_A54C432C_6C68_4B53_A75C_446EB3A61B2B_.wvu.Rows" localSheetId="8" hidden="1">Мос!$19:$24,Мос!$29:$36,Мос!$45:$45,Мос!$47:$51,Мос!$59:$59,Мос!$61:$62,Мос!$69:$70,Мос!$80:$81,Мос!$83:$83,Мос!$86:$93,Мос!$96:$103,Мос!$144:$144</definedName>
    <definedName name="Z_A54C432C_6C68_4B53_A75C_446EB3A61B2B_.wvu.Rows" localSheetId="9" hidden="1">Ори!$19:$24,Ори!$31:$35,Ори!$44:$44,Ори!$46:$46,Ори!$48:$50,Ори!$57:$57,Ори!$59:$60,Ори!$67:$68,Ори!$78:$79,Ори!$81:$81,Ори!$84:$88,Ори!$91:$98,Ори!$142:$142</definedName>
    <definedName name="Z_A54C432C_6C68_4B53_A75C_446EB3A61B2B_.wvu.Rows" localSheetId="2" hidden="1">район!$18:$19,район!$21:$21,район!$26:$26,район!$28:$32,район!$36:$36,район!$39:$39,район!$52:$53,район!#REF!,район!$67:$67,район!$74:$74,район!$91:$91,район!$98:$98,район!$126:$128,район!$131:$132</definedName>
    <definedName name="Z_A54C432C_6C68_4B53_A75C_446EB3A61B2B_.wvu.Rows" localSheetId="1" hidden="1">Справка!#REF!</definedName>
    <definedName name="Z_A54C432C_6C68_4B53_A75C_446EB3A61B2B_.wvu.Rows" localSheetId="4" hidden="1">Сун!$19:$24,Сун!$34:$39,Сун!$43:$43,Сун!$45:$45,Сун!$47:$47,Сун!$49:$51,Сун!$58:$58,Сун!$60:$62,Сун!$68:$69,Сун!$79:$80,Сун!$82:$82,Сун!$85:$85,Сун!$87:$89,Сун!$93:$100,Сун!$142:$142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Тор!$19:$24,Тор!$32:$36,Тор!$39:$39,Тор!$46:$47,Тор!$50:$50,Тор!$57:$57,Тор!$59:$60,Тор!$67:$68,Тор!$75:$75,Тор!$79:$80,Тор!$84:$95,Тор!$142:$142</definedName>
    <definedName name="Z_A54C432C_6C68_4B53_A75C_446EB3A61B2B_.wvu.Rows" localSheetId="12" hidden="1">Хор!$19:$24,Хор!$28:$33,Хор!$42:$42,Хор!$46:$46,Хор!$48:$50,Хор!$57:$57,Хор!$59:$61,Хор!$67:$68,Хор!$74:$74,Хор!$78:$79,Хор!$83:$87,Хор!$90:$97,Хор!$144:$144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Юсь!$19:$24,Юсь!$31:$33,Юсь!$38:$38,Юсь!$42:$42,Юсь!$46:$52,Юсь!$60:$60,Юсь!$62:$63,Юсь!$70:$71,Юсь!$81:$82,Юсь!$86:$90,Юсь!$93:$100,Юсь!$144:$144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Яро!$19:$24,Яро!$28:$36,Яро!$43:$43,Яро!$46:$46,Яро!$54:$54,Яро!$56:$58,Яро!$64:$65,Яро!$75:$75,Яро!$80:$84,Яро!$87:$94</definedName>
    <definedName name="Z_B30CE22D_C12F_4E12_8BB9_3AAE0A6991CC_.wvu.Cols" localSheetId="1" hidden="1">Справка!$AV:$AX,Справка!$BB:$BD,Справка!$BH:$BM,Справка!$BT:$BY,Справка!$CX:$DF</definedName>
    <definedName name="Z_B30CE22D_C12F_4E12_8BB9_3AAE0A6991CC_.wvu.PrintArea" localSheetId="3" hidden="1">Але!$A$1:$F$96</definedName>
    <definedName name="Z_B30CE22D_C12F_4E12_8BB9_3AAE0A6991CC_.wvu.PrintArea" localSheetId="5" hidden="1">Иль!$A$1:$F$104</definedName>
    <definedName name="Z_B30CE22D_C12F_4E12_8BB9_3AAE0A6991CC_.wvu.PrintArea" localSheetId="0" hidden="1">Консол!$A$1:$K$28</definedName>
    <definedName name="Z_B30CE22D_C12F_4E12_8BB9_3AAE0A6991CC_.wvu.PrintArea" localSheetId="7" hidden="1">Мор!$A$1:$F$102</definedName>
    <definedName name="Z_B30CE22D_C12F_4E12_8BB9_3AAE0A6991CC_.wvu.PrintArea" localSheetId="2" hidden="1">район!$A$1:$F$140</definedName>
    <definedName name="Z_B30CE22D_C12F_4E12_8BB9_3AAE0A6991CC_.wvu.PrintArea" localSheetId="1" hidden="1">Справка!$A$1:$EY$31</definedName>
    <definedName name="Z_B30CE22D_C12F_4E12_8BB9_3AAE0A6991CC_.wvu.PrintArea" localSheetId="4" hidden="1">Сун!$A$1:$F$104</definedName>
    <definedName name="Z_B30CE22D_C12F_4E12_8BB9_3AAE0A6991CC_.wvu.PrintArea" localSheetId="11" hidden="1">Тор!$A$1:$F$101</definedName>
    <definedName name="Z_B30CE22D_C12F_4E12_8BB9_3AAE0A6991CC_.wvu.PrintArea" localSheetId="13" hidden="1">Чум!$A$1:$F$101</definedName>
    <definedName name="Z_B30CE22D_C12F_4E12_8BB9_3AAE0A6991CC_.wvu.PrintArea" localSheetId="15" hidden="1">Юнг!$A$1:$F$100</definedName>
    <definedName name="Z_B30CE22D_C12F_4E12_8BB9_3AAE0A6991CC_.wvu.PrintArea" localSheetId="16" hidden="1">Юсь!$A$1:$F$104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Але!$19:$24,Але!$28:$28,Але!#REF!,Але!$44:$45,Але!$52:$52,Але!$54:$55,Але!$62:$63,Але!$73:$74,Але!$78:$82,Але!$85:$92,Але!$141:$141</definedName>
    <definedName name="Z_B30CE22D_C12F_4E12_8BB9_3AAE0A6991CC_.wvu.Rows" localSheetId="5" hidden="1">Иль!$19:$24,Иль!$34:$34,Иль!$39:$40,Иль!$58:$58,Иль!$60:$61,Иль!$68:$69,Иль!$78:$79,Иль!$81:$81,Иль!$86:$90,Иль!$93:$100,Иль!$143:$143</definedName>
    <definedName name="Z_B30CE22D_C12F_4E12_8BB9_3AAE0A6991CC_.wvu.Rows" localSheetId="6" hidden="1">Кад!$19:$24,Кад!$31:$35,Кад!$38:$38,Кад!$48:$49,Кад!$56:$56,Кад!$58:$59,Кад!$66:$67,Кад!$77:$78,Кад!$82:$86,Кад!$89:$96,Кад!$142:$142</definedName>
    <definedName name="Z_B30CE22D_C12F_4E12_8BB9_3AAE0A6991CC_.wvu.Rows" localSheetId="0" hidden="1">Консол!$22:$22,Консол!#REF!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Мор!$17:$24,Мор!$27:$27,Мор!$31:$33,Мор!$45:$45,Мор!$48:$48,Мор!$50:$51,Мор!$58:$58,Мор!$60:$61,Мор!$65:$66,Мор!$68:$69,Мор!$79:$80,Мор!$84:$89,Мор!$92:$98,Мор!$143:$143</definedName>
    <definedName name="Z_B30CE22D_C12F_4E12_8BB9_3AAE0A6991CC_.wvu.Rows" localSheetId="8" hidden="1">Мос!$19:$24,Мос!$29:$33,Мос!$45:$45,Мос!$59:$59,Мос!$61:$62,Мос!$69:$70,Мос!$80:$81,Мос!$83:$83,Мос!$86:$93,Мос!$96:$103,Мос!$144:$144</definedName>
    <definedName name="Z_B30CE22D_C12F_4E12_8BB9_3AAE0A6991CC_.wvu.Rows" localSheetId="9" hidden="1">Ори!$19:$24,Ори!$31:$35,Ори!$44:$44,Ори!$48:$50,Ори!$57:$57,Ори!$59:$60,Ори!$67:$68,Ори!$78:$79,Ори!$81:$81,Ори!$84:$88,Ори!$91:$98,Ори!$142:$142</definedName>
    <definedName name="Z_B30CE22D_C12F_4E12_8BB9_3AAE0A6991CC_.wvu.Rows" localSheetId="2" hidden="1">район!$28:$32,район!$52:$52,район!$74:$74,район!$98:$98,район!$126:$128,район!$131:$132</definedName>
    <definedName name="Z_B30CE22D_C12F_4E12_8BB9_3AAE0A6991CC_.wvu.Rows" localSheetId="4" hidden="1">Сун!$19:$24,Сун!$34:$34,Сун!$39:$39,Сун!$49:$51,Сун!$54:$54,Сун!$58:$58,Сун!$60:$61,Сун!$68:$69,Сун!$79:$80,Сун!$82:$82,Сун!$85:$85,Сун!$87:$90,Сун!$93:$100,Сун!$142:$142</definedName>
    <definedName name="Z_B30CE22D_C12F_4E12_8BB9_3AAE0A6991CC_.wvu.Rows" localSheetId="10" hidden="1">Сят!$19:$24,Сят!$31:$33,Сят!$38:$38,Сят!$45:$47,Сят!$57:$57,Сят!$59:$60,Сят!$67:$68,Сят!$78:$79,Сят!$83:$87,Сят!$90:$97,Сят!$143:$143</definedName>
    <definedName name="Z_B30CE22D_C12F_4E12_8BB9_3AAE0A6991CC_.wvu.Rows" localSheetId="11" hidden="1">Тор!$19:$24,Тор!$32:$36,Тор!$39:$39,Тор!$48:$48,Тор!$50:$50,Тор!$57:$57,Тор!$59:$60,Тор!$67:$68,Тор!$75:$75,Тор!$79:$80,Тор!$85:$87,Тор!$89:$95,Тор!$142:$142</definedName>
    <definedName name="Z_B30CE22D_C12F_4E12_8BB9_3AAE0A6991CC_.wvu.Rows" localSheetId="12" hidden="1">Хор!$19:$24,Хор!$28:$38,Хор!$42:$42,Хор!$48:$50,Хор!$57:$57,Хор!$59:$61,Хор!$67:$68,Хор!$78:$79,Хор!$83:$87,Хор!$90:$97,Хор!$144:$144</definedName>
    <definedName name="Z_B30CE22D_C12F_4E12_8BB9_3AAE0A6991CC_.wvu.Rows" localSheetId="13" hidden="1">Чум!$19:$24,Чум!$31:$36,Чум!$46:$49,Чум!$57:$57,Чум!$59:$61,Чум!$67:$68,Чум!$78:$79,Чум!$83:$87,Чум!$90:$97,Чум!$142:$142</definedName>
    <definedName name="Z_B30CE22D_C12F_4E12_8BB9_3AAE0A6991CC_.wvu.Rows" localSheetId="14" hidden="1">Шать!$19:$25,Шать!$31:$33,Шать!$48:$49,Шать!$57:$57,Шать!$59:$60,Шать!$67:$68,Шать!$78:$79,Шать!$84:$86,Шать!$90:$97,Шать!$142:$142</definedName>
    <definedName name="Z_B30CE22D_C12F_4E12_8BB9_3AAE0A6991CC_.wvu.Rows" localSheetId="15" hidden="1">Юнг!$19:$24,Юнг!$38:$38,Юнг!$46:$46,Юнг!$56:$56,Юнг!$58:$60,Юнг!$66:$67,Юнг!$77:$78,Юнг!$82:$86,Юнг!$89:$96,Юнг!$142:$142</definedName>
    <definedName name="Z_B30CE22D_C12F_4E12_8BB9_3AAE0A6991CC_.wvu.Rows" localSheetId="16" hidden="1">Юсь!$19:$24,Юсь!$31:$33,Юсь!$38:$38,Юсь!$46:$51,Юсь!$60:$60,Юсь!$62:$63,Юсь!$70:$71,Юсь!$81:$82,Юсь!$86:$90,Юсь!$93:$100,Юсь!$144:$144</definedName>
    <definedName name="Z_B30CE22D_C12F_4E12_8BB9_3AAE0A6991CC_.wvu.Rows" localSheetId="17" hidden="1">Яра!$19:$24,Яра!$46:$46,Яра!$48:$50,Яра!$58:$58,Яра!$60:$61,Яра!$68:$69,Яра!$79:$80,Яра!$84:$88,Яра!$91:$98,Яра!$143:$143</definedName>
    <definedName name="Z_B30CE22D_C12F_4E12_8BB9_3AAE0A6991CC_.wvu.Rows" localSheetId="18" hidden="1">Яро!$19:$24,Яро!$28:$28,Яро!$36:$36,Яро!$43:$43,Яро!$54:$54,Яро!$56:$57,Яро!$64:$65,Яро!$75:$75,Яро!$80:$84,Яро!$87:$90,Яро!$92:$94</definedName>
    <definedName name="Z_B31C8DB7_3E78_4144_A6B5_8DE36DE63F0E_.wvu.Cols" localSheetId="1" hidden="1">Справка!$AV:$AX,Справка!$BB:$BD,Справка!$BH:$BM,Справка!$BT:$BY,Справка!$CX:$DF</definedName>
    <definedName name="Z_B31C8DB7_3E78_4144_A6B5_8DE36DE63F0E_.wvu.PrintArea" localSheetId="5" hidden="1">Иль!$A$1:$F$104</definedName>
    <definedName name="Z_B31C8DB7_3E78_4144_A6B5_8DE36DE63F0E_.wvu.PrintArea" localSheetId="0" hidden="1">Консол!$A$1:$K$28</definedName>
    <definedName name="Z_B31C8DB7_3E78_4144_A6B5_8DE36DE63F0E_.wvu.PrintArea" localSheetId="7" hidden="1">Мор!$A$1:$F$102</definedName>
    <definedName name="Z_B31C8DB7_3E78_4144_A6B5_8DE36DE63F0E_.wvu.PrintArea" localSheetId="1" hidden="1">Справка!$A$1:$EY$31</definedName>
    <definedName name="Z_B31C8DB7_3E78_4144_A6B5_8DE36DE63F0E_.wvu.PrintArea" localSheetId="11" hidden="1">Тор!$A$1:$F$101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Але!$19:$24,Але!$45:$45,Але!$52:$52,Але!$54:$55,Але!$62:$63,Але!$73:$74,Але!$78:$82,Але!$86:$88</definedName>
    <definedName name="Z_B31C8DB7_3E78_4144_A6B5_8DE36DE63F0E_.wvu.Rows" localSheetId="5" hidden="1">Иль!$19:$24,Иль!$33:$33,Иль!$46:$46,Иль!$51:$51,Иль!$60:$61,Иль!$68:$69,Иль!$78:$79,Иль!$81:$81,Иль!$93:$97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Консол!$22:$22,Консол!#REF!,Консол!$55:$57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Мор!$21:$21,Мор!$23:$23,Мор!$38:$38,Мор!$45:$45,Мор!$48:$48,Мор!$50:$51,Мор!$58:$58,Мор!$60:$61,Мор!$68:$69,Мор!$84:$89,Мор!$92:$98</definedName>
    <definedName name="Z_B31C8DB7_3E78_4144_A6B5_8DE36DE63F0E_.wvu.Rows" localSheetId="8" hidden="1">Мос!$19:$24,Мос!$45:$45,Мос!$59:$59,Мос!$61:$62,Мос!$69:$70,Мос!$83:$83,Мос!$85:$91,Мос!$96:$101</definedName>
    <definedName name="Z_B31C8DB7_3E78_4144_A6B5_8DE36DE63F0E_.wvu.Rows" localSheetId="9" hidden="1">Ори!$19:$24,Ори!$32:$32,Ори!$44:$44,Ори!$48:$50,Ори!$57:$57,Ори!$59:$60,Ори!$67:$68,Ори!$78:$79,Ори!$81:$81,Ори!$83:$87,Ори!$91:$98</definedName>
    <definedName name="Z_B31C8DB7_3E78_4144_A6B5_8DE36DE63F0E_.wvu.Rows" localSheetId="2" hidden="1">район!$18:$19,район!$21:$21,район!$29:$31,район!$52:$53,район!$67:$67,район!$74:$74,район!$91:$91,район!$98:$98,район!$126:$128</definedName>
    <definedName name="Z_B31C8DB7_3E78_4144_A6B5_8DE36DE63F0E_.wvu.Rows" localSheetId="4" hidden="1">Сун!$19:$24,Сун!$49:$51,Сун!$58:$58,Сун!$60:$61,Сун!$68:$69,Сун!$79:$80,Сун!$82:$82,Сун!$88:$89,Сун!$93:$97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Тор!$19:$19,Тор!$50:$50,Тор!$57:$57,Тор!$59:$60,Тор!$67:$68,Тор!$75:$75,Тор!$79:$80,Тор!$84:$95</definedName>
    <definedName name="Z_B31C8DB7_3E78_4144_A6B5_8DE36DE63F0E_.wvu.Rows" localSheetId="12" hidden="1">Хор!$19:$24,Хор!$32:$32,Хор!$42:$42,Хор!$57:$57,Хор!$59:$60,Хор!$67:$68,Хор!$83:$87,Хор!$90:$97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Юнг!$19:$24,Юнг!$32:$32,Юнг!$56:$56,Юнг!$58:$59,Юнг!$66:$67,Юнг!$82:$86,Юнг!$89:$96</definedName>
    <definedName name="Z_B31C8DB7_3E78_4144_A6B5_8DE36DE63F0E_.wvu.Rows" localSheetId="16" hidden="1">Юсь!$20:$24,Юсь!$42:$42,Юсь!$46:$51,Юсь!$70:$71,Юсь!$86:$90,Юсь!$93:$100</definedName>
    <definedName name="Z_B31C8DB7_3E78_4144_A6B5_8DE36DE63F0E_.wvu.Rows" localSheetId="17" hidden="1">Яра!$19:$24,Яра!$46:$46,Яра!$48:$50,Яра!$58:$58,Яра!$60:$61,Яра!$68:$69,Яра!$79:$79,Яра!$84:$88,Яра!$91:$98</definedName>
    <definedName name="Z_B31C8DB7_3E78_4144_A6B5_8DE36DE63F0E_.wvu.Rows" localSheetId="18" hidden="1">Яро!$19:$24,Яро!$54:$54,Яро!$56:$57,Яро!$64:$65,Яро!$75:$76,Яро!$80:$85,Яро!$87:$94</definedName>
    <definedName name="_xlnm.Print_Area" localSheetId="3">Але!$A$1:$F$96</definedName>
    <definedName name="_xlnm.Print_Area" localSheetId="5">Иль!$A$1:$F$104</definedName>
    <definedName name="_xlnm.Print_Area" localSheetId="0">Консол!$A$1:$K$48</definedName>
    <definedName name="_xlnm.Print_Area" localSheetId="7">Мор!$A$1:$F$102</definedName>
    <definedName name="_xlnm.Print_Area" localSheetId="2">район!$A$1:$F$140</definedName>
    <definedName name="_xlnm.Print_Area" localSheetId="1">Справка!$A$1:$EY$31</definedName>
    <definedName name="_xlnm.Print_Area" localSheetId="4">Сун!$A$1:$F$104</definedName>
    <definedName name="_xlnm.Print_Area" localSheetId="11">Тор!$A$1:$F$101</definedName>
    <definedName name="_xlnm.Print_Area" localSheetId="15">Юнг!$A$1:$F$100</definedName>
    <definedName name="_xlnm.Print_Area" localSheetId="17">Яра!$A$1:$F$102</definedName>
  </definedNames>
  <calcPr calcId="125725"/>
  <customWorkbookViews>
    <customWorkbookView name="morgau_fin7 - Личное представление" guid="{5BFCA170-DEAE-4D2C-98A0-1E68B427AC01}" mergeInterval="0" personalView="1" maximized="1" xWindow="1" yWindow="1" windowWidth="1916" windowHeight="850" tabRatio="695" activeSheetId="3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morgau_fin5 - Личное представление" guid="{B31C8DB7-3E78-4144-A6B5-8DE36DE63F0E}" mergeInterval="0" personalView="1" maximized="1" xWindow="1" yWindow="1" windowWidth="1916" windowHeight="850" tabRatio="695" activeSheetId="1"/>
    <customWorkbookView name="morgau_fin2 - Личное представление" guid="{B30CE22D-C12F-4E12-8BB9-3AAE0A6991CC}" mergeInterval="0" personalView="1" maximized="1" xWindow="1" yWindow="1" windowWidth="1916" windowHeight="850" tabRatio="695" activeSheetId="2"/>
    <customWorkbookView name="Admin - Личное представление" guid="{1718F1EE-9F48-4DBE-9531-3B70F9C4A5DD}" mergeInterval="0" personalView="1" maximized="1" xWindow="1" yWindow="1" windowWidth="1280" windowHeight="800" tabRatio="695" activeSheetId="12"/>
    <customWorkbookView name="morgau_fin3 - Личное представление" guid="{61528DAC-5C4C-48F4-ADE2-8A724B05A086}" mergeInterval="0" personalView="1" maximized="1" xWindow="1" yWindow="1" windowWidth="1916" windowHeight="850" tabRatio="694" activeSheetId="1"/>
  </customWorkbookViews>
</workbook>
</file>

<file path=xl/calcChain.xml><?xml version="1.0" encoding="utf-8"?>
<calcChain xmlns="http://schemas.openxmlformats.org/spreadsheetml/2006/main">
  <c r="E25" i="1"/>
  <c r="E27"/>
  <c r="D28"/>
  <c r="G39" l="1"/>
  <c r="F39"/>
  <c r="G33"/>
  <c r="F33"/>
  <c r="G42"/>
  <c r="F42"/>
  <c r="G40"/>
  <c r="D40" s="1"/>
  <c r="F40"/>
  <c r="G38"/>
  <c r="F38"/>
  <c r="G37"/>
  <c r="F37"/>
  <c r="G36"/>
  <c r="F36"/>
  <c r="C36" s="1"/>
  <c r="G35"/>
  <c r="D35" s="1"/>
  <c r="F35"/>
  <c r="C35" s="1"/>
  <c r="G34"/>
  <c r="F34"/>
  <c r="G32"/>
  <c r="F32"/>
  <c r="G31"/>
  <c r="F31"/>
  <c r="G30"/>
  <c r="F30"/>
  <c r="C41"/>
  <c r="J39"/>
  <c r="J38"/>
  <c r="J37"/>
  <c r="J34"/>
  <c r="J33"/>
  <c r="J32"/>
  <c r="J31"/>
  <c r="D31" s="1"/>
  <c r="I39"/>
  <c r="I38"/>
  <c r="I37"/>
  <c r="I34"/>
  <c r="I33"/>
  <c r="I32"/>
  <c r="I31"/>
  <c r="J30"/>
  <c r="I30"/>
  <c r="K30" s="1"/>
  <c r="J42"/>
  <c r="I42"/>
  <c r="D41"/>
  <c r="E39"/>
  <c r="E38"/>
  <c r="E37"/>
  <c r="E34"/>
  <c r="H33"/>
  <c r="E33"/>
  <c r="C31"/>
  <c r="K37" l="1"/>
  <c r="C30"/>
  <c r="H42"/>
  <c r="H38"/>
  <c r="H36"/>
  <c r="H32"/>
  <c r="H31"/>
  <c r="H40"/>
  <c r="E35"/>
  <c r="G29"/>
  <c r="D32"/>
  <c r="C40"/>
  <c r="E40" s="1"/>
  <c r="H39"/>
  <c r="H37"/>
  <c r="H35"/>
  <c r="H34"/>
  <c r="C32"/>
  <c r="H30"/>
  <c r="E31"/>
  <c r="K39"/>
  <c r="K34"/>
  <c r="K33"/>
  <c r="K32"/>
  <c r="C29"/>
  <c r="K31"/>
  <c r="F29"/>
  <c r="J29"/>
  <c r="I29"/>
  <c r="D30"/>
  <c r="D36"/>
  <c r="E36" s="1"/>
  <c r="H29" l="1"/>
  <c r="E32"/>
  <c r="K29"/>
  <c r="D29"/>
  <c r="E29" s="1"/>
  <c r="E30"/>
  <c r="G27" l="1"/>
  <c r="D27" s="1"/>
  <c r="G11"/>
  <c r="F11"/>
  <c r="G9"/>
  <c r="G5"/>
  <c r="F5"/>
  <c r="D34" i="4"/>
  <c r="BO14" i="2" s="1"/>
  <c r="AH24"/>
  <c r="AY15"/>
  <c r="AT15"/>
  <c r="AD15"/>
  <c r="E58" i="3"/>
  <c r="C72" i="15"/>
  <c r="D66" i="12"/>
  <c r="D34" i="10"/>
  <c r="D34" i="9"/>
  <c r="C34"/>
  <c r="D22" i="1"/>
  <c r="D9"/>
  <c r="D34" i="17"/>
  <c r="BO27" i="2" s="1"/>
  <c r="D48" i="3"/>
  <c r="G18" i="1" s="1"/>
  <c r="CG27" i="2" l="1"/>
  <c r="CF27"/>
  <c r="BE16"/>
  <c r="CF19"/>
  <c r="D40" i="17"/>
  <c r="C40"/>
  <c r="BF16" i="2"/>
  <c r="E57" i="3"/>
  <c r="CS19" i="2" l="1"/>
  <c r="D68" i="9"/>
  <c r="D34" i="8"/>
  <c r="C72" i="4"/>
  <c r="D77" i="13"/>
  <c r="D56"/>
  <c r="D42" i="6"/>
  <c r="C42"/>
  <c r="D34" i="13"/>
  <c r="BO23" i="2" s="1"/>
  <c r="BP23" s="1"/>
  <c r="CJ16"/>
  <c r="CI16"/>
  <c r="CS16"/>
  <c r="CR16"/>
  <c r="BO19"/>
  <c r="E56" i="3"/>
  <c r="CI17" i="2"/>
  <c r="CJ17"/>
  <c r="D65" i="3"/>
  <c r="G24" i="1" s="1"/>
  <c r="C37" i="4"/>
  <c r="E100" i="3"/>
  <c r="F100"/>
  <c r="E74"/>
  <c r="E46" i="19"/>
  <c r="D41" i="9"/>
  <c r="E48"/>
  <c r="F48"/>
  <c r="D54" i="3"/>
  <c r="G20" i="1" s="1"/>
  <c r="C54" i="3"/>
  <c r="F20" i="1" s="1"/>
  <c r="D12" i="3"/>
  <c r="G7" i="1" s="1"/>
  <c r="C12" i="3"/>
  <c r="F7" i="1" s="1"/>
  <c r="F13" i="3"/>
  <c r="E13"/>
  <c r="C41" i="5"/>
  <c r="D41"/>
  <c r="C7" i="4"/>
  <c r="C12"/>
  <c r="C14"/>
  <c r="C17"/>
  <c r="C26"/>
  <c r="C29"/>
  <c r="C31"/>
  <c r="D5"/>
  <c r="D7"/>
  <c r="D12"/>
  <c r="D14"/>
  <c r="D17"/>
  <c r="D20"/>
  <c r="D26"/>
  <c r="D29"/>
  <c r="D31"/>
  <c r="D37"/>
  <c r="C59"/>
  <c r="C61"/>
  <c r="C67"/>
  <c r="C76"/>
  <c r="C83"/>
  <c r="D59"/>
  <c r="D61"/>
  <c r="D67"/>
  <c r="D72"/>
  <c r="D76"/>
  <c r="D83"/>
  <c r="CO19" i="2"/>
  <c r="C22" i="1"/>
  <c r="CP17" i="2"/>
  <c r="CP14"/>
  <c r="BN20"/>
  <c r="D66" i="15"/>
  <c r="F71"/>
  <c r="E71"/>
  <c r="C34" i="16"/>
  <c r="BN26" i="2" s="1"/>
  <c r="F70" i="7"/>
  <c r="E70"/>
  <c r="D66" i="11"/>
  <c r="D35" i="6"/>
  <c r="C35"/>
  <c r="BN16" i="2" s="1"/>
  <c r="F36" i="6"/>
  <c r="E36"/>
  <c r="D63" i="19"/>
  <c r="D31"/>
  <c r="C31"/>
  <c r="BE29" i="2" s="1"/>
  <c r="E45" i="19"/>
  <c r="D67" i="5"/>
  <c r="C80" i="3"/>
  <c r="CG17" i="2"/>
  <c r="CF17"/>
  <c r="CD17"/>
  <c r="CC17"/>
  <c r="D69" i="17"/>
  <c r="D65" i="16"/>
  <c r="D66" i="14"/>
  <c r="D66" i="13"/>
  <c r="D66" i="10"/>
  <c r="D67" i="8"/>
  <c r="D65" i="7"/>
  <c r="D34" i="3"/>
  <c r="G15" i="1" s="1"/>
  <c r="C59" i="17"/>
  <c r="AZ15" i="2"/>
  <c r="D40" i="7"/>
  <c r="C65" i="3"/>
  <c r="F24" i="1" s="1"/>
  <c r="D53" i="19"/>
  <c r="CM14" i="2"/>
  <c r="D40" i="13"/>
  <c r="BP27" i="2"/>
  <c r="BP14"/>
  <c r="D82" i="18"/>
  <c r="D96" i="3"/>
  <c r="C96"/>
  <c r="F97"/>
  <c r="E97"/>
  <c r="CO17" i="2"/>
  <c r="CO14"/>
  <c r="F136" i="3"/>
  <c r="E136"/>
  <c r="F135"/>
  <c r="E135"/>
  <c r="F134"/>
  <c r="E134"/>
  <c r="D133"/>
  <c r="C133"/>
  <c r="F132"/>
  <c r="C131"/>
  <c r="F131" s="1"/>
  <c r="F130"/>
  <c r="E130"/>
  <c r="D129"/>
  <c r="C129"/>
  <c r="E128"/>
  <c r="E127"/>
  <c r="E126"/>
  <c r="F125"/>
  <c r="E125"/>
  <c r="F124"/>
  <c r="E124"/>
  <c r="D123"/>
  <c r="C123"/>
  <c r="F122"/>
  <c r="E122"/>
  <c r="F121"/>
  <c r="E121"/>
  <c r="F120"/>
  <c r="E120"/>
  <c r="F119"/>
  <c r="E119"/>
  <c r="D118"/>
  <c r="C118"/>
  <c r="F117"/>
  <c r="E117"/>
  <c r="F116"/>
  <c r="E116"/>
  <c r="D115"/>
  <c r="C115"/>
  <c r="F114"/>
  <c r="E114"/>
  <c r="F113"/>
  <c r="E113"/>
  <c r="F112"/>
  <c r="E112"/>
  <c r="F111"/>
  <c r="E111"/>
  <c r="F110"/>
  <c r="E110"/>
  <c r="D109"/>
  <c r="C109"/>
  <c r="F108"/>
  <c r="E108"/>
  <c r="D107"/>
  <c r="C107"/>
  <c r="F106"/>
  <c r="E106"/>
  <c r="F105"/>
  <c r="E105"/>
  <c r="F104"/>
  <c r="E104"/>
  <c r="D103"/>
  <c r="C103"/>
  <c r="F102"/>
  <c r="E102"/>
  <c r="F101"/>
  <c r="E101"/>
  <c r="F99"/>
  <c r="E99"/>
  <c r="F98"/>
  <c r="E98"/>
  <c r="F95"/>
  <c r="E95"/>
  <c r="F94"/>
  <c r="E94"/>
  <c r="F93"/>
  <c r="E93"/>
  <c r="F92"/>
  <c r="E92"/>
  <c r="F91"/>
  <c r="E91"/>
  <c r="D90"/>
  <c r="C90"/>
  <c r="F89"/>
  <c r="E89"/>
  <c r="D88"/>
  <c r="C88"/>
  <c r="F87"/>
  <c r="E87"/>
  <c r="F86"/>
  <c r="E86"/>
  <c r="F85"/>
  <c r="E85"/>
  <c r="F84"/>
  <c r="E84"/>
  <c r="F83"/>
  <c r="E83"/>
  <c r="F82"/>
  <c r="E82"/>
  <c r="F81"/>
  <c r="E81"/>
  <c r="D80"/>
  <c r="F74"/>
  <c r="F73"/>
  <c r="E73"/>
  <c r="F72"/>
  <c r="E72"/>
  <c r="F71"/>
  <c r="E71"/>
  <c r="F70"/>
  <c r="E70"/>
  <c r="F69"/>
  <c r="E69"/>
  <c r="F68"/>
  <c r="E68"/>
  <c r="F67"/>
  <c r="E67"/>
  <c r="F66"/>
  <c r="E66"/>
  <c r="F63"/>
  <c r="E63"/>
  <c r="F62"/>
  <c r="E62"/>
  <c r="D61"/>
  <c r="C61"/>
  <c r="F60"/>
  <c r="E60"/>
  <c r="F59"/>
  <c r="E59"/>
  <c r="F55"/>
  <c r="E55"/>
  <c r="F53"/>
  <c r="E53"/>
  <c r="D52"/>
  <c r="C52"/>
  <c r="F50"/>
  <c r="E50"/>
  <c r="F49"/>
  <c r="E49"/>
  <c r="C48"/>
  <c r="F18" i="1" s="1"/>
  <c r="H18" s="1"/>
  <c r="F47" i="3"/>
  <c r="F46"/>
  <c r="E46"/>
  <c r="D45"/>
  <c r="G17" i="1" s="1"/>
  <c r="C45" i="3"/>
  <c r="F17" i="1" s="1"/>
  <c r="F44" i="3"/>
  <c r="E44"/>
  <c r="D43"/>
  <c r="C43"/>
  <c r="F16" i="1" s="1"/>
  <c r="F42" i="3"/>
  <c r="E42"/>
  <c r="F41"/>
  <c r="E41"/>
  <c r="F40"/>
  <c r="E40"/>
  <c r="F39"/>
  <c r="E39"/>
  <c r="F38"/>
  <c r="E38"/>
  <c r="F37"/>
  <c r="E37"/>
  <c r="F36"/>
  <c r="E36"/>
  <c r="F35"/>
  <c r="E35"/>
  <c r="C34"/>
  <c r="F15" i="1" s="1"/>
  <c r="F32" i="3"/>
  <c r="E32"/>
  <c r="F31"/>
  <c r="E31"/>
  <c r="F30"/>
  <c r="E30"/>
  <c r="F29"/>
  <c r="E29"/>
  <c r="D28"/>
  <c r="G13" i="1" s="1"/>
  <c r="C28" i="3"/>
  <c r="F27"/>
  <c r="E27"/>
  <c r="F26"/>
  <c r="E26"/>
  <c r="F25"/>
  <c r="E25"/>
  <c r="D24"/>
  <c r="G12" i="1" s="1"/>
  <c r="C24" i="3"/>
  <c r="F12" i="1" s="1"/>
  <c r="F23" i="3"/>
  <c r="E23"/>
  <c r="D22"/>
  <c r="C22"/>
  <c r="F21"/>
  <c r="E21"/>
  <c r="F20"/>
  <c r="E20"/>
  <c r="F19"/>
  <c r="E19"/>
  <c r="F18"/>
  <c r="E18"/>
  <c r="D17"/>
  <c r="C17"/>
  <c r="F16"/>
  <c r="E16"/>
  <c r="F15"/>
  <c r="E15"/>
  <c r="F14"/>
  <c r="E14"/>
  <c r="F11"/>
  <c r="E11"/>
  <c r="F10"/>
  <c r="E10"/>
  <c r="F9"/>
  <c r="E9"/>
  <c r="F8"/>
  <c r="E8"/>
  <c r="D7"/>
  <c r="G6" i="1" s="1"/>
  <c r="C7" i="3"/>
  <c r="F6"/>
  <c r="E6"/>
  <c r="D5"/>
  <c r="C5"/>
  <c r="F71" i="12"/>
  <c r="E71"/>
  <c r="AB28" i="2"/>
  <c r="AZ17"/>
  <c r="AZ19"/>
  <c r="AZ20"/>
  <c r="AZ21"/>
  <c r="AZ24"/>
  <c r="AZ26"/>
  <c r="AZ27"/>
  <c r="AZ28"/>
  <c r="C67" i="5"/>
  <c r="C67" i="8"/>
  <c r="F72"/>
  <c r="E72"/>
  <c r="DF33" i="2"/>
  <c r="C68" i="9"/>
  <c r="C41"/>
  <c r="C66" i="12"/>
  <c r="E65" i="11"/>
  <c r="C66"/>
  <c r="C66" i="10"/>
  <c r="C65" i="7"/>
  <c r="C66" i="13"/>
  <c r="C69" i="17"/>
  <c r="C65" i="16"/>
  <c r="C66" i="15"/>
  <c r="C66" i="14"/>
  <c r="F71"/>
  <c r="E71"/>
  <c r="C63" i="19"/>
  <c r="D26"/>
  <c r="BE28" i="2"/>
  <c r="D71" i="7"/>
  <c r="D84" i="9"/>
  <c r="D26" i="6"/>
  <c r="E44" i="14"/>
  <c r="H20" i="1" l="1"/>
  <c r="F41" i="5"/>
  <c r="E41"/>
  <c r="C25" i="4"/>
  <c r="CQ17" i="2"/>
  <c r="CQ14"/>
  <c r="E107" i="3"/>
  <c r="E133"/>
  <c r="F123"/>
  <c r="E24"/>
  <c r="F129"/>
  <c r="F7"/>
  <c r="F24"/>
  <c r="E43"/>
  <c r="E45"/>
  <c r="E80"/>
  <c r="F12"/>
  <c r="E7"/>
  <c r="E88"/>
  <c r="F90"/>
  <c r="F115"/>
  <c r="C4"/>
  <c r="E12"/>
  <c r="E54"/>
  <c r="F65"/>
  <c r="F80"/>
  <c r="F96"/>
  <c r="E123"/>
  <c r="E103"/>
  <c r="F107"/>
  <c r="D4"/>
  <c r="E48"/>
  <c r="F61"/>
  <c r="F118"/>
  <c r="E109"/>
  <c r="C33"/>
  <c r="F52"/>
  <c r="E28"/>
  <c r="E17"/>
  <c r="E5"/>
  <c r="E22"/>
  <c r="E34"/>
  <c r="F45"/>
  <c r="F48"/>
  <c r="F103"/>
  <c r="E129"/>
  <c r="E52"/>
  <c r="F54"/>
  <c r="E61"/>
  <c r="E90"/>
  <c r="E96"/>
  <c r="E115"/>
  <c r="E118"/>
  <c r="C137"/>
  <c r="F109"/>
  <c r="E65"/>
  <c r="D33"/>
  <c r="F88"/>
  <c r="F5"/>
  <c r="F17"/>
  <c r="F22"/>
  <c r="F28"/>
  <c r="F34"/>
  <c r="F43"/>
  <c r="F133"/>
  <c r="D137"/>
  <c r="D40" i="16"/>
  <c r="D64" i="3" l="1"/>
  <c r="D75" s="1"/>
  <c r="F4"/>
  <c r="E4"/>
  <c r="C64"/>
  <c r="C75" s="1"/>
  <c r="F137"/>
  <c r="E137"/>
  <c r="E33"/>
  <c r="F33"/>
  <c r="D34" i="15"/>
  <c r="D36" i="7"/>
  <c r="D34" i="11"/>
  <c r="D26"/>
  <c r="D14"/>
  <c r="CV26" i="2"/>
  <c r="AT18"/>
  <c r="AQ18"/>
  <c r="E75" i="3" l="1"/>
  <c r="H75"/>
  <c r="C76"/>
  <c r="F64"/>
  <c r="E64"/>
  <c r="D76"/>
  <c r="F75" s="1"/>
  <c r="C34" i="11"/>
  <c r="BN21" i="2" s="1"/>
  <c r="C82" i="12"/>
  <c r="D12" i="19"/>
  <c r="D67" i="18" l="1"/>
  <c r="E44" i="13"/>
  <c r="D82" i="12"/>
  <c r="D64"/>
  <c r="D67" i="6"/>
  <c r="C67"/>
  <c r="E72"/>
  <c r="F72"/>
  <c r="E50" i="9" l="1"/>
  <c r="D5" i="5"/>
  <c r="C29" i="12"/>
  <c r="J15" i="2"/>
  <c r="D12" i="7"/>
  <c r="CD14" i="2"/>
  <c r="CS17"/>
  <c r="AT28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R17" i="2"/>
  <c r="C40" i="7"/>
  <c r="BQ14" i="2"/>
  <c r="CV22"/>
  <c r="CV21"/>
  <c r="D41" i="12"/>
  <c r="E49"/>
  <c r="F49"/>
  <c r="D40" i="11"/>
  <c r="CS23" i="2" l="1"/>
  <c r="CS18"/>
  <c r="CS14" l="1"/>
  <c r="D40" i="10"/>
  <c r="D41" i="8"/>
  <c r="D17" i="15"/>
  <c r="CS29" i="2"/>
  <c r="CR29"/>
  <c r="CS27"/>
  <c r="CS25"/>
  <c r="CS24"/>
  <c r="CS22"/>
  <c r="CS21"/>
  <c r="D41" i="15"/>
  <c r="D37" i="14"/>
  <c r="BR24" i="2" s="1"/>
  <c r="D41" i="14"/>
  <c r="CR23" i="2"/>
  <c r="E9" i="12"/>
  <c r="F33" i="5" l="1"/>
  <c r="AE14" i="2"/>
  <c r="CR14"/>
  <c r="CT14" s="1"/>
  <c r="CR27"/>
  <c r="CT27" s="1"/>
  <c r="CR25"/>
  <c r="CT25" s="1"/>
  <c r="CR24"/>
  <c r="CT24" s="1"/>
  <c r="CR21"/>
  <c r="CT21" s="1"/>
  <c r="CR18"/>
  <c r="CT18" s="1"/>
  <c r="CS15"/>
  <c r="CR15"/>
  <c r="F82" i="13"/>
  <c r="F90" i="18"/>
  <c r="F53" i="17"/>
  <c r="C40" i="16"/>
  <c r="E40" s="1"/>
  <c r="E50" i="15"/>
  <c r="F50"/>
  <c r="C41" i="14"/>
  <c r="F41" s="1"/>
  <c r="E50"/>
  <c r="F50"/>
  <c r="E76" i="12"/>
  <c r="E73"/>
  <c r="E31"/>
  <c r="F31"/>
  <c r="D29"/>
  <c r="AZ22" i="2" s="1"/>
  <c r="C40" i="11"/>
  <c r="E40" s="1"/>
  <c r="E49"/>
  <c r="F49"/>
  <c r="C40" i="10"/>
  <c r="F40" s="1"/>
  <c r="E82" i="9"/>
  <c r="E52"/>
  <c r="F52"/>
  <c r="E48" i="8"/>
  <c r="F48"/>
  <c r="E49"/>
  <c r="F49"/>
  <c r="E50"/>
  <c r="F50"/>
  <c r="E51"/>
  <c r="F51"/>
  <c r="C41"/>
  <c r="F41" s="1"/>
  <c r="F81" i="5"/>
  <c r="F76"/>
  <c r="C26"/>
  <c r="E48"/>
  <c r="F48"/>
  <c r="E48" i="12"/>
  <c r="F48"/>
  <c r="C41" i="15"/>
  <c r="F41" s="1"/>
  <c r="E42"/>
  <c r="C40" i="13"/>
  <c r="C41" i="12"/>
  <c r="F41" i="10"/>
  <c r="E44"/>
  <c r="F44"/>
  <c r="E45" i="9"/>
  <c r="F45"/>
  <c r="E45" i="8"/>
  <c r="F45"/>
  <c r="E44" i="7"/>
  <c r="F44"/>
  <c r="E46" i="6"/>
  <c r="F46"/>
  <c r="E47"/>
  <c r="F47"/>
  <c r="E45" i="5"/>
  <c r="F45"/>
  <c r="CR22" i="2"/>
  <c r="CT22" s="1"/>
  <c r="CV14"/>
  <c r="C55" i="7"/>
  <c r="D20" i="14"/>
  <c r="AK24" i="2" s="1"/>
  <c r="E75" i="11"/>
  <c r="E34" i="10"/>
  <c r="F34"/>
  <c r="E35"/>
  <c r="F35"/>
  <c r="D82" i="8"/>
  <c r="EL18" i="2" s="1"/>
  <c r="C78" i="8"/>
  <c r="EH18" i="2" s="1"/>
  <c r="C73" i="8"/>
  <c r="EE18" i="2" s="1"/>
  <c r="E35" i="11"/>
  <c r="F35"/>
  <c r="E34"/>
  <c r="F34"/>
  <c r="E33"/>
  <c r="C7" i="8"/>
  <c r="D7" i="5"/>
  <c r="C51" i="4"/>
  <c r="BO21" i="2"/>
  <c r="BP21" s="1"/>
  <c r="D96" i="12"/>
  <c r="ER22" i="2" s="1"/>
  <c r="F35" i="16"/>
  <c r="E35"/>
  <c r="D34"/>
  <c r="E34" s="1"/>
  <c r="D12" i="13"/>
  <c r="D5"/>
  <c r="D81"/>
  <c r="EL23" i="2" s="1"/>
  <c r="EI23"/>
  <c r="D64" i="13"/>
  <c r="D72"/>
  <c r="EF23" i="2" s="1"/>
  <c r="D26" i="13"/>
  <c r="AQ27" i="2"/>
  <c r="AQ25"/>
  <c r="AQ19"/>
  <c r="AR19" s="1"/>
  <c r="AQ17"/>
  <c r="AT29"/>
  <c r="AU29" s="1"/>
  <c r="BU32"/>
  <c r="BU33" s="1"/>
  <c r="E88" i="16"/>
  <c r="C81" i="14"/>
  <c r="EK24" i="2" s="1"/>
  <c r="E15" i="14"/>
  <c r="C77" i="13"/>
  <c r="EH23" i="2" s="1"/>
  <c r="E42" i="10"/>
  <c r="F42"/>
  <c r="F77" i="9"/>
  <c r="F36"/>
  <c r="E36"/>
  <c r="BN19" i="2"/>
  <c r="G21" i="1"/>
  <c r="E36" i="18"/>
  <c r="F36"/>
  <c r="E48" i="16"/>
  <c r="F48"/>
  <c r="E46"/>
  <c r="E47"/>
  <c r="E42"/>
  <c r="F42"/>
  <c r="C34" i="15"/>
  <c r="BN25" i="2" s="1"/>
  <c r="E36" i="15"/>
  <c r="F36"/>
  <c r="BO25" i="2"/>
  <c r="E70" i="14"/>
  <c r="D34"/>
  <c r="BO24" i="2" s="1"/>
  <c r="BP24" s="1"/>
  <c r="C34" i="14"/>
  <c r="E36" i="12"/>
  <c r="F36"/>
  <c r="C35"/>
  <c r="BN22" i="2" s="1"/>
  <c r="E42" i="11"/>
  <c r="F42"/>
  <c r="E43" i="8"/>
  <c r="F43"/>
  <c r="E86" i="7"/>
  <c r="BR17" i="2"/>
  <c r="E42" i="7"/>
  <c r="F42"/>
  <c r="E35"/>
  <c r="F35"/>
  <c r="E58" i="6"/>
  <c r="F58"/>
  <c r="E50"/>
  <c r="E60" i="5"/>
  <c r="E61"/>
  <c r="E62"/>
  <c r="C5"/>
  <c r="C7"/>
  <c r="E29"/>
  <c r="E31"/>
  <c r="F28"/>
  <c r="E28"/>
  <c r="E44" i="4"/>
  <c r="DN14" i="2"/>
  <c r="DQ29"/>
  <c r="DQ24"/>
  <c r="DQ22"/>
  <c r="DQ21"/>
  <c r="DQ18"/>
  <c r="DQ16"/>
  <c r="DQ14"/>
  <c r="D17" i="12"/>
  <c r="D5" i="8"/>
  <c r="D5" i="6"/>
  <c r="D56" i="12"/>
  <c r="D35"/>
  <c r="BO22" i="2" s="1"/>
  <c r="BP22" s="1"/>
  <c r="CS26"/>
  <c r="CR26"/>
  <c r="CS28"/>
  <c r="CR28"/>
  <c r="D78" i="18"/>
  <c r="EI28" i="2" s="1"/>
  <c r="D41" i="18"/>
  <c r="C41"/>
  <c r="E51"/>
  <c r="F51"/>
  <c r="D34" i="7"/>
  <c r="BO17" i="2" s="1"/>
  <c r="C34" i="7"/>
  <c r="BN17" i="2" s="1"/>
  <c r="D61" i="19"/>
  <c r="DZ29" i="2" s="1"/>
  <c r="D38" i="19"/>
  <c r="D35" i="18"/>
  <c r="BO28" i="2" s="1"/>
  <c r="BO20"/>
  <c r="BP20" s="1"/>
  <c r="D88" i="14"/>
  <c r="ER24" i="2" s="1"/>
  <c r="D37" i="8"/>
  <c r="BR18" i="2" s="1"/>
  <c r="E27" i="19"/>
  <c r="E56" i="16"/>
  <c r="E57"/>
  <c r="E58"/>
  <c r="E59"/>
  <c r="AQ29" i="2"/>
  <c r="AQ14"/>
  <c r="CL18"/>
  <c r="AS17"/>
  <c r="AA24"/>
  <c r="EC18"/>
  <c r="EB18"/>
  <c r="C14" i="14"/>
  <c r="F15" s="1"/>
  <c r="F35" i="15"/>
  <c r="E35"/>
  <c r="CI29" i="2"/>
  <c r="CI28"/>
  <c r="CI27"/>
  <c r="CI26"/>
  <c r="CI25"/>
  <c r="CI24"/>
  <c r="CI23"/>
  <c r="CI22"/>
  <c r="CI21"/>
  <c r="CI20"/>
  <c r="CI19"/>
  <c r="CI18"/>
  <c r="CI15"/>
  <c r="CI14"/>
  <c r="I29"/>
  <c r="P25"/>
  <c r="AN25"/>
  <c r="CP28"/>
  <c r="CP26"/>
  <c r="CP25"/>
  <c r="CP24"/>
  <c r="CP23"/>
  <c r="CP22"/>
  <c r="CP16"/>
  <c r="BE14"/>
  <c r="AY28"/>
  <c r="AY27"/>
  <c r="AY24"/>
  <c r="BA24" s="1"/>
  <c r="AY21"/>
  <c r="AY20"/>
  <c r="AY19"/>
  <c r="AY17"/>
  <c r="BA17" s="1"/>
  <c r="AY26"/>
  <c r="AS24"/>
  <c r="AQ26"/>
  <c r="AQ24"/>
  <c r="AQ22"/>
  <c r="AQ16"/>
  <c r="AQ15"/>
  <c r="D88" i="15"/>
  <c r="ER25" i="2" s="1"/>
  <c r="D20" i="12"/>
  <c r="AK22" i="2" s="1"/>
  <c r="AL22" s="1"/>
  <c r="C20" i="12"/>
  <c r="D26" i="5"/>
  <c r="AP27" i="2"/>
  <c r="CO28"/>
  <c r="CO26"/>
  <c r="CC26"/>
  <c r="CO24"/>
  <c r="CO23"/>
  <c r="CO22"/>
  <c r="CO16"/>
  <c r="D69" i="19"/>
  <c r="EF29" i="2" s="1"/>
  <c r="D63" i="16"/>
  <c r="D55"/>
  <c r="D76"/>
  <c r="D71"/>
  <c r="EF26" i="2" s="1"/>
  <c r="EC25"/>
  <c r="D7" i="7"/>
  <c r="F40"/>
  <c r="D26"/>
  <c r="D17" i="5"/>
  <c r="EF14" i="2"/>
  <c r="DQ20"/>
  <c r="DQ17"/>
  <c r="D5" i="15"/>
  <c r="D5" i="9"/>
  <c r="C35" i="18"/>
  <c r="BN28" i="2" s="1"/>
  <c r="C34" i="8"/>
  <c r="BN18" i="2" s="1"/>
  <c r="AP18"/>
  <c r="AT19"/>
  <c r="AS18"/>
  <c r="DZ22"/>
  <c r="AQ21"/>
  <c r="D67" i="17"/>
  <c r="D56" i="15"/>
  <c r="D37" i="12"/>
  <c r="BR22" i="2" s="1"/>
  <c r="E15" i="5"/>
  <c r="E16"/>
  <c r="BE22" i="2"/>
  <c r="D31" i="7"/>
  <c r="J14" i="2"/>
  <c r="J16"/>
  <c r="J17"/>
  <c r="J18"/>
  <c r="J19"/>
  <c r="J20"/>
  <c r="J21"/>
  <c r="J22"/>
  <c r="J23"/>
  <c r="J24"/>
  <c r="J25"/>
  <c r="J26"/>
  <c r="J27"/>
  <c r="J28"/>
  <c r="J29"/>
  <c r="BI18"/>
  <c r="BI31" s="1"/>
  <c r="BI32" s="1"/>
  <c r="BI33" s="1"/>
  <c r="BJ18"/>
  <c r="BK18"/>
  <c r="BL18"/>
  <c r="BM18"/>
  <c r="EC24"/>
  <c r="D5" i="14"/>
  <c r="EY30" i="2"/>
  <c r="D65" i="18"/>
  <c r="DZ28" i="2" s="1"/>
  <c r="D12" i="5"/>
  <c r="E47"/>
  <c r="F47"/>
  <c r="C73"/>
  <c r="I14" i="2"/>
  <c r="AP26"/>
  <c r="AP25"/>
  <c r="AP24"/>
  <c r="AP22"/>
  <c r="AP17"/>
  <c r="AP14"/>
  <c r="AS26"/>
  <c r="AS22"/>
  <c r="AS21"/>
  <c r="C96" i="12"/>
  <c r="EQ22" i="2" s="1"/>
  <c r="D7" i="16"/>
  <c r="E43" i="9"/>
  <c r="F43"/>
  <c r="ER14" i="2"/>
  <c r="EL14"/>
  <c r="EH14"/>
  <c r="EB14"/>
  <c r="D51" i="4"/>
  <c r="D36" i="16"/>
  <c r="D17" i="19"/>
  <c r="D32" i="5"/>
  <c r="BF15" i="2" s="1"/>
  <c r="D64" i="11"/>
  <c r="D56"/>
  <c r="DK21" i="2" s="1"/>
  <c r="D87" i="7"/>
  <c r="ER17" i="2" s="1"/>
  <c r="D82" i="7"/>
  <c r="EO17" i="2" s="1"/>
  <c r="D80" i="7"/>
  <c r="EL17" i="2" s="1"/>
  <c r="D76" i="7"/>
  <c r="EI17" i="2" s="1"/>
  <c r="EC17"/>
  <c r="D63" i="7"/>
  <c r="D55"/>
  <c r="D64" i="10"/>
  <c r="AS28" i="2"/>
  <c r="AS27"/>
  <c r="AS25"/>
  <c r="AS23"/>
  <c r="AS20"/>
  <c r="AS16"/>
  <c r="AS15"/>
  <c r="AS14"/>
  <c r="AP28"/>
  <c r="AP23"/>
  <c r="AP20"/>
  <c r="D7" i="13"/>
  <c r="D14"/>
  <c r="C14" i="12"/>
  <c r="Y14" i="2"/>
  <c r="Y15"/>
  <c r="Y16"/>
  <c r="Y18"/>
  <c r="Y20"/>
  <c r="Y21"/>
  <c r="Y22"/>
  <c r="Y23"/>
  <c r="Y24"/>
  <c r="Y25"/>
  <c r="Y26"/>
  <c r="Y27"/>
  <c r="Y28"/>
  <c r="Y29"/>
  <c r="DV16"/>
  <c r="CP29"/>
  <c r="CO29"/>
  <c r="DN24"/>
  <c r="DN25"/>
  <c r="DN23"/>
  <c r="DN22"/>
  <c r="DN26"/>
  <c r="DN21"/>
  <c r="DN20"/>
  <c r="DN29"/>
  <c r="DN28"/>
  <c r="DN27"/>
  <c r="DN19"/>
  <c r="DN18"/>
  <c r="DN17"/>
  <c r="DN16"/>
  <c r="DN15"/>
  <c r="DP17"/>
  <c r="D26" i="16"/>
  <c r="D58" i="9"/>
  <c r="AD23" i="2"/>
  <c r="I23"/>
  <c r="L23"/>
  <c r="I24"/>
  <c r="AD24"/>
  <c r="AQ28"/>
  <c r="AQ23"/>
  <c r="AQ20"/>
  <c r="AP21"/>
  <c r="AP15"/>
  <c r="E43" i="14"/>
  <c r="F43"/>
  <c r="C26" i="6"/>
  <c r="C65" i="5"/>
  <c r="DE23" i="2"/>
  <c r="DE31" s="1"/>
  <c r="D80" i="17"/>
  <c r="EI27" i="2" s="1"/>
  <c r="D78" i="12"/>
  <c r="D74" i="9"/>
  <c r="C91" i="17"/>
  <c r="EQ27" i="2" s="1"/>
  <c r="DP14"/>
  <c r="D26" i="17"/>
  <c r="D32" i="18"/>
  <c r="C81" i="13"/>
  <c r="EK23" i="2" s="1"/>
  <c r="C26" i="11"/>
  <c r="C26" i="8"/>
  <c r="E67" i="18"/>
  <c r="C64" i="15"/>
  <c r="C82" i="8"/>
  <c r="E84"/>
  <c r="F84"/>
  <c r="CG23" i="2"/>
  <c r="CF23"/>
  <c r="F42" i="13"/>
  <c r="F43"/>
  <c r="E42"/>
  <c r="E43"/>
  <c r="F42" i="17"/>
  <c r="F43"/>
  <c r="E42"/>
  <c r="E43"/>
  <c r="CP27" i="2"/>
  <c r="D7" i="10"/>
  <c r="D7" i="8"/>
  <c r="C31" i="13"/>
  <c r="EL22" i="2"/>
  <c r="EK22"/>
  <c r="D96" i="8"/>
  <c r="EU18" i="2" s="1"/>
  <c r="D65" i="6"/>
  <c r="D65" i="5"/>
  <c r="CO27" i="2"/>
  <c r="D81" i="11"/>
  <c r="EL21" i="2" s="1"/>
  <c r="D66" i="9"/>
  <c r="F46" i="17"/>
  <c r="F47"/>
  <c r="F49"/>
  <c r="F50"/>
  <c r="F51"/>
  <c r="F52"/>
  <c r="E46"/>
  <c r="E47"/>
  <c r="E49"/>
  <c r="E50"/>
  <c r="E51"/>
  <c r="E52"/>
  <c r="D17" i="18"/>
  <c r="CP21" i="2"/>
  <c r="E75" i="12"/>
  <c r="F75"/>
  <c r="CO21" i="2"/>
  <c r="CO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D12" i="11"/>
  <c r="F6" i="1"/>
  <c r="D12" i="6"/>
  <c r="C92" i="9"/>
  <c r="EN19" i="2" s="1"/>
  <c r="EC27"/>
  <c r="F78" i="11"/>
  <c r="F79"/>
  <c r="E78"/>
  <c r="E79"/>
  <c r="D92" i="9"/>
  <c r="EO19" i="2" s="1"/>
  <c r="F88" i="9"/>
  <c r="F89"/>
  <c r="F90"/>
  <c r="F91"/>
  <c r="F93"/>
  <c r="E88"/>
  <c r="E89"/>
  <c r="E90"/>
  <c r="E91"/>
  <c r="E93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F27"/>
  <c r="E28"/>
  <c r="F28"/>
  <c r="C29"/>
  <c r="D29"/>
  <c r="AZ29" i="2" s="1"/>
  <c r="BA29" s="1"/>
  <c r="E30" i="19"/>
  <c r="F30"/>
  <c r="E32"/>
  <c r="F32"/>
  <c r="E33"/>
  <c r="F33"/>
  <c r="C34"/>
  <c r="BN29" i="2" s="1"/>
  <c r="D34" i="19"/>
  <c r="BO29" i="2" s="1"/>
  <c r="E35" i="19"/>
  <c r="F35"/>
  <c r="E36"/>
  <c r="F36"/>
  <c r="E39"/>
  <c r="E40"/>
  <c r="F40"/>
  <c r="E41"/>
  <c r="F41"/>
  <c r="E42"/>
  <c r="F42"/>
  <c r="E43"/>
  <c r="F43"/>
  <c r="E44"/>
  <c r="F44"/>
  <c r="F45"/>
  <c r="F46"/>
  <c r="E47"/>
  <c r="F47"/>
  <c r="C53"/>
  <c r="E55"/>
  <c r="F55"/>
  <c r="F56"/>
  <c r="E57"/>
  <c r="F57"/>
  <c r="E58"/>
  <c r="F58"/>
  <c r="E59"/>
  <c r="F59"/>
  <c r="E60"/>
  <c r="F60"/>
  <c r="C61"/>
  <c r="E62"/>
  <c r="F62"/>
  <c r="EC29" i="2"/>
  <c r="E64" i="19"/>
  <c r="F64"/>
  <c r="E65"/>
  <c r="F65"/>
  <c r="E66"/>
  <c r="F66"/>
  <c r="E67"/>
  <c r="F67"/>
  <c r="E70"/>
  <c r="F70"/>
  <c r="E71"/>
  <c r="F71"/>
  <c r="E73"/>
  <c r="F73"/>
  <c r="D74"/>
  <c r="EI29" i="2" s="1"/>
  <c r="E75" i="19"/>
  <c r="F75"/>
  <c r="E76"/>
  <c r="F76"/>
  <c r="E77"/>
  <c r="C78"/>
  <c r="D78"/>
  <c r="EL29" i="2" s="1"/>
  <c r="E79" i="19"/>
  <c r="F79"/>
  <c r="C80"/>
  <c r="EN29" i="2" s="1"/>
  <c r="D80" i="19"/>
  <c r="EO29" i="2" s="1"/>
  <c r="E81" i="19"/>
  <c r="F81"/>
  <c r="E82"/>
  <c r="F82"/>
  <c r="E83"/>
  <c r="F83"/>
  <c r="F84"/>
  <c r="C85"/>
  <c r="D85"/>
  <c r="ER29" i="2" s="1"/>
  <c r="E86" i="19"/>
  <c r="F86"/>
  <c r="E87"/>
  <c r="F87"/>
  <c r="E88"/>
  <c r="E89"/>
  <c r="E90"/>
  <c r="C91"/>
  <c r="D91"/>
  <c r="EU29" i="2" s="1"/>
  <c r="E92" i="19"/>
  <c r="F92"/>
  <c r="E93"/>
  <c r="F93"/>
  <c r="E94"/>
  <c r="F94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E33"/>
  <c r="F33"/>
  <c r="E34"/>
  <c r="F34"/>
  <c r="C37"/>
  <c r="BQ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F28" i="2"/>
  <c r="E75" i="18"/>
  <c r="F75"/>
  <c r="E76"/>
  <c r="F76"/>
  <c r="C78"/>
  <c r="E79"/>
  <c r="F79"/>
  <c r="E80"/>
  <c r="F80"/>
  <c r="E81"/>
  <c r="F81"/>
  <c r="C82"/>
  <c r="EK28" i="2" s="1"/>
  <c r="E83" i="18"/>
  <c r="F83"/>
  <c r="C84"/>
  <c r="EN28" i="2" s="1"/>
  <c r="D84" i="18"/>
  <c r="EO28" i="2" s="1"/>
  <c r="E85" i="18"/>
  <c r="F85"/>
  <c r="E86"/>
  <c r="F86"/>
  <c r="E87"/>
  <c r="F87"/>
  <c r="F88"/>
  <c r="D89"/>
  <c r="ER28" i="2" s="1"/>
  <c r="E90" i="18"/>
  <c r="E91"/>
  <c r="F91"/>
  <c r="E92"/>
  <c r="E93"/>
  <c r="E94"/>
  <c r="C95"/>
  <c r="ET28" i="2" s="1"/>
  <c r="D95" i="18"/>
  <c r="EU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F27" i="2" s="1"/>
  <c r="C26" i="17"/>
  <c r="E27"/>
  <c r="F27"/>
  <c r="E28"/>
  <c r="F28"/>
  <c r="C29"/>
  <c r="D29"/>
  <c r="E30"/>
  <c r="F30"/>
  <c r="C31"/>
  <c r="BE27" i="2" s="1"/>
  <c r="E32" i="17"/>
  <c r="F32"/>
  <c r="E33"/>
  <c r="F33"/>
  <c r="C36"/>
  <c r="BQ27" i="2" s="1"/>
  <c r="D36" i="17"/>
  <c r="BR27" i="2" s="1"/>
  <c r="E37" i="17"/>
  <c r="F37"/>
  <c r="E38"/>
  <c r="F38"/>
  <c r="F41"/>
  <c r="E44"/>
  <c r="F44"/>
  <c r="E45"/>
  <c r="F45"/>
  <c r="C48"/>
  <c r="D48"/>
  <c r="D59"/>
  <c r="E61"/>
  <c r="F61"/>
  <c r="F62"/>
  <c r="E63"/>
  <c r="F63"/>
  <c r="E64"/>
  <c r="F64"/>
  <c r="E65"/>
  <c r="F65"/>
  <c r="E66"/>
  <c r="F66"/>
  <c r="C67"/>
  <c r="E68"/>
  <c r="F68"/>
  <c r="E70"/>
  <c r="F70"/>
  <c r="E71"/>
  <c r="F71"/>
  <c r="E72"/>
  <c r="F72"/>
  <c r="E73"/>
  <c r="F73"/>
  <c r="D75"/>
  <c r="EF27" i="2" s="1"/>
  <c r="E77" i="17"/>
  <c r="F77"/>
  <c r="E78"/>
  <c r="F78"/>
  <c r="E79"/>
  <c r="F79"/>
  <c r="C80"/>
  <c r="E81"/>
  <c r="F81"/>
  <c r="E82"/>
  <c r="F82"/>
  <c r="E83"/>
  <c r="F83"/>
  <c r="D84"/>
  <c r="C86"/>
  <c r="D86"/>
  <c r="EO27" i="2" s="1"/>
  <c r="E87" i="17"/>
  <c r="F87"/>
  <c r="E88"/>
  <c r="F88"/>
  <c r="E89"/>
  <c r="F89"/>
  <c r="F90"/>
  <c r="D91"/>
  <c r="ER27" i="2" s="1"/>
  <c r="F92" i="17"/>
  <c r="E93"/>
  <c r="F93"/>
  <c r="E94"/>
  <c r="E95"/>
  <c r="E96"/>
  <c r="C97"/>
  <c r="ET27" i="2" s="1"/>
  <c r="D97" i="17"/>
  <c r="EU27" i="2" s="1"/>
  <c r="E98" i="17"/>
  <c r="F98"/>
  <c r="E99"/>
  <c r="F99"/>
  <c r="E100"/>
  <c r="F100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F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H26" i="2" s="1"/>
  <c r="E77" i="16"/>
  <c r="F77"/>
  <c r="E78"/>
  <c r="F78"/>
  <c r="E79"/>
  <c r="F79"/>
  <c r="C80"/>
  <c r="EK26" i="2" s="1"/>
  <c r="D80" i="16"/>
  <c r="EL26" i="2" s="1"/>
  <c r="E81" i="16"/>
  <c r="F81"/>
  <c r="C82"/>
  <c r="EN26" i="2" s="1"/>
  <c r="D82" i="16"/>
  <c r="E83"/>
  <c r="F83"/>
  <c r="E84"/>
  <c r="F84"/>
  <c r="E85"/>
  <c r="F85"/>
  <c r="F86"/>
  <c r="C87"/>
  <c r="EQ26" i="2" s="1"/>
  <c r="D87" i="16"/>
  <c r="F88"/>
  <c r="E89"/>
  <c r="F89"/>
  <c r="E90"/>
  <c r="E91"/>
  <c r="E92"/>
  <c r="C93"/>
  <c r="ET26" i="2" s="1"/>
  <c r="D93" i="16"/>
  <c r="EU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AY25" i="2" s="1"/>
  <c r="D29" i="15"/>
  <c r="AZ25" i="2" s="1"/>
  <c r="E30" i="15"/>
  <c r="F30"/>
  <c r="C31"/>
  <c r="D31"/>
  <c r="E32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F25" i="2" s="1"/>
  <c r="E73" i="15"/>
  <c r="F73"/>
  <c r="E74"/>
  <c r="F74"/>
  <c r="F75"/>
  <c r="E76"/>
  <c r="F76"/>
  <c r="D77"/>
  <c r="EI25" i="2" s="1"/>
  <c r="E78" i="15"/>
  <c r="F78"/>
  <c r="E79"/>
  <c r="F79"/>
  <c r="C81"/>
  <c r="EK25" i="2" s="1"/>
  <c r="D81" i="15"/>
  <c r="EL25" i="2" s="1"/>
  <c r="E82" i="15"/>
  <c r="F82"/>
  <c r="C83"/>
  <c r="EN25" i="2" s="1"/>
  <c r="D83" i="15"/>
  <c r="C88"/>
  <c r="EQ25" i="2" s="1"/>
  <c r="E89" i="15"/>
  <c r="F89"/>
  <c r="E90"/>
  <c r="F90"/>
  <c r="E91"/>
  <c r="E92"/>
  <c r="E93"/>
  <c r="C94"/>
  <c r="ET25" i="2" s="1"/>
  <c r="D94" i="15"/>
  <c r="EU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B24" i="2"/>
  <c r="E67" i="14"/>
  <c r="F67"/>
  <c r="E68"/>
  <c r="F68"/>
  <c r="E69"/>
  <c r="F69"/>
  <c r="F70"/>
  <c r="D72"/>
  <c r="EF24" i="2" s="1"/>
  <c r="E73" i="14"/>
  <c r="F73"/>
  <c r="E74"/>
  <c r="F74"/>
  <c r="E75"/>
  <c r="E76"/>
  <c r="F76"/>
  <c r="D77"/>
  <c r="EI24" i="2" s="1"/>
  <c r="E79" i="14"/>
  <c r="F79"/>
  <c r="E80"/>
  <c r="F80"/>
  <c r="EL24" i="2"/>
  <c r="E82" i="14"/>
  <c r="F82"/>
  <c r="C83"/>
  <c r="EN24" i="2" s="1"/>
  <c r="D83" i="14"/>
  <c r="EO24" i="2" s="1"/>
  <c r="E84" i="14"/>
  <c r="F84"/>
  <c r="E85"/>
  <c r="F85"/>
  <c r="E86"/>
  <c r="F86"/>
  <c r="F87"/>
  <c r="C88"/>
  <c r="EQ24" i="2" s="1"/>
  <c r="E89" i="14"/>
  <c r="F89"/>
  <c r="E90"/>
  <c r="F90"/>
  <c r="E91"/>
  <c r="E92"/>
  <c r="E93"/>
  <c r="C94"/>
  <c r="D94"/>
  <c r="EU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AY23" i="2" s="1"/>
  <c r="D29" i="13"/>
  <c r="AZ23" i="2" s="1"/>
  <c r="E30" i="13"/>
  <c r="F30"/>
  <c r="D31"/>
  <c r="E32"/>
  <c r="F32"/>
  <c r="E33"/>
  <c r="F33"/>
  <c r="C36"/>
  <c r="BQ23" i="2" s="1"/>
  <c r="D36" i="13"/>
  <c r="E37"/>
  <c r="F37"/>
  <c r="E38"/>
  <c r="F38"/>
  <c r="E41"/>
  <c r="F41"/>
  <c r="F44"/>
  <c r="E45"/>
  <c r="F45"/>
  <c r="E46"/>
  <c r="F46"/>
  <c r="E47"/>
  <c r="F47"/>
  <c r="F48"/>
  <c r="E49"/>
  <c r="F49"/>
  <c r="C56"/>
  <c r="E58"/>
  <c r="F58"/>
  <c r="F59"/>
  <c r="E60"/>
  <c r="F60"/>
  <c r="E61"/>
  <c r="F61"/>
  <c r="E62"/>
  <c r="F62"/>
  <c r="E63"/>
  <c r="F63"/>
  <c r="C64"/>
  <c r="E65"/>
  <c r="F65"/>
  <c r="EB23" i="2"/>
  <c r="EC23"/>
  <c r="E67" i="13"/>
  <c r="F67"/>
  <c r="E68"/>
  <c r="F68"/>
  <c r="E69"/>
  <c r="F69"/>
  <c r="E70"/>
  <c r="F70"/>
  <c r="C72"/>
  <c r="E74"/>
  <c r="F74"/>
  <c r="E75"/>
  <c r="F75"/>
  <c r="E76"/>
  <c r="F76"/>
  <c r="E78"/>
  <c r="F78"/>
  <c r="E79"/>
  <c r="F79"/>
  <c r="E80"/>
  <c r="F80"/>
  <c r="E82"/>
  <c r="C83"/>
  <c r="EN23" i="2" s="1"/>
  <c r="D83" i="13"/>
  <c r="E84"/>
  <c r="F84"/>
  <c r="E85"/>
  <c r="F85"/>
  <c r="E86"/>
  <c r="F86"/>
  <c r="F87"/>
  <c r="C88"/>
  <c r="EQ23" i="2" s="1"/>
  <c r="D88" i="13"/>
  <c r="ER23" i="2" s="1"/>
  <c r="E89" i="13"/>
  <c r="F89"/>
  <c r="E90"/>
  <c r="F90"/>
  <c r="E91"/>
  <c r="E92"/>
  <c r="E93"/>
  <c r="C94"/>
  <c r="ET23" i="2" s="1"/>
  <c r="D94" i="13"/>
  <c r="EU23" i="2" s="1"/>
  <c r="E95" i="13"/>
  <c r="F95"/>
  <c r="E96"/>
  <c r="F96"/>
  <c r="E97"/>
  <c r="F97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AY22" i="2"/>
  <c r="E30" i="12"/>
  <c r="F30"/>
  <c r="C32"/>
  <c r="D32"/>
  <c r="BF22" i="2" s="1"/>
  <c r="E33" i="12"/>
  <c r="F33"/>
  <c r="E34"/>
  <c r="F34"/>
  <c r="C37"/>
  <c r="BQ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B22" i="2"/>
  <c r="EC22"/>
  <c r="E67" i="12"/>
  <c r="F67"/>
  <c r="E68"/>
  <c r="F68"/>
  <c r="E69"/>
  <c r="F69"/>
  <c r="E70"/>
  <c r="F70"/>
  <c r="D72"/>
  <c r="EF22" i="2" s="1"/>
  <c r="F73" i="12"/>
  <c r="E74"/>
  <c r="F74"/>
  <c r="F76"/>
  <c r="F77"/>
  <c r="C78"/>
  <c r="EH22" i="2" s="1"/>
  <c r="E79" i="12"/>
  <c r="F79"/>
  <c r="E80"/>
  <c r="F80"/>
  <c r="E81"/>
  <c r="F81"/>
  <c r="E83"/>
  <c r="F83"/>
  <c r="C84"/>
  <c r="EN22" i="2" s="1"/>
  <c r="D84" i="12"/>
  <c r="EO22" i="2" s="1"/>
  <c r="E85" i="12"/>
  <c r="F85"/>
  <c r="E86"/>
  <c r="F86"/>
  <c r="E87"/>
  <c r="F87"/>
  <c r="F88"/>
  <c r="E89"/>
  <c r="F89"/>
  <c r="E90"/>
  <c r="F90"/>
  <c r="E91"/>
  <c r="E92"/>
  <c r="E93"/>
  <c r="E94"/>
  <c r="F94"/>
  <c r="E95"/>
  <c r="F95"/>
  <c r="E97"/>
  <c r="F97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K21" i="2" s="1"/>
  <c r="E21" i="11"/>
  <c r="F21"/>
  <c r="E22"/>
  <c r="F22"/>
  <c r="E23"/>
  <c r="F23"/>
  <c r="E24"/>
  <c r="F24"/>
  <c r="D36"/>
  <c r="BR21" i="2" s="1"/>
  <c r="E27" i="11"/>
  <c r="F27"/>
  <c r="E28"/>
  <c r="F28"/>
  <c r="C29"/>
  <c r="D29"/>
  <c r="E30"/>
  <c r="F30"/>
  <c r="C31"/>
  <c r="D31"/>
  <c r="BF21" i="2" s="1"/>
  <c r="E32" i="11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B21" i="2"/>
  <c r="E67" i="11"/>
  <c r="F67"/>
  <c r="E68"/>
  <c r="F68"/>
  <c r="E69"/>
  <c r="F69"/>
  <c r="E70"/>
  <c r="F70"/>
  <c r="D72"/>
  <c r="EF21" i="2" s="1"/>
  <c r="E74" i="11"/>
  <c r="F74"/>
  <c r="E76"/>
  <c r="F76"/>
  <c r="C77"/>
  <c r="EH21" i="2" s="1"/>
  <c r="D77" i="11"/>
  <c r="E80"/>
  <c r="F80"/>
  <c r="F82"/>
  <c r="C83"/>
  <c r="EN21" i="2" s="1"/>
  <c r="D83" i="11"/>
  <c r="E84"/>
  <c r="F84"/>
  <c r="E85"/>
  <c r="F85"/>
  <c r="E86"/>
  <c r="F86"/>
  <c r="F87"/>
  <c r="C88"/>
  <c r="EQ21" i="2" s="1"/>
  <c r="D88" i="11"/>
  <c r="ER21" i="2" s="1"/>
  <c r="E89" i="11"/>
  <c r="F89"/>
  <c r="E90"/>
  <c r="F90"/>
  <c r="E91"/>
  <c r="E92"/>
  <c r="E93"/>
  <c r="C94"/>
  <c r="ET21" i="2" s="1"/>
  <c r="D94" i="11"/>
  <c r="EU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BF20" i="2" s="1"/>
  <c r="E32" i="10"/>
  <c r="F32"/>
  <c r="E33"/>
  <c r="F33"/>
  <c r="C36"/>
  <c r="BQ20" i="2" s="1"/>
  <c r="D36" i="10"/>
  <c r="BR20" i="2" s="1"/>
  <c r="E37" i="10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EB20" i="2"/>
  <c r="EC20"/>
  <c r="E67" i="10"/>
  <c r="F67"/>
  <c r="E68"/>
  <c r="F68"/>
  <c r="E69"/>
  <c r="F69"/>
  <c r="E70"/>
  <c r="F70"/>
  <c r="D72"/>
  <c r="E73"/>
  <c r="F73"/>
  <c r="E74"/>
  <c r="E75"/>
  <c r="F75"/>
  <c r="E76"/>
  <c r="F76"/>
  <c r="C77"/>
  <c r="EH20" i="2" s="1"/>
  <c r="D77" i="10"/>
  <c r="E78"/>
  <c r="F78"/>
  <c r="E79"/>
  <c r="F79"/>
  <c r="E80"/>
  <c r="F80"/>
  <c r="E81"/>
  <c r="F81"/>
  <c r="C82"/>
  <c r="D82"/>
  <c r="EL20" i="2" s="1"/>
  <c r="E83" i="10"/>
  <c r="F83"/>
  <c r="C84"/>
  <c r="EN20" i="2" s="1"/>
  <c r="D84" i="10"/>
  <c r="EO20" i="2" s="1"/>
  <c r="E85" i="10"/>
  <c r="F85"/>
  <c r="E86"/>
  <c r="F86"/>
  <c r="E87"/>
  <c r="F87"/>
  <c r="F88"/>
  <c r="C89"/>
  <c r="EQ20" i="2" s="1"/>
  <c r="D89" i="10"/>
  <c r="ER20" i="2" s="1"/>
  <c r="E90" i="10"/>
  <c r="F90"/>
  <c r="E91"/>
  <c r="F91"/>
  <c r="E92"/>
  <c r="E93"/>
  <c r="E94"/>
  <c r="C95"/>
  <c r="ET20" i="2" s="1"/>
  <c r="D95" i="10"/>
  <c r="E96"/>
  <c r="F96"/>
  <c r="E97"/>
  <c r="F97"/>
  <c r="E98"/>
  <c r="F98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7"/>
  <c r="BQ19" i="2" s="1"/>
  <c r="D37" i="9"/>
  <c r="BR19" i="2" s="1"/>
  <c r="E38" i="9"/>
  <c r="F38"/>
  <c r="E39"/>
  <c r="F39"/>
  <c r="E42"/>
  <c r="F42"/>
  <c r="E44"/>
  <c r="F44"/>
  <c r="E46"/>
  <c r="F46"/>
  <c r="E47"/>
  <c r="F47"/>
  <c r="E49"/>
  <c r="F49"/>
  <c r="F50"/>
  <c r="E51"/>
  <c r="F51"/>
  <c r="C58"/>
  <c r="E60"/>
  <c r="F60"/>
  <c r="F61"/>
  <c r="E62"/>
  <c r="F62"/>
  <c r="E63"/>
  <c r="F63"/>
  <c r="E64"/>
  <c r="F64"/>
  <c r="E65"/>
  <c r="F65"/>
  <c r="C66"/>
  <c r="E67"/>
  <c r="F67"/>
  <c r="EB19" i="2"/>
  <c r="E69" i="9"/>
  <c r="F69"/>
  <c r="E70"/>
  <c r="F70"/>
  <c r="E71"/>
  <c r="F71"/>
  <c r="E72"/>
  <c r="F72"/>
  <c r="C74"/>
  <c r="E75"/>
  <c r="F75"/>
  <c r="E76"/>
  <c r="F76"/>
  <c r="E78"/>
  <c r="F78"/>
  <c r="C79"/>
  <c r="D79"/>
  <c r="EI19" i="2" s="1"/>
  <c r="E80" i="9"/>
  <c r="F80"/>
  <c r="E81"/>
  <c r="F81"/>
  <c r="F82"/>
  <c r="E83"/>
  <c r="F83"/>
  <c r="C84"/>
  <c r="EK19" i="2" s="1"/>
  <c r="E85" i="9"/>
  <c r="F85"/>
  <c r="E86"/>
  <c r="F86"/>
  <c r="C87"/>
  <c r="D87"/>
  <c r="C94"/>
  <c r="D94"/>
  <c r="ER19" i="2" s="1"/>
  <c r="E95" i="9"/>
  <c r="F95"/>
  <c r="E96"/>
  <c r="F96"/>
  <c r="E97"/>
  <c r="E98"/>
  <c r="E99"/>
  <c r="C100"/>
  <c r="ET19" i="2" s="1"/>
  <c r="D100" i="9"/>
  <c r="EU19" i="2" s="1"/>
  <c r="E101" i="9"/>
  <c r="F101"/>
  <c r="E102"/>
  <c r="F102"/>
  <c r="E103"/>
  <c r="F103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AZ18" i="2" s="1"/>
  <c r="E30" i="8"/>
  <c r="F30"/>
  <c r="C31"/>
  <c r="D31"/>
  <c r="BF18" i="2" s="1"/>
  <c r="E32" i="8"/>
  <c r="F32"/>
  <c r="E33"/>
  <c r="BG18" i="2" s="1"/>
  <c r="F33" i="8"/>
  <c r="BH18" i="2" s="1"/>
  <c r="BH31" s="1"/>
  <c r="BO18"/>
  <c r="E35" i="8"/>
  <c r="F35"/>
  <c r="C37"/>
  <c r="F38"/>
  <c r="F39"/>
  <c r="E42"/>
  <c r="F42"/>
  <c r="E44"/>
  <c r="F44"/>
  <c r="E46"/>
  <c r="F46"/>
  <c r="E47"/>
  <c r="F47"/>
  <c r="C57"/>
  <c r="D57"/>
  <c r="E59"/>
  <c r="F59"/>
  <c r="F60"/>
  <c r="E61"/>
  <c r="F61"/>
  <c r="E62"/>
  <c r="F62"/>
  <c r="E63"/>
  <c r="F63"/>
  <c r="E64"/>
  <c r="F64"/>
  <c r="C65"/>
  <c r="DY18" i="2" s="1"/>
  <c r="D65" i="8"/>
  <c r="DZ18" i="2" s="1"/>
  <c r="E66" i="8"/>
  <c r="F66"/>
  <c r="E68"/>
  <c r="F68"/>
  <c r="E69"/>
  <c r="F69"/>
  <c r="E70"/>
  <c r="F70"/>
  <c r="E71"/>
  <c r="F71"/>
  <c r="D73"/>
  <c r="EF18" i="2" s="1"/>
  <c r="E74" i="8"/>
  <c r="F74"/>
  <c r="F75"/>
  <c r="E76"/>
  <c r="F76"/>
  <c r="E77"/>
  <c r="F77"/>
  <c r="D78"/>
  <c r="EI18" i="2" s="1"/>
  <c r="E79" i="8"/>
  <c r="F79"/>
  <c r="E80"/>
  <c r="F80"/>
  <c r="E83"/>
  <c r="F83"/>
  <c r="C85"/>
  <c r="EN18" i="2" s="1"/>
  <c r="D85" i="8"/>
  <c r="E86"/>
  <c r="F86"/>
  <c r="E87"/>
  <c r="F87"/>
  <c r="E88"/>
  <c r="F88"/>
  <c r="F89"/>
  <c r="C90"/>
  <c r="EQ18" i="2" s="1"/>
  <c r="D90" i="8"/>
  <c r="ER18" i="2" s="1"/>
  <c r="E91" i="8"/>
  <c r="F91"/>
  <c r="E92"/>
  <c r="F92"/>
  <c r="E93"/>
  <c r="E94"/>
  <c r="E95"/>
  <c r="C96"/>
  <c r="ET18" i="2" s="1"/>
  <c r="E97" i="8"/>
  <c r="F97"/>
  <c r="E98"/>
  <c r="F98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Q17" i="2" s="1"/>
  <c r="E88" i="7"/>
  <c r="F88"/>
  <c r="E89"/>
  <c r="F89"/>
  <c r="E90"/>
  <c r="E91"/>
  <c r="E92"/>
  <c r="C93"/>
  <c r="ET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AY16" i="2" s="1"/>
  <c r="D30" i="6"/>
  <c r="AZ16" i="2" s="1"/>
  <c r="E31" i="6"/>
  <c r="F31"/>
  <c r="D32"/>
  <c r="E33"/>
  <c r="F33"/>
  <c r="E34"/>
  <c r="F34"/>
  <c r="E37"/>
  <c r="F37"/>
  <c r="D38"/>
  <c r="BR16" i="2" s="1"/>
  <c r="C38" i="6"/>
  <c r="E39"/>
  <c r="E40"/>
  <c r="F40"/>
  <c r="F42"/>
  <c r="E43"/>
  <c r="F43"/>
  <c r="E44"/>
  <c r="F44"/>
  <c r="E45"/>
  <c r="F45"/>
  <c r="E48"/>
  <c r="F48"/>
  <c r="E49"/>
  <c r="F49"/>
  <c r="F50"/>
  <c r="E51"/>
  <c r="F51"/>
  <c r="C57"/>
  <c r="D57"/>
  <c r="E59"/>
  <c r="F59"/>
  <c r="F60"/>
  <c r="E61"/>
  <c r="F61"/>
  <c r="E62"/>
  <c r="F62"/>
  <c r="E63"/>
  <c r="F63"/>
  <c r="E64"/>
  <c r="F64"/>
  <c r="C65"/>
  <c r="E66"/>
  <c r="F66"/>
  <c r="EB16" i="2"/>
  <c r="E68" i="6"/>
  <c r="F68"/>
  <c r="E69"/>
  <c r="F69"/>
  <c r="E70"/>
  <c r="F70"/>
  <c r="E71"/>
  <c r="F71"/>
  <c r="D73"/>
  <c r="EF16" i="2" s="1"/>
  <c r="E74" i="6"/>
  <c r="F74"/>
  <c r="E75"/>
  <c r="F75"/>
  <c r="E77"/>
  <c r="F77"/>
  <c r="C80"/>
  <c r="D80"/>
  <c r="EI16" i="2" s="1"/>
  <c r="E81" i="6"/>
  <c r="F81"/>
  <c r="E82"/>
  <c r="F82"/>
  <c r="E83"/>
  <c r="F83"/>
  <c r="C84"/>
  <c r="EK16" i="2" s="1"/>
  <c r="D84" i="6"/>
  <c r="EL16" i="2" s="1"/>
  <c r="E85" i="6"/>
  <c r="F85"/>
  <c r="C86"/>
  <c r="EN16" i="2" s="1"/>
  <c r="D86" i="6"/>
  <c r="EO16" i="2" s="1"/>
  <c r="E87" i="6"/>
  <c r="F87"/>
  <c r="E88"/>
  <c r="F88"/>
  <c r="E89"/>
  <c r="F89"/>
  <c r="F90"/>
  <c r="C91"/>
  <c r="EQ16" i="2" s="1"/>
  <c r="D91" i="6"/>
  <c r="ER16" i="2" s="1"/>
  <c r="E92" i="6"/>
  <c r="F92"/>
  <c r="E93"/>
  <c r="F93"/>
  <c r="E94"/>
  <c r="E95"/>
  <c r="E96"/>
  <c r="C97"/>
  <c r="D97"/>
  <c r="EU16" i="2" s="1"/>
  <c r="E98" i="6"/>
  <c r="F98"/>
  <c r="E99"/>
  <c r="F99"/>
  <c r="E100"/>
  <c r="F100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D30"/>
  <c r="F31"/>
  <c r="C32"/>
  <c r="BE15" i="2" s="1"/>
  <c r="E33" i="5"/>
  <c r="E34"/>
  <c r="F34"/>
  <c r="C35"/>
  <c r="BK15" i="2" s="1"/>
  <c r="D35" i="5"/>
  <c r="E36"/>
  <c r="F36"/>
  <c r="C37"/>
  <c r="BQ15" i="2" s="1"/>
  <c r="D37" i="5"/>
  <c r="E38"/>
  <c r="F38"/>
  <c r="E39"/>
  <c r="F39"/>
  <c r="E42"/>
  <c r="F42"/>
  <c r="E43"/>
  <c r="F43"/>
  <c r="E44"/>
  <c r="F44"/>
  <c r="E46"/>
  <c r="F46"/>
  <c r="E49"/>
  <c r="F49"/>
  <c r="F50"/>
  <c r="E51"/>
  <c r="F51"/>
  <c r="C57"/>
  <c r="D57"/>
  <c r="E59"/>
  <c r="F59"/>
  <c r="F60"/>
  <c r="F61"/>
  <c r="F62"/>
  <c r="E63"/>
  <c r="F63"/>
  <c r="E64"/>
  <c r="F64"/>
  <c r="E66"/>
  <c r="F66"/>
  <c r="F67"/>
  <c r="E68"/>
  <c r="F68"/>
  <c r="E69"/>
  <c r="F69"/>
  <c r="E70"/>
  <c r="F70"/>
  <c r="E72"/>
  <c r="F72"/>
  <c r="D73"/>
  <c r="EF15" i="2" s="1"/>
  <c r="E74" i="5"/>
  <c r="F74"/>
  <c r="E75"/>
  <c r="F75"/>
  <c r="E76"/>
  <c r="E77"/>
  <c r="F77"/>
  <c r="C78"/>
  <c r="D78"/>
  <c r="EI15" i="2" s="1"/>
  <c r="E79" i="5"/>
  <c r="F79"/>
  <c r="E80"/>
  <c r="F80"/>
  <c r="E81"/>
  <c r="E82"/>
  <c r="F82"/>
  <c r="C83"/>
  <c r="EK15" i="2" s="1"/>
  <c r="D83" i="5"/>
  <c r="E84"/>
  <c r="F84"/>
  <c r="E85"/>
  <c r="F85"/>
  <c r="C86"/>
  <c r="EN15" i="2" s="1"/>
  <c r="D86" i="5"/>
  <c r="EO15" i="2" s="1"/>
  <c r="E87" i="5"/>
  <c r="F87"/>
  <c r="E88"/>
  <c r="F88"/>
  <c r="E89"/>
  <c r="F89"/>
  <c r="E90"/>
  <c r="F90"/>
  <c r="C91"/>
  <c r="EQ15" i="2" s="1"/>
  <c r="D91" i="5"/>
  <c r="ER15" i="2" s="1"/>
  <c r="E92" i="5"/>
  <c r="F92"/>
  <c r="E93"/>
  <c r="F93"/>
  <c r="E94"/>
  <c r="E95"/>
  <c r="E96"/>
  <c r="E97"/>
  <c r="F97"/>
  <c r="E98"/>
  <c r="F98"/>
  <c r="E99"/>
  <c r="F99"/>
  <c r="E100"/>
  <c r="F100"/>
  <c r="C5" i="4"/>
  <c r="E6"/>
  <c r="F6"/>
  <c r="E8"/>
  <c r="F8"/>
  <c r="E9"/>
  <c r="F9"/>
  <c r="E10"/>
  <c r="F10"/>
  <c r="E11"/>
  <c r="F11"/>
  <c r="E13"/>
  <c r="F13"/>
  <c r="E15"/>
  <c r="F15"/>
  <c r="E16"/>
  <c r="F16"/>
  <c r="E18"/>
  <c r="F18"/>
  <c r="E19"/>
  <c r="F19"/>
  <c r="E21"/>
  <c r="F21"/>
  <c r="E22"/>
  <c r="F22"/>
  <c r="E23"/>
  <c r="F23"/>
  <c r="E24"/>
  <c r="F24"/>
  <c r="E27"/>
  <c r="F27"/>
  <c r="E28"/>
  <c r="F28"/>
  <c r="AY14" i="2"/>
  <c r="AZ14"/>
  <c r="E30" i="4"/>
  <c r="F30"/>
  <c r="E32"/>
  <c r="F32"/>
  <c r="E33"/>
  <c r="F33"/>
  <c r="E35"/>
  <c r="F35"/>
  <c r="E38"/>
  <c r="E39"/>
  <c r="F39"/>
  <c r="E40"/>
  <c r="F40"/>
  <c r="E41"/>
  <c r="F41"/>
  <c r="E42"/>
  <c r="F42"/>
  <c r="E43"/>
  <c r="F43"/>
  <c r="F44"/>
  <c r="E45"/>
  <c r="F45"/>
  <c r="E53"/>
  <c r="F53"/>
  <c r="F54"/>
  <c r="E55"/>
  <c r="F55"/>
  <c r="E56"/>
  <c r="F56"/>
  <c r="E57"/>
  <c r="F57"/>
  <c r="E58"/>
  <c r="F58"/>
  <c r="E60"/>
  <c r="F60"/>
  <c r="E62"/>
  <c r="F62"/>
  <c r="E63"/>
  <c r="F63"/>
  <c r="E64"/>
  <c r="F64"/>
  <c r="E65"/>
  <c r="F65"/>
  <c r="E68"/>
  <c r="F68"/>
  <c r="E69"/>
  <c r="F69"/>
  <c r="E70"/>
  <c r="F70"/>
  <c r="E71"/>
  <c r="F71"/>
  <c r="E73"/>
  <c r="F73"/>
  <c r="E74"/>
  <c r="F74"/>
  <c r="E75"/>
  <c r="F75"/>
  <c r="E77"/>
  <c r="F77"/>
  <c r="E78"/>
  <c r="F78"/>
  <c r="E79"/>
  <c r="F79"/>
  <c r="E80"/>
  <c r="F80"/>
  <c r="E81"/>
  <c r="F81"/>
  <c r="F82"/>
  <c r="F84"/>
  <c r="E85"/>
  <c r="F85"/>
  <c r="E86"/>
  <c r="E87"/>
  <c r="E88"/>
  <c r="D89"/>
  <c r="E89" s="1"/>
  <c r="E90"/>
  <c r="F90"/>
  <c r="E91"/>
  <c r="F91"/>
  <c r="E92"/>
  <c r="F92"/>
  <c r="F9" i="1"/>
  <c r="C9" s="1"/>
  <c r="C11"/>
  <c r="F13"/>
  <c r="C16"/>
  <c r="G19"/>
  <c r="D19" s="1"/>
  <c r="L14" i="2"/>
  <c r="M14"/>
  <c r="O14"/>
  <c r="P14"/>
  <c r="R14"/>
  <c r="S14"/>
  <c r="U14"/>
  <c r="V14"/>
  <c r="X14"/>
  <c r="AA14"/>
  <c r="AB14"/>
  <c r="AD14"/>
  <c r="AG14"/>
  <c r="AH14"/>
  <c r="AL14"/>
  <c r="AO14"/>
  <c r="AT14"/>
  <c r="AX14"/>
  <c r="BB14"/>
  <c r="BC14"/>
  <c r="BC31" s="1"/>
  <c r="BJ14"/>
  <c r="BV14"/>
  <c r="BV31" s="1"/>
  <c r="BV32" s="1"/>
  <c r="BV33" s="1"/>
  <c r="BY14"/>
  <c r="BY31" s="1"/>
  <c r="CC14"/>
  <c r="CF14"/>
  <c r="CG14"/>
  <c r="CJ14"/>
  <c r="CL14"/>
  <c r="CZ14"/>
  <c r="DM14"/>
  <c r="DS14"/>
  <c r="DT14"/>
  <c r="DV14"/>
  <c r="DW14"/>
  <c r="DY14"/>
  <c r="DZ14"/>
  <c r="EN14"/>
  <c r="EO14"/>
  <c r="ET14"/>
  <c r="I15"/>
  <c r="L15"/>
  <c r="M15"/>
  <c r="O15"/>
  <c r="P15"/>
  <c r="R15"/>
  <c r="S15"/>
  <c r="U15"/>
  <c r="V15"/>
  <c r="X15"/>
  <c r="AA15"/>
  <c r="AB15"/>
  <c r="AE15"/>
  <c r="AG15"/>
  <c r="AH15"/>
  <c r="AL15"/>
  <c r="AM15"/>
  <c r="AN15"/>
  <c r="AX15"/>
  <c r="BJ15"/>
  <c r="BV15"/>
  <c r="BY15"/>
  <c r="CC15"/>
  <c r="CD15"/>
  <c r="CF15"/>
  <c r="CG15"/>
  <c r="CJ15"/>
  <c r="CL15"/>
  <c r="CM15"/>
  <c r="CO15"/>
  <c r="CP15"/>
  <c r="CZ15"/>
  <c r="DM15"/>
  <c r="DP15"/>
  <c r="DQ15"/>
  <c r="DS15"/>
  <c r="DT15"/>
  <c r="DV15"/>
  <c r="DW15"/>
  <c r="DY15"/>
  <c r="DZ15"/>
  <c r="EC15"/>
  <c r="ET15"/>
  <c r="EU15"/>
  <c r="I16"/>
  <c r="L16"/>
  <c r="M16"/>
  <c r="O16"/>
  <c r="P16"/>
  <c r="R16"/>
  <c r="S16"/>
  <c r="U16"/>
  <c r="V16"/>
  <c r="X16"/>
  <c r="AA16"/>
  <c r="AB16"/>
  <c r="AD16"/>
  <c r="AE16"/>
  <c r="AG16"/>
  <c r="AH16"/>
  <c r="AL16"/>
  <c r="AM16"/>
  <c r="AN16"/>
  <c r="AP16"/>
  <c r="AT16"/>
  <c r="AX16"/>
  <c r="BJ16"/>
  <c r="BV16"/>
  <c r="BY16"/>
  <c r="CC16"/>
  <c r="CD16"/>
  <c r="CL16"/>
  <c r="CM16"/>
  <c r="CT16"/>
  <c r="CZ16"/>
  <c r="DM16"/>
  <c r="DP16"/>
  <c r="DS16"/>
  <c r="DT16"/>
  <c r="DW16"/>
  <c r="DY16"/>
  <c r="DZ16"/>
  <c r="I17"/>
  <c r="L17"/>
  <c r="M17"/>
  <c r="O17"/>
  <c r="P17"/>
  <c r="R17"/>
  <c r="S17"/>
  <c r="U17"/>
  <c r="V17"/>
  <c r="X17"/>
  <c r="AA17"/>
  <c r="AB17"/>
  <c r="AD17"/>
  <c r="AE17"/>
  <c r="AG17"/>
  <c r="AH17"/>
  <c r="AL17"/>
  <c r="AO17"/>
  <c r="AT17"/>
  <c r="AX17"/>
  <c r="BE17"/>
  <c r="BF17"/>
  <c r="BJ17"/>
  <c r="BV17"/>
  <c r="BY17"/>
  <c r="CL17"/>
  <c r="CM17"/>
  <c r="CT17"/>
  <c r="CZ17"/>
  <c r="DM17"/>
  <c r="DS17"/>
  <c r="DT17"/>
  <c r="DV17"/>
  <c r="DW17"/>
  <c r="DY17"/>
  <c r="DZ17"/>
  <c r="I18"/>
  <c r="L18"/>
  <c r="M18"/>
  <c r="O18"/>
  <c r="P18"/>
  <c r="R18"/>
  <c r="S18"/>
  <c r="U18"/>
  <c r="V18"/>
  <c r="X18"/>
  <c r="AA18"/>
  <c r="AB18"/>
  <c r="AD18"/>
  <c r="AE18"/>
  <c r="AG18"/>
  <c r="AH18"/>
  <c r="AJ18"/>
  <c r="AK18"/>
  <c r="AO18"/>
  <c r="AX18"/>
  <c r="BE18"/>
  <c r="BV18"/>
  <c r="BY18"/>
  <c r="CC18"/>
  <c r="CD18"/>
  <c r="CF18"/>
  <c r="CG18"/>
  <c r="CJ18"/>
  <c r="CM18"/>
  <c r="CO18"/>
  <c r="CP18"/>
  <c r="CZ18"/>
  <c r="DM18"/>
  <c r="DP18"/>
  <c r="DS18"/>
  <c r="DT18"/>
  <c r="DV18"/>
  <c r="DW18"/>
  <c r="I19"/>
  <c r="L19"/>
  <c r="M19"/>
  <c r="O19"/>
  <c r="P19"/>
  <c r="R19"/>
  <c r="S19"/>
  <c r="U19"/>
  <c r="V19"/>
  <c r="X19"/>
  <c r="AA19"/>
  <c r="AB19"/>
  <c r="AD19"/>
  <c r="AE19"/>
  <c r="AG19"/>
  <c r="AH19"/>
  <c r="AL19"/>
  <c r="AM19"/>
  <c r="AX19"/>
  <c r="BE19"/>
  <c r="BF19"/>
  <c r="BJ19"/>
  <c r="BV19"/>
  <c r="BY19"/>
  <c r="CJ19"/>
  <c r="CL19"/>
  <c r="CM19"/>
  <c r="CP19"/>
  <c r="CQ19" s="1"/>
  <c r="CZ19"/>
  <c r="DM19"/>
  <c r="DP19"/>
  <c r="DQ19"/>
  <c r="DS19"/>
  <c r="DT19"/>
  <c r="DV19"/>
  <c r="DW19"/>
  <c r="DY19"/>
  <c r="DZ19"/>
  <c r="I20"/>
  <c r="L20"/>
  <c r="M20"/>
  <c r="O20"/>
  <c r="P20"/>
  <c r="R20"/>
  <c r="S20"/>
  <c r="U20"/>
  <c r="V20"/>
  <c r="X20"/>
  <c r="AA20"/>
  <c r="AB20"/>
  <c r="AD20"/>
  <c r="AE20"/>
  <c r="AG20"/>
  <c r="AH20"/>
  <c r="AL20"/>
  <c r="AO20"/>
  <c r="AT20"/>
  <c r="AX20"/>
  <c r="BE20"/>
  <c r="BJ20"/>
  <c r="BV20"/>
  <c r="BY20"/>
  <c r="CD20"/>
  <c r="CF20"/>
  <c r="CG20"/>
  <c r="CJ20"/>
  <c r="CL20"/>
  <c r="CM20"/>
  <c r="CP20"/>
  <c r="CR20"/>
  <c r="CS20"/>
  <c r="CZ20"/>
  <c r="DM20"/>
  <c r="DP20"/>
  <c r="DS20"/>
  <c r="DT20"/>
  <c r="DV20"/>
  <c r="DW20"/>
  <c r="DY20"/>
  <c r="DZ20"/>
  <c r="I21"/>
  <c r="M21"/>
  <c r="P21"/>
  <c r="S21"/>
  <c r="V21"/>
  <c r="AB21"/>
  <c r="AE21"/>
  <c r="AH21"/>
  <c r="AT21"/>
  <c r="L21"/>
  <c r="O21"/>
  <c r="R21"/>
  <c r="U21"/>
  <c r="X21"/>
  <c r="AA21"/>
  <c r="AD21"/>
  <c r="AG21"/>
  <c r="AJ21"/>
  <c r="AO21"/>
  <c r="AX21"/>
  <c r="BE21"/>
  <c r="BJ21"/>
  <c r="BV21"/>
  <c r="BY21"/>
  <c r="CC21"/>
  <c r="CD21"/>
  <c r="CJ21"/>
  <c r="CM21"/>
  <c r="CF21"/>
  <c r="CG21"/>
  <c r="CL21"/>
  <c r="CZ21"/>
  <c r="DM21"/>
  <c r="DP21"/>
  <c r="DS21"/>
  <c r="DT21"/>
  <c r="DV21"/>
  <c r="DW21"/>
  <c r="DY21"/>
  <c r="DZ21"/>
  <c r="I22"/>
  <c r="M22"/>
  <c r="P22"/>
  <c r="S22"/>
  <c r="V22"/>
  <c r="AB22"/>
  <c r="AE22"/>
  <c r="AH22"/>
  <c r="AT22"/>
  <c r="L22"/>
  <c r="O22"/>
  <c r="R22"/>
  <c r="U22"/>
  <c r="X22"/>
  <c r="AA22"/>
  <c r="AD22"/>
  <c r="AG22"/>
  <c r="AX22"/>
  <c r="BJ22"/>
  <c r="BV22"/>
  <c r="BY22"/>
  <c r="CC22"/>
  <c r="CD22"/>
  <c r="CM22"/>
  <c r="CF22"/>
  <c r="CG22"/>
  <c r="CJ22"/>
  <c r="CL22"/>
  <c r="CZ22"/>
  <c r="DP22"/>
  <c r="DS22"/>
  <c r="DT22"/>
  <c r="DV22"/>
  <c r="DW22"/>
  <c r="DY22"/>
  <c r="ET22"/>
  <c r="EU22"/>
  <c r="M23"/>
  <c r="P23"/>
  <c r="S23"/>
  <c r="V23"/>
  <c r="AB23"/>
  <c r="AE23"/>
  <c r="AH23"/>
  <c r="CD23"/>
  <c r="CJ23"/>
  <c r="CM23"/>
  <c r="O23"/>
  <c r="R23"/>
  <c r="U23"/>
  <c r="X23"/>
  <c r="AA23"/>
  <c r="AG23"/>
  <c r="AL23"/>
  <c r="AO23"/>
  <c r="AT23"/>
  <c r="AX23"/>
  <c r="BE23"/>
  <c r="BF23"/>
  <c r="BJ23"/>
  <c r="BV23"/>
  <c r="BY23"/>
  <c r="CC23"/>
  <c r="CL23"/>
  <c r="CT23"/>
  <c r="CZ23"/>
  <c r="DM23"/>
  <c r="DP23"/>
  <c r="DQ23"/>
  <c r="DS23"/>
  <c r="DT23"/>
  <c r="DV23"/>
  <c r="DW23"/>
  <c r="DY23"/>
  <c r="DZ23"/>
  <c r="M24"/>
  <c r="P24"/>
  <c r="S24"/>
  <c r="V24"/>
  <c r="AB24"/>
  <c r="AE24"/>
  <c r="CD24"/>
  <c r="CJ24"/>
  <c r="CM24"/>
  <c r="L24"/>
  <c r="O24"/>
  <c r="R24"/>
  <c r="U24"/>
  <c r="X24"/>
  <c r="AG24"/>
  <c r="AJ24"/>
  <c r="AO24"/>
  <c r="AT24"/>
  <c r="AX24"/>
  <c r="BE24"/>
  <c r="BF24"/>
  <c r="BJ24"/>
  <c r="BV24"/>
  <c r="BY24"/>
  <c r="CC24"/>
  <c r="CF24"/>
  <c r="CG24"/>
  <c r="CL24"/>
  <c r="CZ24"/>
  <c r="DM24"/>
  <c r="DP24"/>
  <c r="DS24"/>
  <c r="DT24"/>
  <c r="DV24"/>
  <c r="DW24"/>
  <c r="DY24"/>
  <c r="DZ24"/>
  <c r="M25"/>
  <c r="S25"/>
  <c r="V25"/>
  <c r="AB25"/>
  <c r="AE25"/>
  <c r="AH25"/>
  <c r="AO25"/>
  <c r="AT25"/>
  <c r="CD25"/>
  <c r="CJ25"/>
  <c r="CM25"/>
  <c r="I25"/>
  <c r="L25"/>
  <c r="O25"/>
  <c r="R25"/>
  <c r="U25"/>
  <c r="X25"/>
  <c r="AA25"/>
  <c r="AD25"/>
  <c r="AG25"/>
  <c r="AL25"/>
  <c r="AX25"/>
  <c r="BE25"/>
  <c r="BF25"/>
  <c r="BJ25"/>
  <c r="BV25"/>
  <c r="BY25"/>
  <c r="CC25"/>
  <c r="CF25"/>
  <c r="CG25"/>
  <c r="CL25"/>
  <c r="CO25"/>
  <c r="CZ25"/>
  <c r="DM25"/>
  <c r="DP25"/>
  <c r="DQ25"/>
  <c r="DS25"/>
  <c r="DT25"/>
  <c r="DV25"/>
  <c r="DW25"/>
  <c r="DY25"/>
  <c r="DZ25"/>
  <c r="M26"/>
  <c r="P26"/>
  <c r="S26"/>
  <c r="V26"/>
  <c r="AB26"/>
  <c r="AE26"/>
  <c r="AH26"/>
  <c r="AT26"/>
  <c r="CD26"/>
  <c r="CM26"/>
  <c r="I26"/>
  <c r="L26"/>
  <c r="O26"/>
  <c r="R26"/>
  <c r="U26"/>
  <c r="X26"/>
  <c r="AA26"/>
  <c r="AD26"/>
  <c r="AG26"/>
  <c r="AL26"/>
  <c r="AX26"/>
  <c r="BE26"/>
  <c r="BJ26"/>
  <c r="BV26"/>
  <c r="BY26"/>
  <c r="CF26"/>
  <c r="CG26"/>
  <c r="CJ26"/>
  <c r="CL26"/>
  <c r="CZ26"/>
  <c r="DM26"/>
  <c r="DP26"/>
  <c r="DQ26"/>
  <c r="DS26"/>
  <c r="DT26"/>
  <c r="DV26"/>
  <c r="DW26"/>
  <c r="DY26"/>
  <c r="DZ26"/>
  <c r="M27"/>
  <c r="P27"/>
  <c r="S27"/>
  <c r="V27"/>
  <c r="AB27"/>
  <c r="AE27"/>
  <c r="AH27"/>
  <c r="AT27"/>
  <c r="CD27"/>
  <c r="CM27"/>
  <c r="I27"/>
  <c r="L27"/>
  <c r="O27"/>
  <c r="R27"/>
  <c r="U27"/>
  <c r="X27"/>
  <c r="AA27"/>
  <c r="AD27"/>
  <c r="AG27"/>
  <c r="AL27"/>
  <c r="AX27"/>
  <c r="BJ27"/>
  <c r="BV27"/>
  <c r="BY27"/>
  <c r="CC27"/>
  <c r="CJ27"/>
  <c r="CL27"/>
  <c r="CZ27"/>
  <c r="DM27"/>
  <c r="DP27"/>
  <c r="DQ27"/>
  <c r="DS27"/>
  <c r="DT27"/>
  <c r="DV27"/>
  <c r="DW27"/>
  <c r="DY27"/>
  <c r="DZ27"/>
  <c r="M28"/>
  <c r="P28"/>
  <c r="S28"/>
  <c r="V28"/>
  <c r="AE28"/>
  <c r="AH28"/>
  <c r="CD28"/>
  <c r="CM28"/>
  <c r="I28"/>
  <c r="L28"/>
  <c r="O28"/>
  <c r="R28"/>
  <c r="U28"/>
  <c r="X28"/>
  <c r="AA28"/>
  <c r="AD28"/>
  <c r="AG28"/>
  <c r="AL28"/>
  <c r="AO28"/>
  <c r="AX28"/>
  <c r="BG28"/>
  <c r="BJ28"/>
  <c r="BV28"/>
  <c r="BY28"/>
  <c r="CC28"/>
  <c r="CF28"/>
  <c r="CG28"/>
  <c r="CJ28"/>
  <c r="CL28"/>
  <c r="CZ28"/>
  <c r="DB28"/>
  <c r="DC28" s="1"/>
  <c r="DM28"/>
  <c r="DP28"/>
  <c r="DQ28"/>
  <c r="DS28"/>
  <c r="DT28"/>
  <c r="DV28"/>
  <c r="DW28"/>
  <c r="DY28"/>
  <c r="M29"/>
  <c r="P29"/>
  <c r="S29"/>
  <c r="V29"/>
  <c r="AB29"/>
  <c r="AE29"/>
  <c r="AH29"/>
  <c r="CD29"/>
  <c r="CJ29"/>
  <c r="CM29"/>
  <c r="L29"/>
  <c r="O29"/>
  <c r="R29"/>
  <c r="U29"/>
  <c r="X29"/>
  <c r="AA29"/>
  <c r="AD29"/>
  <c r="AG29"/>
  <c r="AL29"/>
  <c r="AX29"/>
  <c r="BJ29"/>
  <c r="BV29"/>
  <c r="BY29"/>
  <c r="CC29"/>
  <c r="CF29"/>
  <c r="CG29"/>
  <c r="CL29"/>
  <c r="CT29"/>
  <c r="CZ29"/>
  <c r="DM29"/>
  <c r="DP29"/>
  <c r="DS29"/>
  <c r="DT29"/>
  <c r="DV29"/>
  <c r="DW29"/>
  <c r="EK29"/>
  <c r="BA30"/>
  <c r="AV31"/>
  <c r="AV32" s="1"/>
  <c r="AV33" s="1"/>
  <c r="AW31"/>
  <c r="BT31"/>
  <c r="BT32" s="1"/>
  <c r="BT33" s="1"/>
  <c r="BW31"/>
  <c r="BW32" s="1"/>
  <c r="BW33" s="1"/>
  <c r="BX31"/>
  <c r="CU31"/>
  <c r="CU32" s="1"/>
  <c r="CU33" s="1"/>
  <c r="CX31"/>
  <c r="CX32" s="1"/>
  <c r="CX33" s="1"/>
  <c r="CY31"/>
  <c r="CY32" s="1"/>
  <c r="CY33" s="1"/>
  <c r="DA31"/>
  <c r="DD31"/>
  <c r="DD32" s="1"/>
  <c r="DD33" s="1"/>
  <c r="E24" i="1"/>
  <c r="F27"/>
  <c r="C27" s="1"/>
  <c r="AO22" i="2"/>
  <c r="AO29"/>
  <c r="AO27"/>
  <c r="AO26"/>
  <c r="F39" i="6"/>
  <c r="BS14" i="2"/>
  <c r="E73" i="11"/>
  <c r="E58" i="12"/>
  <c r="F58"/>
  <c r="C56"/>
  <c r="DM22" i="2"/>
  <c r="F78" i="14"/>
  <c r="C77"/>
  <c r="EH24" i="2" s="1"/>
  <c r="E78" i="14"/>
  <c r="F80" i="15"/>
  <c r="C77"/>
  <c r="EH25" i="2" s="1"/>
  <c r="E80" i="15"/>
  <c r="F74" i="18"/>
  <c r="E74"/>
  <c r="C69" i="19"/>
  <c r="F72"/>
  <c r="E72"/>
  <c r="E42" i="6"/>
  <c r="E77" i="9"/>
  <c r="F75" i="11"/>
  <c r="E77" i="12"/>
  <c r="F76" i="17"/>
  <c r="C75"/>
  <c r="EE27" i="2" s="1"/>
  <c r="E76" i="17"/>
  <c r="E81" i="8"/>
  <c r="F81"/>
  <c r="E75"/>
  <c r="CC20" i="2"/>
  <c r="C72" i="12"/>
  <c r="C38" i="19"/>
  <c r="F39"/>
  <c r="BL15" i="2" l="1"/>
  <c r="BL31" s="1"/>
  <c r="BO15"/>
  <c r="AQ31"/>
  <c r="J15" i="1" s="1"/>
  <c r="D15" s="1"/>
  <c r="DP31" i="2"/>
  <c r="AT31"/>
  <c r="D25" i="14"/>
  <c r="D25" i="17"/>
  <c r="D25" i="13"/>
  <c r="CO31" i="2"/>
  <c r="CO33" s="1"/>
  <c r="D25" i="16"/>
  <c r="CQ29" i="2"/>
  <c r="CQ20"/>
  <c r="E20" i="14"/>
  <c r="CQ23" i="2"/>
  <c r="CQ21"/>
  <c r="CA17"/>
  <c r="CQ28"/>
  <c r="CQ27"/>
  <c r="CQ26"/>
  <c r="CQ25"/>
  <c r="CQ24"/>
  <c r="CQ22"/>
  <c r="CQ18"/>
  <c r="CQ16"/>
  <c r="CQ15"/>
  <c r="BP29"/>
  <c r="F28"/>
  <c r="F27"/>
  <c r="F23"/>
  <c r="F22"/>
  <c r="F20"/>
  <c r="BP19"/>
  <c r="BP17"/>
  <c r="F16"/>
  <c r="C25" i="12"/>
  <c r="AS19" i="2"/>
  <c r="F19" s="1"/>
  <c r="C25" i="9"/>
  <c r="C25" i="6"/>
  <c r="C25" i="16"/>
  <c r="D99" i="8"/>
  <c r="EH27" i="2"/>
  <c r="EJ27" s="1"/>
  <c r="BP25"/>
  <c r="BP18"/>
  <c r="BP28"/>
  <c r="BZ14"/>
  <c r="BZ16"/>
  <c r="BA16"/>
  <c r="C93" i="4"/>
  <c r="J31" i="2"/>
  <c r="E64" i="11"/>
  <c r="D25" i="19"/>
  <c r="D95"/>
  <c r="E14" i="12"/>
  <c r="EQ29" i="2"/>
  <c r="ES29" s="1"/>
  <c r="F17" i="14"/>
  <c r="C98" i="12"/>
  <c r="D98"/>
  <c r="D25"/>
  <c r="V31" i="2"/>
  <c r="V33" s="1"/>
  <c r="EQ14"/>
  <c r="ES14" s="1"/>
  <c r="D25" i="11"/>
  <c r="F40"/>
  <c r="C25"/>
  <c r="D93" i="4"/>
  <c r="K27" i="2"/>
  <c r="F59" i="4"/>
  <c r="H9" i="1"/>
  <c r="E17" i="19"/>
  <c r="F81" i="14"/>
  <c r="BA23" i="2"/>
  <c r="E41" i="9"/>
  <c r="EB15" i="2"/>
  <c r="ED15" s="1"/>
  <c r="E5" i="12"/>
  <c r="F55" i="16"/>
  <c r="E41" i="8"/>
  <c r="CK27" i="2"/>
  <c r="E72" i="13"/>
  <c r="F7" i="7"/>
  <c r="E66" i="15"/>
  <c r="D25" i="18"/>
  <c r="F5" i="17"/>
  <c r="AC24" i="2"/>
  <c r="CK28"/>
  <c r="F32" i="18"/>
  <c r="F12" i="12"/>
  <c r="E7"/>
  <c r="AU21" i="2"/>
  <c r="F5" i="16"/>
  <c r="E26" i="5"/>
  <c r="E5" i="14"/>
  <c r="DR29" i="2"/>
  <c r="K26"/>
  <c r="E5" i="13"/>
  <c r="AU22" i="2"/>
  <c r="F82" i="12"/>
  <c r="E5" i="8"/>
  <c r="F26" i="5"/>
  <c r="F26" i="12"/>
  <c r="AR22" i="2"/>
  <c r="F7" i="12"/>
  <c r="E37" i="5"/>
  <c r="C25"/>
  <c r="CH23" i="2"/>
  <c r="Z20"/>
  <c r="E56" i="13"/>
  <c r="N22" i="2"/>
  <c r="F14" i="11"/>
  <c r="DO18" i="2"/>
  <c r="K17"/>
  <c r="AF14"/>
  <c r="C36" i="16"/>
  <c r="BQ26" i="2" s="1"/>
  <c r="F26" s="1"/>
  <c r="E17" i="16"/>
  <c r="ED23" i="2"/>
  <c r="E17" i="13"/>
  <c r="E26" i="12"/>
  <c r="CK22" i="2"/>
  <c r="F5" i="12"/>
  <c r="CH19" i="2"/>
  <c r="AI18"/>
  <c r="AC18"/>
  <c r="AI17"/>
  <c r="E26" i="6"/>
  <c r="F80"/>
  <c r="F20"/>
  <c r="DU29" i="2"/>
  <c r="AF28"/>
  <c r="E26" i="17"/>
  <c r="E26" i="14"/>
  <c r="E66"/>
  <c r="CN23" i="2"/>
  <c r="EA23"/>
  <c r="W21"/>
  <c r="E37" i="11"/>
  <c r="EA21" i="2"/>
  <c r="N21"/>
  <c r="F14" i="9"/>
  <c r="E92"/>
  <c r="CN18" i="2"/>
  <c r="F57" i="8"/>
  <c r="E7"/>
  <c r="W18" i="2"/>
  <c r="E34" i="7"/>
  <c r="F67" i="6"/>
  <c r="E35" i="5"/>
  <c r="E32"/>
  <c r="E67"/>
  <c r="DU15" i="2"/>
  <c r="CN15"/>
  <c r="F57" i="5"/>
  <c r="C4"/>
  <c r="BN15" i="2"/>
  <c r="F15" s="1"/>
  <c r="F35" i="5"/>
  <c r="F30"/>
  <c r="AU14" i="2"/>
  <c r="F17" i="4"/>
  <c r="F5"/>
  <c r="F26" i="19"/>
  <c r="E17" i="17"/>
  <c r="CH27" i="2"/>
  <c r="EA25"/>
  <c r="AU25"/>
  <c r="CH25"/>
  <c r="Z25"/>
  <c r="CE25"/>
  <c r="F37" i="14"/>
  <c r="F35" s="1"/>
  <c r="F34" s="1"/>
  <c r="F20" i="13"/>
  <c r="F64"/>
  <c r="Q22" i="2"/>
  <c r="E94" i="11"/>
  <c r="F41" i="9"/>
  <c r="E20"/>
  <c r="F37"/>
  <c r="F87"/>
  <c r="F7" i="8"/>
  <c r="ES18" i="2"/>
  <c r="F14" i="8"/>
  <c r="F80" i="7"/>
  <c r="E38" i="6"/>
  <c r="E35"/>
  <c r="CE15" i="2"/>
  <c r="AF15"/>
  <c r="W15"/>
  <c r="EP15"/>
  <c r="E83" i="4"/>
  <c r="E72"/>
  <c r="D4"/>
  <c r="F7" i="19"/>
  <c r="BA27" i="2"/>
  <c r="F31" i="16"/>
  <c r="E29"/>
  <c r="F31" i="15"/>
  <c r="F29"/>
  <c r="E20"/>
  <c r="AI24" i="2"/>
  <c r="CK23"/>
  <c r="E26" i="13"/>
  <c r="CH22" i="2"/>
  <c r="F94" i="11"/>
  <c r="F37"/>
  <c r="E7"/>
  <c r="DJ20" i="2"/>
  <c r="CT20"/>
  <c r="E26" i="10"/>
  <c r="F20"/>
  <c r="E12"/>
  <c r="BG19" i="2"/>
  <c r="BZ18"/>
  <c r="E14" i="8"/>
  <c r="T18" i="2"/>
  <c r="F82" i="8"/>
  <c r="F17" i="7"/>
  <c r="DJ16" i="2"/>
  <c r="F38" i="6"/>
  <c r="F86"/>
  <c r="C4"/>
  <c r="DR15" i="2"/>
  <c r="F20" i="5"/>
  <c r="DX14" i="2"/>
  <c r="CE14"/>
  <c r="E7" i="19"/>
  <c r="D4"/>
  <c r="E34"/>
  <c r="AC29" i="2"/>
  <c r="DK29"/>
  <c r="DH29" s="1"/>
  <c r="E84" i="18"/>
  <c r="F80" i="17"/>
  <c r="C25"/>
  <c r="E31"/>
  <c r="AI27" i="2"/>
  <c r="E82" i="16"/>
  <c r="W26" i="2"/>
  <c r="C4" i="16"/>
  <c r="E26"/>
  <c r="E12"/>
  <c r="G25" i="2"/>
  <c r="E31" i="15"/>
  <c r="F20"/>
  <c r="F26" i="14"/>
  <c r="E83"/>
  <c r="DK24" i="2"/>
  <c r="DH24" s="1"/>
  <c r="F94" i="13"/>
  <c r="DO23" i="2"/>
  <c r="F56" i="13"/>
  <c r="D98"/>
  <c r="F88"/>
  <c r="D4"/>
  <c r="F78" i="12"/>
  <c r="EI22" i="2"/>
  <c r="EJ22" s="1"/>
  <c r="E29" i="12"/>
  <c r="DO22" i="2"/>
  <c r="F29" i="12"/>
  <c r="DR22" i="2"/>
  <c r="E64" i="12"/>
  <c r="F37"/>
  <c r="E78"/>
  <c r="E12"/>
  <c r="F7" i="11"/>
  <c r="F84" i="10"/>
  <c r="E7"/>
  <c r="E66"/>
  <c r="AF20" i="2"/>
  <c r="AR20"/>
  <c r="F20" i="9"/>
  <c r="CK19" i="2"/>
  <c r="F66" i="9"/>
  <c r="DK19" i="2"/>
  <c r="DX19"/>
  <c r="Q19"/>
  <c r="K19"/>
  <c r="E67" i="8"/>
  <c r="CE18" i="2"/>
  <c r="K18"/>
  <c r="E90" i="8"/>
  <c r="EA18" i="2"/>
  <c r="AR18"/>
  <c r="E7" i="6"/>
  <c r="E32"/>
  <c r="F12"/>
  <c r="F86" i="5"/>
  <c r="E20"/>
  <c r="DO15" i="2"/>
  <c r="E20" i="4"/>
  <c r="CK14" i="2"/>
  <c r="Z14"/>
  <c r="E14" i="4"/>
  <c r="E7"/>
  <c r="F31"/>
  <c r="F29" i="19"/>
  <c r="E29"/>
  <c r="E12"/>
  <c r="E26"/>
  <c r="AI29" i="2"/>
  <c r="F31" i="19"/>
  <c r="E91"/>
  <c r="DO29" i="2"/>
  <c r="W29"/>
  <c r="E17" i="18"/>
  <c r="E7"/>
  <c r="Z28" i="2"/>
  <c r="E80" i="17"/>
  <c r="E48"/>
  <c r="DX27" i="2"/>
  <c r="E36" i="17"/>
  <c r="EV27" i="2"/>
  <c r="F31" i="17"/>
  <c r="W27" i="2"/>
  <c r="E97" i="17"/>
  <c r="F97"/>
  <c r="BS27" i="2"/>
  <c r="E87" i="16"/>
  <c r="E55"/>
  <c r="F93"/>
  <c r="EO26" i="2"/>
  <c r="EP26" s="1"/>
  <c r="BO26"/>
  <c r="BP26" s="1"/>
  <c r="ER26"/>
  <c r="ER31" s="1"/>
  <c r="N26"/>
  <c r="F26" i="16"/>
  <c r="BA26" i="2"/>
  <c r="F34" i="16"/>
  <c r="F37"/>
  <c r="F29"/>
  <c r="F12"/>
  <c r="F7"/>
  <c r="EV25" i="2"/>
  <c r="F56" i="15"/>
  <c r="E41"/>
  <c r="F94"/>
  <c r="EB25" i="2"/>
  <c r="ED25" s="1"/>
  <c r="K25"/>
  <c r="E88" i="15"/>
  <c r="E56"/>
  <c r="DX25" i="2"/>
  <c r="EJ24"/>
  <c r="E17" i="14"/>
  <c r="BQ24" i="2"/>
  <c r="BS24" s="1"/>
  <c r="F64" i="14"/>
  <c r="E88"/>
  <c r="BZ24" i="2"/>
  <c r="N24"/>
  <c r="F5" i="14"/>
  <c r="AR24" i="2"/>
  <c r="E66" i="13"/>
  <c r="F26"/>
  <c r="BZ23" i="2"/>
  <c r="AI23"/>
  <c r="AR23"/>
  <c r="F72" i="12"/>
  <c r="F96"/>
  <c r="E96"/>
  <c r="BA22" i="2"/>
  <c r="F83" i="11"/>
  <c r="EO21" i="2"/>
  <c r="EP21" s="1"/>
  <c r="E88" i="11"/>
  <c r="AF21" i="2"/>
  <c r="AJ31"/>
  <c r="AJ32" s="1"/>
  <c r="AJ33" s="1"/>
  <c r="K21"/>
  <c r="ES20"/>
  <c r="F66" i="10"/>
  <c r="F77"/>
  <c r="F7"/>
  <c r="DO20" i="2"/>
  <c r="E29" i="10"/>
  <c r="E20"/>
  <c r="E14"/>
  <c r="E87" i="9"/>
  <c r="E66"/>
  <c r="DO19" i="2"/>
  <c r="E34" i="9"/>
  <c r="F26"/>
  <c r="EV18" i="2"/>
  <c r="EJ18"/>
  <c r="F20" i="8"/>
  <c r="E96"/>
  <c r="F34"/>
  <c r="BK31" i="2"/>
  <c r="E20" i="7"/>
  <c r="O31" i="2"/>
  <c r="O33" s="1"/>
  <c r="E87" i="7"/>
  <c r="AU17" i="2"/>
  <c r="F93" i="7"/>
  <c r="E65"/>
  <c r="ES16" i="2"/>
  <c r="E20" i="6"/>
  <c r="BO16" i="2"/>
  <c r="BP16" s="1"/>
  <c r="E91" i="6"/>
  <c r="DR16" i="2"/>
  <c r="E12" i="6"/>
  <c r="DU16" i="2"/>
  <c r="AI16"/>
  <c r="AC16"/>
  <c r="W16"/>
  <c r="C101" i="5"/>
  <c r="D101"/>
  <c r="EV15" i="2"/>
  <c r="BC32"/>
  <c r="BC33" s="1"/>
  <c r="E12" i="4"/>
  <c r="F89"/>
  <c r="F20"/>
  <c r="Q29" i="2"/>
  <c r="DX28"/>
  <c r="DR28"/>
  <c r="CE28"/>
  <c r="Q27"/>
  <c r="N27"/>
  <c r="T26"/>
  <c r="Q24"/>
  <c r="DK23"/>
  <c r="AC23"/>
  <c r="BZ22"/>
  <c r="W22"/>
  <c r="DU19"/>
  <c r="BZ19"/>
  <c r="AL18"/>
  <c r="CN16"/>
  <c r="AO16"/>
  <c r="DK15"/>
  <c r="DJ15"/>
  <c r="AO15"/>
  <c r="AA31"/>
  <c r="E17" i="4"/>
  <c r="C4"/>
  <c r="C36" s="1"/>
  <c r="F83" i="5"/>
  <c r="EP16" i="2"/>
  <c r="E80" i="6"/>
  <c r="F17"/>
  <c r="F87" i="7"/>
  <c r="F29"/>
  <c r="F5"/>
  <c r="E57" i="8"/>
  <c r="E17"/>
  <c r="E79" i="9"/>
  <c r="F31"/>
  <c r="C4"/>
  <c r="E82" i="10"/>
  <c r="F56"/>
  <c r="E36"/>
  <c r="E17"/>
  <c r="F77" i="11"/>
  <c r="E17"/>
  <c r="E20" i="13"/>
  <c r="E31" i="14"/>
  <c r="E29"/>
  <c r="C25" i="15"/>
  <c r="E12"/>
  <c r="F87" i="16"/>
  <c r="F14"/>
  <c r="F91" i="17"/>
  <c r="E12"/>
  <c r="C4"/>
  <c r="E5"/>
  <c r="E20" i="18"/>
  <c r="E5" i="19"/>
  <c r="C4" i="14"/>
  <c r="F31" i="13"/>
  <c r="E74" i="9"/>
  <c r="DK17" i="2"/>
  <c r="G21"/>
  <c r="F7" i="13"/>
  <c r="E64" i="10"/>
  <c r="BG15" i="2"/>
  <c r="K16"/>
  <c r="BG22"/>
  <c r="AR21"/>
  <c r="E34" i="8"/>
  <c r="E26" i="7"/>
  <c r="F65" i="16"/>
  <c r="BZ26" i="2"/>
  <c r="ES24"/>
  <c r="E41" i="18"/>
  <c r="CT28" i="2"/>
  <c r="D25" i="6"/>
  <c r="E67" i="4"/>
  <c r="F78" i="8"/>
  <c r="CT15" i="2"/>
  <c r="E67" i="6"/>
  <c r="AF27" i="2"/>
  <c r="AF25"/>
  <c r="N25"/>
  <c r="T24"/>
  <c r="C4" i="7"/>
  <c r="C4" i="8"/>
  <c r="BS19" i="2"/>
  <c r="D4" i="10"/>
  <c r="C4" i="11"/>
  <c r="E14" i="15"/>
  <c r="F17" i="16"/>
  <c r="F85" i="19"/>
  <c r="C25"/>
  <c r="E7" i="9"/>
  <c r="F26" i="17"/>
  <c r="Z24" i="2"/>
  <c r="Z16"/>
  <c r="F65" i="7"/>
  <c r="D4" i="5"/>
  <c r="E5" i="15"/>
  <c r="BZ17" i="2"/>
  <c r="BZ21"/>
  <c r="ED18"/>
  <c r="F5" i="6"/>
  <c r="DK22" i="2"/>
  <c r="BA20"/>
  <c r="AR17"/>
  <c r="E73" i="8"/>
  <c r="D98" i="11"/>
  <c r="F56"/>
  <c r="F58" i="9"/>
  <c r="E56" i="12"/>
  <c r="F59" i="17"/>
  <c r="DK18" i="2"/>
  <c r="DR18"/>
  <c r="E56" i="11"/>
  <c r="F89" i="18"/>
  <c r="BZ28" i="2"/>
  <c r="F14" i="18"/>
  <c r="E35"/>
  <c r="W28" i="2"/>
  <c r="C89" i="18"/>
  <c r="EQ28" i="2" s="1"/>
  <c r="ES28" s="1"/>
  <c r="F5" i="18"/>
  <c r="F35"/>
  <c r="F26"/>
  <c r="E12"/>
  <c r="E69" i="19"/>
  <c r="BZ29" i="2"/>
  <c r="E37" i="18"/>
  <c r="E38" i="19"/>
  <c r="F17" i="17"/>
  <c r="DQ31" i="2"/>
  <c r="D4" i="16"/>
  <c r="F7" i="18"/>
  <c r="BZ27" i="2"/>
  <c r="CN27"/>
  <c r="DT31"/>
  <c r="AG31"/>
  <c r="I31"/>
  <c r="D97" i="16"/>
  <c r="EG27" i="2"/>
  <c r="DO26"/>
  <c r="CP31"/>
  <c r="CP33" s="1"/>
  <c r="D99" i="18"/>
  <c r="BR26" i="2"/>
  <c r="EM25"/>
  <c r="DJ25"/>
  <c r="W25"/>
  <c r="E83" i="15"/>
  <c r="D25"/>
  <c r="E64" i="14"/>
  <c r="AE31" i="2"/>
  <c r="CL31"/>
  <c r="D98" i="15"/>
  <c r="F77" i="14"/>
  <c r="E41"/>
  <c r="BZ25" i="2"/>
  <c r="E81" i="15"/>
  <c r="DP33" i="2"/>
  <c r="DJ24"/>
  <c r="F64" i="15"/>
  <c r="H24" i="1"/>
  <c r="BY32" i="2"/>
  <c r="BY33" s="1"/>
  <c r="EM26"/>
  <c r="F77" i="15"/>
  <c r="Z21" i="2"/>
  <c r="E78" i="8"/>
  <c r="AC15" i="2"/>
  <c r="EU14"/>
  <c r="EV14" s="1"/>
  <c r="ES17"/>
  <c r="E7" i="13"/>
  <c r="F34" i="9"/>
  <c r="E34" i="15"/>
  <c r="F95" i="18"/>
  <c r="DO17" i="2"/>
  <c r="F92" i="9"/>
  <c r="BF29" i="2"/>
  <c r="G29" s="1"/>
  <c r="EC26"/>
  <c r="EO25"/>
  <c r="EP25" s="1"/>
  <c r="N23"/>
  <c r="EC16"/>
  <c r="ED16" s="1"/>
  <c r="F26" i="6"/>
  <c r="DJ26" i="2"/>
  <c r="AN31"/>
  <c r="E63" i="16"/>
  <c r="E85" i="19"/>
  <c r="AW32" i="2"/>
  <c r="AW33" s="1"/>
  <c r="E66" i="12"/>
  <c r="F66"/>
  <c r="F81" i="15"/>
  <c r="F66" i="13"/>
  <c r="F73" i="8"/>
  <c r="C99"/>
  <c r="D98" i="14"/>
  <c r="E81" i="13"/>
  <c r="E20" i="12"/>
  <c r="F83" i="15"/>
  <c r="E91" i="5"/>
  <c r="F17" i="15"/>
  <c r="EU17" i="2"/>
  <c r="EV17" s="1"/>
  <c r="E84" i="6"/>
  <c r="F32"/>
  <c r="CK17" i="2"/>
  <c r="E17" i="6"/>
  <c r="EL15" i="2"/>
  <c r="EM15" s="1"/>
  <c r="F36" i="10"/>
  <c r="K29" i="2"/>
  <c r="F26" i="7"/>
  <c r="E7" i="16"/>
  <c r="F26" i="15"/>
  <c r="E31" i="9"/>
  <c r="D4" i="15"/>
  <c r="AP29" i="2"/>
  <c r="AR29" s="1"/>
  <c r="E29" i="15"/>
  <c r="D25" i="9"/>
  <c r="F82" i="7"/>
  <c r="F34" i="15"/>
  <c r="E94" i="13"/>
  <c r="F17" i="18"/>
  <c r="DR14" i="2"/>
  <c r="F17" i="11"/>
  <c r="F84" i="6"/>
  <c r="F77" i="13"/>
  <c r="F80" i="16"/>
  <c r="F61" i="19"/>
  <c r="E14" i="18"/>
  <c r="F20" i="14"/>
  <c r="Q25" i="2"/>
  <c r="CK25"/>
  <c r="Z22"/>
  <c r="EK20"/>
  <c r="EM20" s="1"/>
  <c r="EH16"/>
  <c r="EJ16" s="1"/>
  <c r="E58" i="9"/>
  <c r="F7"/>
  <c r="E64" i="15"/>
  <c r="F81" i="13"/>
  <c r="E93" i="7"/>
  <c r="E5" i="6"/>
  <c r="D25" i="10"/>
  <c r="DN31" i="2"/>
  <c r="DN33" s="1"/>
  <c r="E37" i="12"/>
  <c r="F64"/>
  <c r="EC28" i="2"/>
  <c r="AU24"/>
  <c r="AR16"/>
  <c r="E65" i="6"/>
  <c r="DJ18" i="2"/>
  <c r="F17" i="19"/>
  <c r="E29" i="4"/>
  <c r="E80" i="16"/>
  <c r="E100" i="9"/>
  <c r="DJ19" i="2"/>
  <c r="F14" i="4"/>
  <c r="E77" i="15"/>
  <c r="E94"/>
  <c r="E82" i="12"/>
  <c r="E78" i="19"/>
  <c r="F29" i="10"/>
  <c r="E84"/>
  <c r="F67" i="8"/>
  <c r="E83" i="5"/>
  <c r="ES25" i="2"/>
  <c r="C4" i="13"/>
  <c r="F21" i="1"/>
  <c r="F66" i="14"/>
  <c r="E95" i="18"/>
  <c r="F34" i="19"/>
  <c r="CK29" i="2"/>
  <c r="DO24"/>
  <c r="CK24"/>
  <c r="AU23"/>
  <c r="CS31"/>
  <c r="CS33" s="1"/>
  <c r="AU20"/>
  <c r="EB17"/>
  <c r="ED17" s="1"/>
  <c r="Z15"/>
  <c r="EE14"/>
  <c r="EG14" s="1"/>
  <c r="E31" i="13"/>
  <c r="F12"/>
  <c r="E65" i="18"/>
  <c r="AR28" i="2"/>
  <c r="DR17"/>
  <c r="AI25"/>
  <c r="W24"/>
  <c r="EE29"/>
  <c r="EG29" s="1"/>
  <c r="CN29"/>
  <c r="AF16"/>
  <c r="F97" i="6"/>
  <c r="N28" i="2"/>
  <c r="D97" i="7"/>
  <c r="AI28" i="2"/>
  <c r="CN21"/>
  <c r="K14"/>
  <c r="EA28"/>
  <c r="CK21"/>
  <c r="F57" i="6"/>
  <c r="F7"/>
  <c r="DM31" i="2"/>
  <c r="DM33" s="1"/>
  <c r="CE26"/>
  <c r="CA26"/>
  <c r="CA29"/>
  <c r="CA28"/>
  <c r="CA27"/>
  <c r="CA24"/>
  <c r="CA23"/>
  <c r="EP22"/>
  <c r="CF31"/>
  <c r="CF33" s="1"/>
  <c r="CA22"/>
  <c r="AD31"/>
  <c r="I10" i="1" s="1"/>
  <c r="L31" i="2"/>
  <c r="AC22"/>
  <c r="CA21"/>
  <c r="CA18"/>
  <c r="BA19"/>
  <c r="CA25"/>
  <c r="CA20"/>
  <c r="CA19"/>
  <c r="CA16"/>
  <c r="CA15"/>
  <c r="CA14"/>
  <c r="G20"/>
  <c r="AF22"/>
  <c r="CE20"/>
  <c r="M31"/>
  <c r="P31"/>
  <c r="E37" i="7"/>
  <c r="F37"/>
  <c r="E57" i="6"/>
  <c r="E55" i="7"/>
  <c r="F55"/>
  <c r="F38" i="19"/>
  <c r="EA17" i="2"/>
  <c r="F14" i="5"/>
  <c r="EV19" i="2"/>
  <c r="E26" i="9"/>
  <c r="E31" i="10"/>
  <c r="F5"/>
  <c r="E77" i="13"/>
  <c r="F91" i="6"/>
  <c r="CH18" i="2"/>
  <c r="F17" i="10"/>
  <c r="F56" i="12"/>
  <c r="CH14" i="2"/>
  <c r="F12" i="14"/>
  <c r="F12" i="17"/>
  <c r="E5" i="18"/>
  <c r="E7" i="14"/>
  <c r="E7" i="15"/>
  <c r="T22" i="2"/>
  <c r="F5" i="8"/>
  <c r="F37" i="5"/>
  <c r="E82" i="7"/>
  <c r="EN17" i="2"/>
  <c r="EP17" s="1"/>
  <c r="F37" i="8"/>
  <c r="BQ18" i="2"/>
  <c r="BS18" s="1"/>
  <c r="E26" i="8"/>
  <c r="D25"/>
  <c r="E12" i="13"/>
  <c r="DJ22" i="2"/>
  <c r="BS22"/>
  <c r="E26" i="4"/>
  <c r="F26"/>
  <c r="C4" i="15"/>
  <c r="E65" i="16"/>
  <c r="EB26" i="2"/>
  <c r="F7" i="17"/>
  <c r="E7"/>
  <c r="F72" i="4"/>
  <c r="EI14" i="2"/>
  <c r="EJ14" s="1"/>
  <c r="Z29"/>
  <c r="DO28"/>
  <c r="Z27"/>
  <c r="AU27"/>
  <c r="AU26"/>
  <c r="DR24"/>
  <c r="AF24"/>
  <c r="Z23"/>
  <c r="AF23"/>
  <c r="CK20"/>
  <c r="AU16"/>
  <c r="CK15"/>
  <c r="K15"/>
  <c r="F12" i="4"/>
  <c r="E73" i="5"/>
  <c r="E80" i="7"/>
  <c r="F7" i="14"/>
  <c r="F5" i="15"/>
  <c r="F7"/>
  <c r="F63" i="16"/>
  <c r="E31" i="19"/>
  <c r="E69" i="17"/>
  <c r="AU28" i="2"/>
  <c r="AR14"/>
  <c r="AR25"/>
  <c r="BA14"/>
  <c r="F14"/>
  <c r="CE24"/>
  <c r="T21"/>
  <c r="F12" i="19"/>
  <c r="F41" i="12"/>
  <c r="E41"/>
  <c r="F40" i="17"/>
  <c r="E40"/>
  <c r="AF29" i="2"/>
  <c r="E14" i="11"/>
  <c r="D4"/>
  <c r="E7" i="7"/>
  <c r="C71"/>
  <c r="EE17" i="2" s="1"/>
  <c r="H15" i="1"/>
  <c r="CE27" i="2"/>
  <c r="T23"/>
  <c r="DX15"/>
  <c r="EP14"/>
  <c r="F30" i="6"/>
  <c r="D99" i="10"/>
  <c r="K23" i="2"/>
  <c r="DV31"/>
  <c r="CJ31"/>
  <c r="CJ33" s="1"/>
  <c r="EJ25"/>
  <c r="E40" i="7"/>
  <c r="F69" i="19"/>
  <c r="AL24" i="2"/>
  <c r="BZ20"/>
  <c r="E77" i="14"/>
  <c r="DA32" i="2"/>
  <c r="DA33" s="1"/>
  <c r="EP29"/>
  <c r="ES27"/>
  <c r="DK25"/>
  <c r="BG23"/>
  <c r="E37" i="9"/>
  <c r="F48" i="17"/>
  <c r="F36"/>
  <c r="E72" i="12"/>
  <c r="AC26" i="2"/>
  <c r="DU24"/>
  <c r="CH24"/>
  <c r="AO19"/>
  <c r="N19"/>
  <c r="DU18"/>
  <c r="E86" i="6"/>
  <c r="F17" i="9"/>
  <c r="F82" i="10"/>
  <c r="E5"/>
  <c r="E88" i="13"/>
  <c r="F82" i="16"/>
  <c r="G24" i="2"/>
  <c r="E9" i="1"/>
  <c r="AK31" i="2"/>
  <c r="EE22"/>
  <c r="EG22" s="1"/>
  <c r="E75" i="17"/>
  <c r="AX31" i="2"/>
  <c r="BS29"/>
  <c r="EA26"/>
  <c r="DX26"/>
  <c r="DK26"/>
  <c r="AI26"/>
  <c r="DU23"/>
  <c r="Q21"/>
  <c r="AI21"/>
  <c r="Q18"/>
  <c r="DU17"/>
  <c r="X31"/>
  <c r="X33" s="1"/>
  <c r="R31"/>
  <c r="R33" s="1"/>
  <c r="EA16"/>
  <c r="CE16"/>
  <c r="Q16"/>
  <c r="E86" i="5"/>
  <c r="F65" i="6"/>
  <c r="F35"/>
  <c r="E29" i="7"/>
  <c r="E17"/>
  <c r="F65" i="8"/>
  <c r="E31"/>
  <c r="F29" i="11"/>
  <c r="E84" i="12"/>
  <c r="EM24" i="2"/>
  <c r="F84" i="18"/>
  <c r="F37"/>
  <c r="F20"/>
  <c r="D4"/>
  <c r="E59" i="4"/>
  <c r="F41" i="18"/>
  <c r="AC25" i="2"/>
  <c r="S31"/>
  <c r="F88" i="15"/>
  <c r="H12" i="1"/>
  <c r="E81" i="14"/>
  <c r="G27" i="2"/>
  <c r="CG31"/>
  <c r="CG33" s="1"/>
  <c r="CM31"/>
  <c r="CM33" s="1"/>
  <c r="AB31"/>
  <c r="J8" i="1" s="1"/>
  <c r="D8" s="1"/>
  <c r="EK17" i="2"/>
  <c r="EM17" s="1"/>
  <c r="N17"/>
  <c r="ED22"/>
  <c r="EM29"/>
  <c r="F91" i="5"/>
  <c r="EP19" i="2"/>
  <c r="F20" i="12"/>
  <c r="F34" i="7"/>
  <c r="BS16" i="2"/>
  <c r="CC31"/>
  <c r="CC33" s="1"/>
  <c r="CZ31"/>
  <c r="DB31"/>
  <c r="BX32"/>
  <c r="BX33" s="1"/>
  <c r="T29"/>
  <c r="EV28"/>
  <c r="AC28"/>
  <c r="T27"/>
  <c r="DX24"/>
  <c r="DX23"/>
  <c r="DR23"/>
  <c r="W23"/>
  <c r="CE22"/>
  <c r="DX21"/>
  <c r="BG21"/>
  <c r="AI20"/>
  <c r="W20"/>
  <c r="Q20"/>
  <c r="N20"/>
  <c r="CN19"/>
  <c r="AM31"/>
  <c r="AM32" s="1"/>
  <c r="AM33" s="1"/>
  <c r="AI19"/>
  <c r="AC19"/>
  <c r="DX18"/>
  <c r="DX17"/>
  <c r="CE17"/>
  <c r="AC17"/>
  <c r="T17"/>
  <c r="T16"/>
  <c r="N16"/>
  <c r="Q15"/>
  <c r="N15"/>
  <c r="DJ14"/>
  <c r="CN14"/>
  <c r="AI14"/>
  <c r="F29" i="4"/>
  <c r="E5"/>
  <c r="E57" i="5"/>
  <c r="D25"/>
  <c r="E30" i="6"/>
  <c r="E5" i="7"/>
  <c r="E20" i="8"/>
  <c r="E12"/>
  <c r="E14" i="9"/>
  <c r="F31" i="10"/>
  <c r="F26"/>
  <c r="F88" i="11"/>
  <c r="E29"/>
  <c r="F31" i="14"/>
  <c r="E93" i="16"/>
  <c r="F86" i="17"/>
  <c r="E59"/>
  <c r="E20"/>
  <c r="F78" i="19"/>
  <c r="F20"/>
  <c r="BG27" i="2"/>
  <c r="BE31"/>
  <c r="E36" i="7"/>
  <c r="F36"/>
  <c r="BQ17" i="2"/>
  <c r="BS17" s="1"/>
  <c r="DZ31"/>
  <c r="DZ33" s="1"/>
  <c r="EV26"/>
  <c r="DJ23"/>
  <c r="AF17"/>
  <c r="CH16"/>
  <c r="EA15"/>
  <c r="BZ15"/>
  <c r="E65" i="8"/>
  <c r="F89" i="10"/>
  <c r="F14"/>
  <c r="F84" i="12"/>
  <c r="F5" i="13"/>
  <c r="F83" i="14"/>
  <c r="E26" i="15"/>
  <c r="F12"/>
  <c r="E31" i="16"/>
  <c r="F20" i="17"/>
  <c r="F65" i="18"/>
  <c r="E20" i="19"/>
  <c r="Z26" i="2"/>
  <c r="E64" i="13"/>
  <c r="F40" i="16"/>
  <c r="E40" i="10"/>
  <c r="EM16" i="2"/>
  <c r="CN26"/>
  <c r="EP24"/>
  <c r="EM22"/>
  <c r="EA22"/>
  <c r="CN22"/>
  <c r="DU21"/>
  <c r="ED20"/>
  <c r="EA19"/>
  <c r="AI15"/>
  <c r="T15"/>
  <c r="T14"/>
  <c r="EP20"/>
  <c r="F14" i="15"/>
  <c r="E5" i="16"/>
  <c r="C25" i="13"/>
  <c r="E65" i="5"/>
  <c r="Z18" i="2"/>
  <c r="F67" i="4"/>
  <c r="DS31" i="2"/>
  <c r="DS33" s="1"/>
  <c r="CH15"/>
  <c r="AC14"/>
  <c r="E30" i="5"/>
  <c r="F20" i="7"/>
  <c r="F29" i="14"/>
  <c r="F12" i="18"/>
  <c r="C4"/>
  <c r="F7" i="4"/>
  <c r="AU15" i="2"/>
  <c r="F32" i="5"/>
  <c r="BA28" i="2"/>
  <c r="EA27"/>
  <c r="AF26"/>
  <c r="Q26"/>
  <c r="DU25"/>
  <c r="CN24"/>
  <c r="ES23"/>
  <c r="EV21"/>
  <c r="AC21"/>
  <c r="EA20"/>
  <c r="DU20"/>
  <c r="CN20"/>
  <c r="CH20"/>
  <c r="ES15"/>
  <c r="F83" i="4"/>
  <c r="E14" i="5"/>
  <c r="F90" i="8"/>
  <c r="F12"/>
  <c r="C25" i="10"/>
  <c r="E83" i="11"/>
  <c r="BR28" i="2"/>
  <c r="G28" s="1"/>
  <c r="K28"/>
  <c r="K24"/>
  <c r="F66" i="15"/>
  <c r="BB31" i="2"/>
  <c r="BD14"/>
  <c r="E12" i="5"/>
  <c r="F12"/>
  <c r="E31" i="7"/>
  <c r="F31"/>
  <c r="C25"/>
  <c r="F17" i="8"/>
  <c r="D4"/>
  <c r="EH19" i="2"/>
  <c r="EJ19" s="1"/>
  <c r="F79" i="9"/>
  <c r="E5"/>
  <c r="F5"/>
  <c r="E77" i="10"/>
  <c r="EI20" i="2"/>
  <c r="EI21"/>
  <c r="EJ21" s="1"/>
  <c r="E77" i="11"/>
  <c r="E31"/>
  <c r="E26"/>
  <c r="F26"/>
  <c r="E32" i="12"/>
  <c r="F32"/>
  <c r="E36" i="13"/>
  <c r="BR23" i="2"/>
  <c r="BS23" s="1"/>
  <c r="F36" i="13"/>
  <c r="E14"/>
  <c r="F14"/>
  <c r="F20" i="16"/>
  <c r="E20"/>
  <c r="E29" i="17"/>
  <c r="F29"/>
  <c r="E61" i="19"/>
  <c r="DY29" i="2"/>
  <c r="EA29" s="1"/>
  <c r="EK18"/>
  <c r="E82" i="8"/>
  <c r="C25"/>
  <c r="F26"/>
  <c r="G16" i="1"/>
  <c r="D16" s="1"/>
  <c r="E68" i="9"/>
  <c r="EC19" i="2"/>
  <c r="F68" i="9"/>
  <c r="E66" i="11"/>
  <c r="F66"/>
  <c r="EC21" i="2"/>
  <c r="E76" i="4"/>
  <c r="EK14" i="2"/>
  <c r="F76" i="4"/>
  <c r="C98" i="15"/>
  <c r="E75"/>
  <c r="C71" i="16"/>
  <c r="F72"/>
  <c r="E72"/>
  <c r="C84" i="17"/>
  <c r="E84" s="1"/>
  <c r="F85"/>
  <c r="E85"/>
  <c r="E77" i="18"/>
  <c r="C73"/>
  <c r="F77"/>
  <c r="E64"/>
  <c r="C57"/>
  <c r="F64"/>
  <c r="C74" i="19"/>
  <c r="C95" s="1"/>
  <c r="F77"/>
  <c r="D101" i="6"/>
  <c r="F94" i="9"/>
  <c r="E89" i="10"/>
  <c r="EV23" i="2"/>
  <c r="F65" i="5"/>
  <c r="E32" i="18"/>
  <c r="CK18" i="2"/>
  <c r="BF14"/>
  <c r="E31" i="4"/>
  <c r="E5" i="5"/>
  <c r="F5"/>
  <c r="ET16" i="2"/>
  <c r="E97" i="6"/>
  <c r="E14"/>
  <c r="D4"/>
  <c r="F14"/>
  <c r="EQ19" i="2"/>
  <c r="E94" i="9"/>
  <c r="EE19" i="2"/>
  <c r="C104" i="9"/>
  <c r="F95" i="10"/>
  <c r="EU20" i="2"/>
  <c r="E95" i="10"/>
  <c r="E56"/>
  <c r="F36" i="11"/>
  <c r="BQ21" i="2"/>
  <c r="BS21" s="1"/>
  <c r="E36" i="11"/>
  <c r="E37" i="15"/>
  <c r="BQ25" i="2"/>
  <c r="F25" s="1"/>
  <c r="F37" i="15"/>
  <c r="EB28" i="2"/>
  <c r="F67" i="18"/>
  <c r="ET29" i="2"/>
  <c r="EV29" s="1"/>
  <c r="F91" i="19"/>
  <c r="E12" i="11"/>
  <c r="F12"/>
  <c r="EE15" i="2"/>
  <c r="F73" i="5"/>
  <c r="D101" i="17"/>
  <c r="E67"/>
  <c r="F67"/>
  <c r="F76" i="16"/>
  <c r="E76"/>
  <c r="EI26" i="2"/>
  <c r="E53" i="19"/>
  <c r="F53"/>
  <c r="E82" i="18"/>
  <c r="EL28" i="2"/>
  <c r="EM28" s="1"/>
  <c r="F82" i="18"/>
  <c r="F38" i="4"/>
  <c r="E76" i="6"/>
  <c r="C73"/>
  <c r="F76"/>
  <c r="E73" i="7"/>
  <c r="F73"/>
  <c r="F79"/>
  <c r="C76"/>
  <c r="CR31" i="2"/>
  <c r="CR33" s="1"/>
  <c r="CT19"/>
  <c r="F75" i="17"/>
  <c r="CN28" i="2"/>
  <c r="F31" i="8"/>
  <c r="E17" i="9"/>
  <c r="F31" i="11"/>
  <c r="C98" i="13"/>
  <c r="F88" i="14"/>
  <c r="C25"/>
  <c r="E14" i="16"/>
  <c r="D104" i="9"/>
  <c r="ES22" i="2"/>
  <c r="DK16"/>
  <c r="DX16"/>
  <c r="F19" i="1"/>
  <c r="C19" s="1"/>
  <c r="EH15" i="2"/>
  <c r="F78" i="5"/>
  <c r="E78"/>
  <c r="E14" i="7"/>
  <c r="F14"/>
  <c r="AY18" i="2"/>
  <c r="AY31" s="1"/>
  <c r="I17" i="1" s="1"/>
  <c r="F29" i="8"/>
  <c r="E29"/>
  <c r="E84" i="9"/>
  <c r="F84"/>
  <c r="EL19" i="2"/>
  <c r="F12" i="10"/>
  <c r="C4"/>
  <c r="F64" i="11"/>
  <c r="E20"/>
  <c r="F20"/>
  <c r="E5"/>
  <c r="F5"/>
  <c r="F17" i="12"/>
  <c r="C4"/>
  <c r="E17"/>
  <c r="F83" i="13"/>
  <c r="EO23" i="2"/>
  <c r="EP23" s="1"/>
  <c r="E83" i="13"/>
  <c r="EE23" i="2"/>
  <c r="F72" i="13"/>
  <c r="F56" i="14"/>
  <c r="E56"/>
  <c r="E12"/>
  <c r="D4"/>
  <c r="EL27" i="2"/>
  <c r="D4" i="17"/>
  <c r="F14"/>
  <c r="E14"/>
  <c r="F30" i="18"/>
  <c r="E30"/>
  <c r="C25"/>
  <c r="E14" i="19"/>
  <c r="F14"/>
  <c r="F74" i="9"/>
  <c r="EF19" i="2"/>
  <c r="E51" i="4"/>
  <c r="F51"/>
  <c r="DK20" i="2"/>
  <c r="DR20"/>
  <c r="DO14"/>
  <c r="DK14"/>
  <c r="F35" i="12"/>
  <c r="E35"/>
  <c r="E40" i="13"/>
  <c r="F40"/>
  <c r="E7" i="5"/>
  <c r="F7"/>
  <c r="EB27" i="2"/>
  <c r="F69" i="17"/>
  <c r="E13" i="7"/>
  <c r="Y17" i="2"/>
  <c r="F13" i="7"/>
  <c r="Y19" i="2"/>
  <c r="G19" s="1"/>
  <c r="E13" i="9"/>
  <c r="D12"/>
  <c r="F96" i="8"/>
  <c r="CE23" i="2"/>
  <c r="K22"/>
  <c r="E17" i="5"/>
  <c r="F17"/>
  <c r="E63" i="7"/>
  <c r="F63"/>
  <c r="F85" i="8"/>
  <c r="E85"/>
  <c r="EO18" i="2"/>
  <c r="E29" i="9"/>
  <c r="F29"/>
  <c r="EF20" i="2"/>
  <c r="F14" i="12"/>
  <c r="D4"/>
  <c r="E29" i="13"/>
  <c r="F29"/>
  <c r="E94" i="14"/>
  <c r="F94"/>
  <c r="ET24" i="2"/>
  <c r="EV24" s="1"/>
  <c r="E14" i="14"/>
  <c r="F14"/>
  <c r="E86" i="17"/>
  <c r="EN27" i="2"/>
  <c r="EP27" s="1"/>
  <c r="E78" i="18"/>
  <c r="EH28" i="2"/>
  <c r="EJ28" s="1"/>
  <c r="F78" i="18"/>
  <c r="E80" i="19"/>
  <c r="F80"/>
  <c r="EB29" i="2"/>
  <c r="ED29" s="1"/>
  <c r="E63" i="19"/>
  <c r="F63"/>
  <c r="C4"/>
  <c r="F5"/>
  <c r="F64" i="10"/>
  <c r="EF17" i="2"/>
  <c r="EC14"/>
  <c r="F61" i="4"/>
  <c r="E61"/>
  <c r="CI31" i="2"/>
  <c r="CI33" s="1"/>
  <c r="CK16"/>
  <c r="CW14"/>
  <c r="CV31"/>
  <c r="F74" i="10"/>
  <c r="C72"/>
  <c r="EE20" i="2" s="1"/>
  <c r="F73" i="11"/>
  <c r="C72"/>
  <c r="C81"/>
  <c r="E82"/>
  <c r="E73" i="13"/>
  <c r="F73"/>
  <c r="C72" i="14"/>
  <c r="F75"/>
  <c r="F100" i="9"/>
  <c r="D25" i="7"/>
  <c r="BA21" i="2"/>
  <c r="BA15"/>
  <c r="EM23"/>
  <c r="EP28"/>
  <c r="CK26"/>
  <c r="DO25"/>
  <c r="EA24"/>
  <c r="DR21"/>
  <c r="AL21"/>
  <c r="DX20"/>
  <c r="K20"/>
  <c r="AF19"/>
  <c r="AF18"/>
  <c r="N18"/>
  <c r="CN17"/>
  <c r="Q17"/>
  <c r="AR26"/>
  <c r="DJ29"/>
  <c r="CH29"/>
  <c r="N29"/>
  <c r="DU28"/>
  <c r="DU27"/>
  <c r="DO27"/>
  <c r="AC27"/>
  <c r="DR26"/>
  <c r="BG26"/>
  <c r="DR25"/>
  <c r="BG25"/>
  <c r="T25"/>
  <c r="CN25"/>
  <c r="ED24"/>
  <c r="EJ23"/>
  <c r="Q23"/>
  <c r="EV22"/>
  <c r="DU22"/>
  <c r="AI22"/>
  <c r="AC20"/>
  <c r="CE19"/>
  <c r="T19"/>
  <c r="U31"/>
  <c r="U32" s="1"/>
  <c r="U33" s="1"/>
  <c r="CH17"/>
  <c r="BG17"/>
  <c r="W17"/>
  <c r="DO16"/>
  <c r="W14"/>
  <c r="Q14"/>
  <c r="BS20"/>
  <c r="H17" i="1"/>
  <c r="DX29" i="2"/>
  <c r="CE29"/>
  <c r="DK28"/>
  <c r="CH28"/>
  <c r="T28"/>
  <c r="Q28"/>
  <c r="DR27"/>
  <c r="DU26"/>
  <c r="CH26"/>
  <c r="BG24"/>
  <c r="DX22"/>
  <c r="ES21"/>
  <c r="DO21"/>
  <c r="CH21"/>
  <c r="CE21"/>
  <c r="BG20"/>
  <c r="T20"/>
  <c r="DR19"/>
  <c r="W19"/>
  <c r="DJ17"/>
  <c r="CD31"/>
  <c r="BG16"/>
  <c r="EA14"/>
  <c r="DU14"/>
  <c r="N14"/>
  <c r="AR15"/>
  <c r="CT26"/>
  <c r="AR27"/>
  <c r="BH32"/>
  <c r="BH33" s="1"/>
  <c r="BJ31"/>
  <c r="DE32"/>
  <c r="DE33" s="1"/>
  <c r="DJ28"/>
  <c r="DJ27"/>
  <c r="DW31"/>
  <c r="DW33" s="1"/>
  <c r="AH31"/>
  <c r="EG18"/>
  <c r="DK27"/>
  <c r="DJ21"/>
  <c r="I33" l="1"/>
  <c r="I5" i="1"/>
  <c r="C5" s="1"/>
  <c r="BE33" i="2"/>
  <c r="I18" i="1"/>
  <c r="AE33" i="2"/>
  <c r="J10" i="1"/>
  <c r="D10" s="1"/>
  <c r="AA33" i="2"/>
  <c r="I8" i="1"/>
  <c r="J6"/>
  <c r="L33" i="2"/>
  <c r="I6" i="1"/>
  <c r="C6" s="1"/>
  <c r="J33" i="2"/>
  <c r="J5" i="1"/>
  <c r="D5" s="1"/>
  <c r="AH33" i="2"/>
  <c r="J12" i="1"/>
  <c r="D12" s="1"/>
  <c r="AU19" i="2"/>
  <c r="AS31"/>
  <c r="AS33" s="1"/>
  <c r="F24"/>
  <c r="C24" s="1"/>
  <c r="F29"/>
  <c r="C29" s="1"/>
  <c r="F21"/>
  <c r="F18"/>
  <c r="F17"/>
  <c r="C17" s="1"/>
  <c r="C101" i="17"/>
  <c r="BP15" i="2"/>
  <c r="D37" i="19"/>
  <c r="D48" s="1"/>
  <c r="D49" s="1"/>
  <c r="D39" i="16"/>
  <c r="D50" s="1"/>
  <c r="CD33" i="2"/>
  <c r="AB33"/>
  <c r="S33"/>
  <c r="M33"/>
  <c r="C10" i="1"/>
  <c r="AD33" i="2"/>
  <c r="CL33"/>
  <c r="I12" i="1"/>
  <c r="C12" s="1"/>
  <c r="AG33" i="2"/>
  <c r="DQ33"/>
  <c r="ER33"/>
  <c r="DV33"/>
  <c r="P33"/>
  <c r="AQ33"/>
  <c r="G18"/>
  <c r="D18" s="1"/>
  <c r="AT33"/>
  <c r="C40" i="5"/>
  <c r="C52" s="1"/>
  <c r="C53" s="1"/>
  <c r="D40" i="18"/>
  <c r="D52" s="1"/>
  <c r="BS15" i="2"/>
  <c r="G15"/>
  <c r="D15" s="1"/>
  <c r="CB29"/>
  <c r="E25" i="15"/>
  <c r="ED26" i="2"/>
  <c r="BN31"/>
  <c r="I20" i="1" s="1"/>
  <c r="E25" i="5"/>
  <c r="E4" i="13"/>
  <c r="CZ32" i="2"/>
  <c r="CZ33" s="1"/>
  <c r="E25" i="16"/>
  <c r="BS26" i="2"/>
  <c r="F4" i="16"/>
  <c r="E36"/>
  <c r="F36"/>
  <c r="E4" i="10"/>
  <c r="D39"/>
  <c r="D51" s="1"/>
  <c r="CB18" i="2"/>
  <c r="CB23"/>
  <c r="E4" i="16"/>
  <c r="C40" i="14"/>
  <c r="C51" s="1"/>
  <c r="F4" i="13"/>
  <c r="E25" i="12"/>
  <c r="E71" i="7"/>
  <c r="C41" i="6"/>
  <c r="C52" s="1"/>
  <c r="G16" i="2"/>
  <c r="D16" s="1"/>
  <c r="BO31"/>
  <c r="E4" i="5"/>
  <c r="F4" i="4"/>
  <c r="DG20" i="2"/>
  <c r="DL23"/>
  <c r="DL19"/>
  <c r="BM31"/>
  <c r="DY31"/>
  <c r="ES26"/>
  <c r="D40" i="14"/>
  <c r="AL31" i="2"/>
  <c r="AL33" s="1"/>
  <c r="DL24"/>
  <c r="H20"/>
  <c r="C19"/>
  <c r="BL32"/>
  <c r="BL33" s="1"/>
  <c r="F99" i="8"/>
  <c r="CB16" i="2"/>
  <c r="DG14"/>
  <c r="BK32"/>
  <c r="BK33" s="1"/>
  <c r="C16"/>
  <c r="CB19"/>
  <c r="C28"/>
  <c r="AZ31"/>
  <c r="J17" i="1" s="1"/>
  <c r="D17" s="1"/>
  <c r="E4" i="11"/>
  <c r="F25" i="9"/>
  <c r="F71" i="7"/>
  <c r="E25" i="6"/>
  <c r="F4" i="5"/>
  <c r="C23" i="2"/>
  <c r="E25" i="19"/>
  <c r="DL29" i="2"/>
  <c r="C39" i="17"/>
  <c r="C54" s="1"/>
  <c r="DL26" i="2"/>
  <c r="BA25"/>
  <c r="F25" i="15"/>
  <c r="DH22" i="2"/>
  <c r="F25" i="12"/>
  <c r="F4" i="11"/>
  <c r="I13" i="1"/>
  <c r="C13" s="1"/>
  <c r="F101" i="5"/>
  <c r="E4" i="4"/>
  <c r="F93"/>
  <c r="CB26" i="2"/>
  <c r="DL18"/>
  <c r="DL15"/>
  <c r="F25" i="19"/>
  <c r="BG29" i="2"/>
  <c r="C26"/>
  <c r="DH25"/>
  <c r="CB25"/>
  <c r="CB24"/>
  <c r="G22"/>
  <c r="H22" s="1"/>
  <c r="C40" i="12"/>
  <c r="C51" s="1"/>
  <c r="C39" i="11"/>
  <c r="C51" s="1"/>
  <c r="CB17" i="2"/>
  <c r="C39" i="7"/>
  <c r="C50" s="1"/>
  <c r="DL17" i="2"/>
  <c r="F25" i="6"/>
  <c r="AO31" i="2"/>
  <c r="AN32"/>
  <c r="AN33" s="1"/>
  <c r="E101" i="5"/>
  <c r="C15" i="2"/>
  <c r="C46" i="4"/>
  <c r="E93"/>
  <c r="C8" i="1"/>
  <c r="DH15" i="2"/>
  <c r="CB20"/>
  <c r="C22"/>
  <c r="CB14"/>
  <c r="D28"/>
  <c r="H28"/>
  <c r="CB27"/>
  <c r="F4" i="15"/>
  <c r="DT32" i="2"/>
  <c r="DT33" s="1"/>
  <c r="CB28"/>
  <c r="E89" i="18"/>
  <c r="BZ31" i="2"/>
  <c r="DU31"/>
  <c r="D27"/>
  <c r="DO31"/>
  <c r="CQ31"/>
  <c r="N31"/>
  <c r="G26"/>
  <c r="D26" s="1"/>
  <c r="AF31"/>
  <c r="DR31"/>
  <c r="E4" i="15"/>
  <c r="D40"/>
  <c r="D51" s="1"/>
  <c r="DL25" i="2"/>
  <c r="D29"/>
  <c r="EX29" s="1"/>
  <c r="J25" i="1"/>
  <c r="D25" s="1"/>
  <c r="DH16" i="2"/>
  <c r="ED28"/>
  <c r="F25" i="10"/>
  <c r="D25" i="2"/>
  <c r="AP31"/>
  <c r="I15" i="1" s="1"/>
  <c r="K31" i="2"/>
  <c r="BQ31"/>
  <c r="DG18"/>
  <c r="D39" i="11"/>
  <c r="D51" s="1"/>
  <c r="DG23" i="2"/>
  <c r="C39" i="13"/>
  <c r="C51" s="1"/>
  <c r="E99" i="8"/>
  <c r="D20" i="2"/>
  <c r="Q31"/>
  <c r="D24"/>
  <c r="I7" i="1"/>
  <c r="C7" s="1"/>
  <c r="E25" i="9"/>
  <c r="EM18" i="2"/>
  <c r="C20"/>
  <c r="C14"/>
  <c r="Z19"/>
  <c r="DG22"/>
  <c r="DL16"/>
  <c r="DH28"/>
  <c r="EN31"/>
  <c r="BS28"/>
  <c r="C40" i="15"/>
  <c r="DL22" i="2"/>
  <c r="EG19"/>
  <c r="D40" i="5"/>
  <c r="T31" i="2"/>
  <c r="F98" i="12"/>
  <c r="E98"/>
  <c r="CH31" i="2"/>
  <c r="DK31"/>
  <c r="AK32"/>
  <c r="AK33" s="1"/>
  <c r="J13" i="1"/>
  <c r="D13" s="1"/>
  <c r="AX32" i="2"/>
  <c r="AX33" s="1"/>
  <c r="F25" i="5"/>
  <c r="CN31" i="2"/>
  <c r="C40" i="18"/>
  <c r="AC31" i="2"/>
  <c r="W31"/>
  <c r="CE31"/>
  <c r="AU18"/>
  <c r="DH20"/>
  <c r="DC31"/>
  <c r="DB32"/>
  <c r="DB33" s="1"/>
  <c r="CB15"/>
  <c r="F4" i="18"/>
  <c r="E4"/>
  <c r="DL28" i="2"/>
  <c r="E25" i="18"/>
  <c r="E25" i="10"/>
  <c r="C40" i="9"/>
  <c r="C18" i="1"/>
  <c r="E72" i="10"/>
  <c r="C27" i="2"/>
  <c r="H27"/>
  <c r="EE24"/>
  <c r="E72" i="14"/>
  <c r="F72"/>
  <c r="C98"/>
  <c r="EK21" i="2"/>
  <c r="EM21" s="1"/>
  <c r="F81" i="11"/>
  <c r="E81"/>
  <c r="DH14" i="2"/>
  <c r="DL14"/>
  <c r="EE16"/>
  <c r="C101" i="6"/>
  <c r="E73"/>
  <c r="EV16" i="2"/>
  <c r="ET31"/>
  <c r="F73" i="18"/>
  <c r="E73"/>
  <c r="EE28" i="2"/>
  <c r="EG28" s="1"/>
  <c r="F25" i="7"/>
  <c r="E25"/>
  <c r="F72" i="11"/>
  <c r="E72"/>
  <c r="EE21" i="2"/>
  <c r="EG21" s="1"/>
  <c r="C98" i="11"/>
  <c r="CW31" i="2"/>
  <c r="CV32"/>
  <c r="CV33" s="1"/>
  <c r="E4" i="12"/>
  <c r="D40"/>
  <c r="F4"/>
  <c r="F12" i="9"/>
  <c r="E12"/>
  <c r="D4"/>
  <c r="Y31" i="2"/>
  <c r="G17"/>
  <c r="Z17"/>
  <c r="F4" i="10"/>
  <c r="C39"/>
  <c r="EJ15" i="2"/>
  <c r="F14" i="1"/>
  <c r="EG15" i="2"/>
  <c r="DG15"/>
  <c r="E4" i="6"/>
  <c r="D41"/>
  <c r="F4"/>
  <c r="G14" i="2"/>
  <c r="BG14"/>
  <c r="BF31"/>
  <c r="BF33" s="1"/>
  <c r="F57" i="18"/>
  <c r="E57"/>
  <c r="C99"/>
  <c r="EE25" i="2"/>
  <c r="E72" i="15"/>
  <c r="F72"/>
  <c r="ED21" i="2"/>
  <c r="DH21"/>
  <c r="ED19"/>
  <c r="DH19"/>
  <c r="E25" i="11"/>
  <c r="F25"/>
  <c r="EJ20" i="2"/>
  <c r="EI31"/>
  <c r="EI33" s="1"/>
  <c r="EG23"/>
  <c r="EG20"/>
  <c r="F98" i="13"/>
  <c r="EB31" i="2"/>
  <c r="EB33" s="1"/>
  <c r="DG19"/>
  <c r="ED27"/>
  <c r="CK31"/>
  <c r="DH17"/>
  <c r="EG17"/>
  <c r="EF31"/>
  <c r="EF33" s="1"/>
  <c r="EO31"/>
  <c r="EO33" s="1"/>
  <c r="EP18"/>
  <c r="BA18"/>
  <c r="AY33"/>
  <c r="F4" i="1"/>
  <c r="H5"/>
  <c r="ED14" i="2"/>
  <c r="EC31"/>
  <c r="EC33" s="1"/>
  <c r="D19"/>
  <c r="H19"/>
  <c r="D4" i="7"/>
  <c r="F12"/>
  <c r="E12"/>
  <c r="D39" i="17"/>
  <c r="F4"/>
  <c r="E4"/>
  <c r="E4" i="14"/>
  <c r="F4"/>
  <c r="EM19" i="2"/>
  <c r="EL31"/>
  <c r="EL33" s="1"/>
  <c r="F104" i="9"/>
  <c r="E104"/>
  <c r="E76" i="7"/>
  <c r="F76"/>
  <c r="C97"/>
  <c r="EH17" i="2"/>
  <c r="EJ17" s="1"/>
  <c r="ES19"/>
  <c r="EQ31"/>
  <c r="EQ33" s="1"/>
  <c r="F74" i="19"/>
  <c r="EH29" i="2"/>
  <c r="E74" i="19"/>
  <c r="F95"/>
  <c r="EE26" i="2"/>
  <c r="F71" i="16"/>
  <c r="C97"/>
  <c r="E71"/>
  <c r="EM14" i="2"/>
  <c r="E25" i="8"/>
  <c r="F25"/>
  <c r="F25" i="17"/>
  <c r="E25"/>
  <c r="G23" i="2"/>
  <c r="BR31"/>
  <c r="D40" i="8"/>
  <c r="F4"/>
  <c r="E4"/>
  <c r="E98" i="13"/>
  <c r="F72" i="10"/>
  <c r="C99"/>
  <c r="E99" s="1"/>
  <c r="F25" i="18"/>
  <c r="DL20" i="2"/>
  <c r="C40" i="8"/>
  <c r="C52" s="1"/>
  <c r="D39" i="13"/>
  <c r="F25"/>
  <c r="E25"/>
  <c r="CB21" i="2"/>
  <c r="D21"/>
  <c r="EK27"/>
  <c r="DG27" s="1"/>
  <c r="E16" i="1"/>
  <c r="G14"/>
  <c r="H16"/>
  <c r="E4" i="19"/>
  <c r="C37"/>
  <c r="C48" s="1"/>
  <c r="F4"/>
  <c r="H7" i="1"/>
  <c r="F25" i="14"/>
  <c r="E25"/>
  <c r="I25" i="1"/>
  <c r="C25" s="1"/>
  <c r="CT31" i="2"/>
  <c r="E37" i="4"/>
  <c r="F37"/>
  <c r="EJ26" i="2"/>
  <c r="DH26"/>
  <c r="BS25"/>
  <c r="EV20"/>
  <c r="EU31"/>
  <c r="BB32"/>
  <c r="BB33" s="1"/>
  <c r="BD31"/>
  <c r="F73" i="6"/>
  <c r="F84" i="17"/>
  <c r="DH23" i="2"/>
  <c r="DH18"/>
  <c r="DL21"/>
  <c r="CB22"/>
  <c r="CA31"/>
  <c r="BJ32"/>
  <c r="BJ33" s="1"/>
  <c r="DX31"/>
  <c r="DH27"/>
  <c r="DL27"/>
  <c r="AI31"/>
  <c r="DJ31"/>
  <c r="DJ33" s="1"/>
  <c r="BO33" l="1"/>
  <c r="J20" i="1"/>
  <c r="EW27" i="2"/>
  <c r="BZ33"/>
  <c r="I24" i="1"/>
  <c r="EW20" i="2"/>
  <c r="CA33"/>
  <c r="J24" i="1"/>
  <c r="Y33" i="2"/>
  <c r="J7" i="1"/>
  <c r="D7" s="1"/>
  <c r="BR33" i="2"/>
  <c r="J21" i="1"/>
  <c r="D21" s="1"/>
  <c r="EX27" i="2"/>
  <c r="EW14"/>
  <c r="C52" i="13"/>
  <c r="C52" i="12"/>
  <c r="D53" i="18"/>
  <c r="F51" i="11"/>
  <c r="E10" i="1"/>
  <c r="C53" i="8"/>
  <c r="DK33" i="2"/>
  <c r="C15" i="1"/>
  <c r="AP33" i="2"/>
  <c r="AO33"/>
  <c r="AZ33"/>
  <c r="DY33"/>
  <c r="C20" i="1"/>
  <c r="BN33" i="2"/>
  <c r="EN33"/>
  <c r="D52" i="15"/>
  <c r="D52" i="11"/>
  <c r="D52" i="10"/>
  <c r="C53" i="9"/>
  <c r="C54" s="1"/>
  <c r="C55" i="17"/>
  <c r="EW23" i="2"/>
  <c r="DG28"/>
  <c r="EW28" s="1"/>
  <c r="F25" i="16"/>
  <c r="E16" i="2"/>
  <c r="EX25"/>
  <c r="E28"/>
  <c r="C39" i="16"/>
  <c r="C50" s="1"/>
  <c r="BM32" i="2"/>
  <c r="BM33" s="1"/>
  <c r="C53" i="6"/>
  <c r="BP31" i="2"/>
  <c r="H16"/>
  <c r="DI14"/>
  <c r="EW19"/>
  <c r="EA31"/>
  <c r="DG21"/>
  <c r="DI21" s="1"/>
  <c r="EW22"/>
  <c r="C51" i="7"/>
  <c r="F101" i="6"/>
  <c r="H15" i="2"/>
  <c r="EX16"/>
  <c r="E26"/>
  <c r="H26"/>
  <c r="H24"/>
  <c r="E24"/>
  <c r="D22"/>
  <c r="E22" s="1"/>
  <c r="F39" i="11"/>
  <c r="I21" i="1"/>
  <c r="C21" s="1"/>
  <c r="I4"/>
  <c r="E27" i="2"/>
  <c r="EX20"/>
  <c r="K8" i="1"/>
  <c r="DI23" i="2"/>
  <c r="E8" i="1"/>
  <c r="EX28" i="2"/>
  <c r="BQ32"/>
  <c r="BQ33" s="1"/>
  <c r="F40" i="18"/>
  <c r="K5" i="1"/>
  <c r="C4"/>
  <c r="D51" i="16"/>
  <c r="K10" i="1"/>
  <c r="H14"/>
  <c r="AR31" i="2"/>
  <c r="H29"/>
  <c r="EX24"/>
  <c r="E29"/>
  <c r="EX18"/>
  <c r="E39" i="11"/>
  <c r="E101" i="6"/>
  <c r="E40" i="18"/>
  <c r="C52"/>
  <c r="C47" i="4"/>
  <c r="E20" i="2"/>
  <c r="DI20"/>
  <c r="DI22"/>
  <c r="C51" i="15"/>
  <c r="F40"/>
  <c r="E40"/>
  <c r="D52" i="5"/>
  <c r="E40"/>
  <c r="F40"/>
  <c r="E97" i="7"/>
  <c r="EX21" i="2"/>
  <c r="F97" i="7"/>
  <c r="DC32" i="2"/>
  <c r="DC33" s="1"/>
  <c r="AU31"/>
  <c r="EK31"/>
  <c r="E95" i="19"/>
  <c r="DG17" i="2"/>
  <c r="EW17" s="1"/>
  <c r="EM27"/>
  <c r="H21"/>
  <c r="C21"/>
  <c r="F39" i="13"/>
  <c r="D51"/>
  <c r="E39"/>
  <c r="H23" i="2"/>
  <c r="D23"/>
  <c r="F97" i="16"/>
  <c r="E97"/>
  <c r="E4" i="7"/>
  <c r="D39"/>
  <c r="F4"/>
  <c r="F23" i="1"/>
  <c r="F28" s="1"/>
  <c r="F98" i="15"/>
  <c r="E98"/>
  <c r="F99" i="18"/>
  <c r="E99"/>
  <c r="D17" i="2"/>
  <c r="H17"/>
  <c r="ET33"/>
  <c r="DG16"/>
  <c r="EG16"/>
  <c r="EE31"/>
  <c r="EE33" s="1"/>
  <c r="E98" i="14"/>
  <c r="F98"/>
  <c r="BD32" i="2"/>
  <c r="BD33" s="1"/>
  <c r="E37" i="19"/>
  <c r="F37"/>
  <c r="BS31" i="2"/>
  <c r="ES31"/>
  <c r="ED31"/>
  <c r="BA31"/>
  <c r="C17" i="1"/>
  <c r="EG25" i="2"/>
  <c r="DG25"/>
  <c r="DI25" s="1"/>
  <c r="J18" i="1"/>
  <c r="D18" s="1"/>
  <c r="BG31" i="2"/>
  <c r="E41" i="6"/>
  <c r="F41"/>
  <c r="D52"/>
  <c r="E15" i="2"/>
  <c r="EX15"/>
  <c r="E98" i="11"/>
  <c r="F98"/>
  <c r="EG24" i="2"/>
  <c r="DG24"/>
  <c r="DI19"/>
  <c r="F99" i="10"/>
  <c r="E5" i="1"/>
  <c r="DI18" i="2"/>
  <c r="EH31"/>
  <c r="EH33" s="1"/>
  <c r="C52" i="11"/>
  <c r="E51"/>
  <c r="EU33" i="2"/>
  <c r="EV31"/>
  <c r="EX26"/>
  <c r="F40" i="8"/>
  <c r="D52"/>
  <c r="E40"/>
  <c r="DG26" i="2"/>
  <c r="EW26" s="1"/>
  <c r="EG26"/>
  <c r="E19"/>
  <c r="EX19"/>
  <c r="C18"/>
  <c r="H18"/>
  <c r="F31"/>
  <c r="F33" s="1"/>
  <c r="EP31"/>
  <c r="E4" i="9"/>
  <c r="F4"/>
  <c r="D40"/>
  <c r="F40" i="12"/>
  <c r="D51"/>
  <c r="E40"/>
  <c r="E101" i="17"/>
  <c r="H25" i="2"/>
  <c r="C25"/>
  <c r="K25" i="1"/>
  <c r="EJ29" i="2"/>
  <c r="DG29"/>
  <c r="F40" i="14"/>
  <c r="D51"/>
  <c r="E40"/>
  <c r="D54" i="17"/>
  <c r="E39"/>
  <c r="F39"/>
  <c r="H14" i="2"/>
  <c r="G31"/>
  <c r="G33" s="1"/>
  <c r="D14"/>
  <c r="EX14" s="1"/>
  <c r="EW15"/>
  <c r="DI15"/>
  <c r="C51" i="10"/>
  <c r="F39"/>
  <c r="E39"/>
  <c r="Z31" i="2"/>
  <c r="F101" i="17"/>
  <c r="C52" i="14"/>
  <c r="DI27" i="2"/>
  <c r="K12" i="1"/>
  <c r="DH31" i="2"/>
  <c r="DH33" s="1"/>
  <c r="DL31"/>
  <c r="CB31"/>
  <c r="E21" l="1"/>
  <c r="EW21"/>
  <c r="K20" i="1"/>
  <c r="D20"/>
  <c r="D14" s="1"/>
  <c r="E50" i="16"/>
  <c r="C53" i="18"/>
  <c r="EM31" i="2"/>
  <c r="EK33"/>
  <c r="C52" i="15"/>
  <c r="DI28" i="2"/>
  <c r="EY28"/>
  <c r="F50" i="16"/>
  <c r="C51"/>
  <c r="F39"/>
  <c r="E39"/>
  <c r="EY20" i="2"/>
  <c r="EY19"/>
  <c r="EX22"/>
  <c r="EY22" s="1"/>
  <c r="DI17"/>
  <c r="D31"/>
  <c r="D33" s="1"/>
  <c r="EY27"/>
  <c r="E52" i="18"/>
  <c r="F52"/>
  <c r="D53" i="6"/>
  <c r="E51" i="15"/>
  <c r="F51"/>
  <c r="D53" i="5"/>
  <c r="E52"/>
  <c r="F52"/>
  <c r="K15" i="1"/>
  <c r="E15"/>
  <c r="EY15" i="2"/>
  <c r="DI26"/>
  <c r="EY21"/>
  <c r="DG31"/>
  <c r="K17" i="1"/>
  <c r="I14"/>
  <c r="H31" i="2"/>
  <c r="EW29"/>
  <c r="EY29" s="1"/>
  <c r="DI29"/>
  <c r="F51" i="12"/>
  <c r="E51"/>
  <c r="D52"/>
  <c r="E14" i="2"/>
  <c r="E51" i="14"/>
  <c r="F51"/>
  <c r="D52"/>
  <c r="E40" i="9"/>
  <c r="D53"/>
  <c r="F40"/>
  <c r="E23" i="2"/>
  <c r="EX23"/>
  <c r="EY23" s="1"/>
  <c r="EG31"/>
  <c r="F39" i="7"/>
  <c r="D50"/>
  <c r="E39"/>
  <c r="EX17" i="2"/>
  <c r="EY17" s="1"/>
  <c r="E17"/>
  <c r="D52" i="13"/>
  <c r="E51"/>
  <c r="F51"/>
  <c r="E7" i="1"/>
  <c r="K7"/>
  <c r="F52" i="8"/>
  <c r="D53"/>
  <c r="E52"/>
  <c r="E52" i="6"/>
  <c r="F52"/>
  <c r="C52" i="10"/>
  <c r="E51"/>
  <c r="F51"/>
  <c r="D55" i="17"/>
  <c r="F54"/>
  <c r="E54"/>
  <c r="EW25" i="2"/>
  <c r="EY25" s="1"/>
  <c r="E25"/>
  <c r="EW18"/>
  <c r="EY18" s="1"/>
  <c r="E18"/>
  <c r="C31"/>
  <c r="C33" s="1"/>
  <c r="DI24"/>
  <c r="EW24"/>
  <c r="EY24" s="1"/>
  <c r="J14" i="1"/>
  <c r="K18"/>
  <c r="E48" i="19"/>
  <c r="C49"/>
  <c r="F48"/>
  <c r="EW16" i="2"/>
  <c r="EY16" s="1"/>
  <c r="DI16"/>
  <c r="EY26"/>
  <c r="EJ31"/>
  <c r="E12" i="1"/>
  <c r="K24"/>
  <c r="E20" l="1"/>
  <c r="EW31" i="2"/>
  <c r="EW33" s="1"/>
  <c r="DI31"/>
  <c r="DG33"/>
  <c r="E31"/>
  <c r="EY14"/>
  <c r="EX31"/>
  <c r="EX33" s="1"/>
  <c r="D54" i="9"/>
  <c r="F53"/>
  <c r="E53"/>
  <c r="E18" i="1"/>
  <c r="K14"/>
  <c r="I23"/>
  <c r="I28" s="1"/>
  <c r="F50" i="7"/>
  <c r="D51"/>
  <c r="E50"/>
  <c r="E17" i="1"/>
  <c r="C14"/>
  <c r="C23" s="1"/>
  <c r="C28" s="1"/>
  <c r="E14" l="1"/>
  <c r="EY31" i="2"/>
  <c r="D36" i="4" l="1"/>
  <c r="E36" s="1"/>
  <c r="D25"/>
  <c r="F25" s="1"/>
  <c r="F34"/>
  <c r="E34"/>
  <c r="D46" l="1"/>
  <c r="E25"/>
  <c r="F36"/>
  <c r="E46" l="1"/>
  <c r="F46"/>
  <c r="D47"/>
  <c r="K6" i="1"/>
  <c r="J4"/>
  <c r="J23" s="1"/>
  <c r="K23" l="1"/>
  <c r="J28"/>
  <c r="K4"/>
  <c r="K28" l="1"/>
  <c r="H6"/>
  <c r="D6"/>
  <c r="E6" s="1"/>
  <c r="H11"/>
  <c r="D11"/>
  <c r="E11" s="1"/>
  <c r="G4"/>
  <c r="G23" s="1"/>
  <c r="D4" l="1"/>
  <c r="D23" s="1"/>
  <c r="H23"/>
  <c r="G28"/>
  <c r="H4"/>
  <c r="E4" l="1"/>
  <c r="E23"/>
  <c r="H28"/>
  <c r="E28" l="1"/>
</calcChain>
</file>

<file path=xl/sharedStrings.xml><?xml version="1.0" encoding="utf-8"?>
<sst xmlns="http://schemas.openxmlformats.org/spreadsheetml/2006/main" count="2854" uniqueCount="451">
  <si>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</si>
  <si>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</si>
  <si>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</si>
  <si>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</si>
  <si>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</si>
  <si>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</si>
  <si>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</si>
  <si>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</si>
  <si>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</si>
  <si>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</si>
  <si>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</si>
  <si>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</si>
  <si>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</si>
  <si>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</si>
  <si>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</si>
  <si>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</si>
  <si>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</si>
  <si>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</si>
  <si>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</si>
  <si>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</si>
  <si>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</si>
  <si>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</si>
  <si>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</si>
  <si>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</si>
  <si>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</si>
  <si>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</si>
  <si>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</si>
  <si>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</si>
  <si>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</si>
  <si>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</si>
  <si>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</si>
  <si>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</si>
  <si>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</si>
  <si>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</si>
  <si>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</si>
  <si>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</si>
  <si>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</si>
  <si>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</si>
  <si>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</si>
  <si>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</si>
  <si>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</si>
  <si>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</si>
  <si>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</si>
  <si>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</si>
  <si>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</si>
  <si>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</si>
  <si>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</si>
  <si>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</si>
  <si>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</si>
  <si>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</si>
  <si>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</si>
  <si>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</si>
  <si>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</si>
  <si>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</si>
  <si>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</si>
  <si>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</si>
  <si>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</si>
  <si>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</si>
  <si>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</si>
  <si>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</si>
  <si>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</si>
  <si>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</si>
  <si>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</si>
  <si>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</si>
  <si>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</si>
  <si>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</si>
  <si>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</si>
  <si>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</si>
  <si>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</si>
  <si>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</si>
  <si>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</si>
  <si>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</si>
  <si>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</si>
  <si>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</si>
  <si>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</si>
  <si>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</si>
  <si>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</si>
  <si>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</si>
  <si>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</si>
  <si>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</si>
  <si>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</si>
  <si>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</si>
  <si>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</si>
  <si>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</si>
  <si>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</si>
  <si>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</si>
  <si>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</si>
  <si>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</si>
  <si>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</si>
  <si>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</si>
  <si>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</si>
  <si>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</si>
  <si>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</si>
  <si>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</si>
  <si>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</si>
  <si>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</si>
  <si>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</si>
  <si>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</si>
  <si>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</si>
  <si>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</si>
  <si>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</si>
  <si>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</si>
  <si>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</si>
  <si>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</si>
  <si>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</si>
  <si>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</si>
  <si>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</si>
  <si>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</si>
  <si>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</si>
  <si>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</si>
  <si>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</si>
  <si>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</si>
  <si>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</si>
  <si>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</si>
  <si>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</si>
  <si>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</si>
  <si>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</si>
  <si>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</si>
  <si>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</si>
  <si>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</si>
  <si>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</si>
  <si>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</si>
  <si>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</si>
  <si>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</si>
  <si>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</si>
  <si>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</si>
  <si>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</si>
  <si>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</si>
  <si>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</si>
  <si>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</si>
  <si>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</si>
  <si>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</si>
  <si>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</si>
  <si>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</si>
  <si>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</si>
  <si>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</si>
  <si>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</si>
  <si>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</si>
  <si>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</si>
  <si>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</si>
  <si>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</si>
  <si>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</si>
  <si>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</si>
  <si>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</si>
  <si>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</si>
  <si>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</si>
  <si>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</si>
  <si>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</si>
  <si>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</si>
  <si>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</si>
  <si>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</si>
  <si>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</si>
  <si>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</si>
  <si>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</si>
  <si>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</si>
  <si>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</si>
  <si>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</si>
  <si>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</si>
  <si>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</si>
  <si>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</si>
  <si>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</si>
  <si>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</si>
  <si>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</si>
  <si>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</si>
  <si>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</si>
  <si>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</si>
  <si>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</si>
  <si>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</si>
  <si>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</si>
  <si>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</si>
  <si>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</si>
  <si>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</si>
  <si>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</si>
  <si>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</si>
  <si>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</si>
  <si>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</si>
  <si>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</si>
  <si>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</si>
  <si>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</si>
  <si>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</si>
  <si>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</si>
  <si>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</si>
  <si>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</si>
  <si>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</si>
  <si>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</si>
  <si>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</si>
  <si>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</si>
  <si>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</si>
  <si>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</si>
  <si>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</si>
  <si>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</si>
  <si>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</si>
  <si>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</si>
  <si>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</si>
  <si>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</si>
  <si>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</si>
  <si>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</si>
  <si>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</si>
  <si>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1000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</si>
  <si>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</si>
  <si>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</si>
  <si>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</si>
  <si>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</si>
  <si>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</si>
  <si>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</si>
  <si>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</si>
  <si>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</si>
  <si>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</si>
  <si>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</si>
  <si>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</si>
  <si>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</si>
  <si>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</si>
  <si>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</si>
  <si>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</si>
  <si>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</si>
  <si>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</si>
  <si>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</si>
  <si>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</si>
  <si>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</si>
  <si>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</si>
  <si>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</si>
  <si>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</si>
  <si>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</si>
  <si>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</si>
  <si>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</si>
  <si>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</si>
  <si>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</si>
  <si>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</si>
  <si>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</si>
  <si>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</si>
  <si>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</si>
  <si>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</si>
  <si>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</si>
  <si>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</si>
  <si>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</si>
  <si>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</si>
  <si>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</si>
  <si>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</si>
  <si>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</si>
  <si>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</si>
  <si>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</si>
  <si>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</si>
  <si>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</si>
  <si>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</si>
  <si>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</si>
  <si>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</si>
  <si>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</si>
  <si>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</si>
  <si>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</si>
  <si>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</si>
  <si>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</si>
  <si>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</si>
  <si>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</si>
  <si>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</si>
  <si>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</si>
  <si>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</si>
  <si>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</si>
  <si>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</si>
  <si>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</si>
  <si>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</si>
  <si>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</si>
  <si>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</si>
  <si>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</si>
  <si>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</si>
  <si>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</si>
  <si>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</si>
  <si>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</si>
  <si>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</si>
  <si>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</si>
  <si>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</si>
  <si>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</si>
  <si>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</si>
  <si>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</si>
  <si>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</si>
  <si>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</si>
  <si>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</si>
  <si>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</si>
  <si>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</si>
  <si>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</si>
  <si>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</si>
  <si>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</si>
  <si>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</si>
  <si>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</si>
  <si>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</si>
  <si>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</si>
  <si>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</si>
  <si>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</si>
  <si>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</si>
  <si>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</si>
  <si>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</si>
  <si>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</si>
  <si>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</si>
  <si>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</si>
  <si>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</si>
  <si>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</si>
  <si>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</si>
  <si>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</si>
  <si>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</si>
  <si>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</si>
  <si>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</si>
  <si>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% исполнения к плану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</si>
  <si>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</si>
  <si>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</si>
  <si>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</si>
  <si>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</si>
  <si>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</si>
  <si>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</si>
  <si>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</si>
  <si>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</si>
  <si>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</si>
  <si>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</si>
  <si>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</si>
  <si>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</si>
  <si>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</si>
  <si>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</si>
  <si>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</si>
  <si>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</si>
  <si>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</si>
  <si>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</si>
  <si>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</si>
  <si>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</si>
  <si>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</si>
  <si>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</si>
  <si>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</si>
  <si>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</si>
  <si>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</si>
  <si>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</si>
  <si>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</si>
  <si>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</si>
  <si>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</si>
  <si>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</si>
  <si>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</si>
  <si>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</si>
  <si>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</si>
  <si>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</si>
  <si>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</si>
  <si>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</si>
  <si>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</si>
  <si>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</si>
  <si>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</si>
  <si>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</si>
  <si>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</si>
  <si>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</si>
  <si>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</si>
  <si>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</si>
  <si>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</si>
  <si>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</si>
  <si>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</si>
  <si>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</si>
  <si>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</si>
  <si>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</si>
  <si>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</si>
  <si>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</si>
  <si>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</si>
  <si>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</si>
  <si>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</si>
  <si>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</si>
  <si>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</si>
  <si>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</si>
  <si>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</si>
  <si>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</si>
  <si>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</si>
  <si>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</si>
  <si>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</si>
  <si>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</si>
  <si>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</si>
  <si>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</si>
  <si>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</si>
  <si>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</si>
  <si>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</si>
  <si>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</si>
  <si>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</si>
  <si>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</si>
  <si>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</si>
  <si>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</si>
  <si>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</si>
  <si>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</si>
  <si>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>Дотация бюджетам по обеспечению сбалансированности бюджетов</t>
  </si>
  <si>
    <t>0401</t>
  </si>
  <si>
    <t>Общеэкономические вопросы</t>
  </si>
  <si>
    <t xml:space="preserve">                                                                Анализ исполнения райбюджета</t>
  </si>
  <si>
    <t>Доходы от реализации имущества                                          000 114 02014100000 420</t>
  </si>
  <si>
    <t>назначено на 2020 г.</t>
  </si>
  <si>
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</si>
  <si>
    <t>план на 2020 г.</t>
  </si>
  <si>
    <t>Упрощенная система налогооблажения</t>
  </si>
  <si>
    <t>Иные штафы, неустойки, пени, уплаченные в соотв с законом или договорам</t>
  </si>
  <si>
    <t>Доходы от д.в. (штрафов),поступ в счет погашения задолж., образ до 1 января 2020 года</t>
  </si>
  <si>
    <t>% исполнения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</si>
  <si>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</si>
  <si>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возхмещения причиненного ущерба (убытка)</t>
  </si>
  <si>
    <t>Платежи,уплачиваемые в целях возмещения вреда</t>
  </si>
  <si>
    <t>Штрафы, неустойки, пени,уплаченные в соответствии с законом или договорам в случае неисполнения или ненадлежащего исполнения обязательств</t>
  </si>
  <si>
    <t>ШТРАФЫ,САНКЦИИ,ВОЗМЕЩЕНИЕ УЩЕРБА</t>
  </si>
  <si>
    <t>Штрафы,неустойки,пени, уплаченные в соответствии с законом или договорам</t>
  </si>
  <si>
    <t xml:space="preserve">Штрафы, неустойки, пени уплаченные в случае просрочки исполнения поставщиком </t>
  </si>
  <si>
    <t xml:space="preserve">Доходы,  </t>
  </si>
  <si>
    <t>Штрафы, неустойки, пени, уплаченные в случае просрочки исполнения поставщиком</t>
  </si>
  <si>
    <t xml:space="preserve">  Доходы от компенсации затрат государства</t>
  </si>
  <si>
    <t>Плата за увеличение площади земельных участках,находящихся в частной собственности</t>
  </si>
  <si>
    <t>Заместитель главы администрации района -</t>
  </si>
  <si>
    <t xml:space="preserve">начальник финансового отдела </t>
  </si>
  <si>
    <t>Анализ исполнения консолидированного бюджета Моргаушского районана 01.01.2021 г.</t>
  </si>
  <si>
    <t>исполнено на 01.01.2021 г.</t>
  </si>
  <si>
    <t>об исполнении бюджетов поселений  Моргаушского района  на 1 января 2021 г.</t>
  </si>
  <si>
    <t xml:space="preserve">                                                        Моргаушского района на 01.01.2021 г. </t>
  </si>
  <si>
    <t xml:space="preserve">исполнено на 01.01.2021 г. </t>
  </si>
  <si>
    <t>исполнен на 01.01.2021 г.</t>
  </si>
  <si>
    <t xml:space="preserve">                     Анализ исполнения бюджета Александровского сельского поселения на 01.01.2021 г.</t>
  </si>
  <si>
    <t>Прочие доходы от использования имущества и прав,находящихся в гос. и мун.соб-ти</t>
  </si>
  <si>
    <t>ШТРАФЫ, САНЦИИ, ВОЗМЕЩЕНИЕ УЩЕРБА</t>
  </si>
  <si>
    <t>Штрафы,неустойки, пени, уплаченные</t>
  </si>
  <si>
    <t>исполнено на 01.01.2021 г</t>
  </si>
  <si>
    <t xml:space="preserve">                     Анализ исполнения бюджета Большесундырского сельского поселения на 01.01.2021 г.</t>
  </si>
  <si>
    <t xml:space="preserve">                     Анализ исполнения бюджета Ильинского сельского поселения на 01.01.2021 г.</t>
  </si>
  <si>
    <t xml:space="preserve">                     Анализ исполнения бюджета Кадикасинского сельского поселения на 01.01.2021 г.</t>
  </si>
  <si>
    <t xml:space="preserve">                     Анализ исполнения бюджета Моргаушского сельского поселения на 01.01.2021 г.</t>
  </si>
  <si>
    <t>Иные штрафы, неустойки, пени</t>
  </si>
  <si>
    <t xml:space="preserve">                     Анализ исполнения бюджета Москакасинского сельского поселения на 01.01.2021 г.</t>
  </si>
  <si>
    <t>Иные штрафы, неустойки, пени,</t>
  </si>
  <si>
    <t xml:space="preserve">                     Анализ исполнения бюджета Орининского сельского поселения на 01.01.2021 г.</t>
  </si>
  <si>
    <t xml:space="preserve">                     Анализ исполнения бюджета Сятракасинского сельского поселения на 01.01.2021 г.</t>
  </si>
  <si>
    <t xml:space="preserve">                     Анализ исполнения бюджета Тораевского сельского поселения на 01.01.2021 г.</t>
  </si>
  <si>
    <t xml:space="preserve">                     Анализ исполнения бюджета Хорнойского сельского поселения на 01.01.2021 г.</t>
  </si>
  <si>
    <t xml:space="preserve">                     Анализ исполнения бюджета Чуманкасинского сельского поселения на 01.01.2021 г.</t>
  </si>
  <si>
    <t xml:space="preserve">                     Анализ исполнения бюджета Шатьмапосинского сельского поселения на 01.01.2021 г.</t>
  </si>
  <si>
    <t>Штрафы, неустойки, пени, уплаченные в соответствиис законом или договором</t>
  </si>
  <si>
    <t xml:space="preserve">                     Анализ исполнения бюджета Юнгинского сельского поселения на 01.01.2021 г.</t>
  </si>
  <si>
    <t>исполнено на 01.01.2021г.</t>
  </si>
  <si>
    <t xml:space="preserve">                     Анализ исполнения бюджета Юськасинского сельского поселения на 01.01.2021 г.</t>
  </si>
  <si>
    <t xml:space="preserve">                     Анализ исполнения бюджета Ярабайкасинского сельского поселения на 01.01.2021 г.</t>
  </si>
  <si>
    <t xml:space="preserve">                     Анализ исполнения бюджета Ярославского сельского поселения на 01.01.2021 г.</t>
  </si>
  <si>
    <t>Штафы, неустойки, пени, уплаченные в случае просрочки исполнения поставщиком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</si>
  <si>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</si>
  <si>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</si>
  <si>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</si>
  <si>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</si>
  <si>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</si>
  <si>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</si>
  <si>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</si>
  <si>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</si>
  <si>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</si>
  <si>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</si>
  <si>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</si>
  <si>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</si>
  <si>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</si>
  <si>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</si>
  <si>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</si>
  <si>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Заместитель главы администрации Моргаушского района -начальник финансового отдела</t>
  </si>
  <si>
    <t>Р.И. Ананьева</t>
  </si>
  <si>
    <t>Доходы бюджетов муниц.районов от возврата оргнизациями остатков субсидий прошлых лет</t>
  </si>
</sst>
</file>

<file path=xl/styles.xml><?xml version="1.0" encoding="utf-8"?>
<styleSheet xmlns="http://schemas.openxmlformats.org/spreadsheetml/2006/main">
  <numFmts count="2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0.0000"/>
    <numFmt numFmtId="174" formatCode="_(* #,##0.0000_);_(* \(#,##0.0000\);_(* &quot;-&quot;??_);_(@_)"/>
    <numFmt numFmtId="175" formatCode="_(* #,##0.00000_);_(* \(#,##0.00000\);_(* &quot;-&quot;??_);_(@_)"/>
    <numFmt numFmtId="176" formatCode="0.0000000"/>
    <numFmt numFmtId="177" formatCode="_(* #,##0_);_(* \(#,##0\);_(* &quot;-&quot;??_);_(@_)"/>
    <numFmt numFmtId="178" formatCode="#,##0.000000"/>
    <numFmt numFmtId="179" formatCode="_-* #,##0.0000000_р_._-;\-* #,##0.0000000_р_._-;_-* &quot;-&quot;?????_р_._-;_-@_-"/>
    <numFmt numFmtId="180" formatCode="#,##0.00000000"/>
    <numFmt numFmtId="181" formatCode="_(* #,##0.000000_);_(* \(#,##0.000000\);_(* &quot;-&quot;??_);_(@_)"/>
    <numFmt numFmtId="182" formatCode="0.000"/>
    <numFmt numFmtId="183" formatCode="_-* #,##0.00000\ _₽_-;\-* #,##0.00000\ _₽_-;_-* &quot;-&quot;?????\ _₽_-;_-@_-"/>
    <numFmt numFmtId="184" formatCode="#,##0.0000"/>
    <numFmt numFmtId="185" formatCode="_(* #,##0.000_);_(* \(#,##0.000\);_(* &quot;-&quot;??_);_(@_)"/>
    <numFmt numFmtId="186" formatCode="#,##0.000"/>
    <numFmt numFmtId="187" formatCode="0.000000"/>
  </numFmts>
  <fonts count="43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family val="2"/>
      <charset val="204"/>
    </font>
    <font>
      <sz val="14"/>
      <name val="TimesET"/>
    </font>
    <font>
      <sz val="14"/>
      <name val="TimesET"/>
      <charset val="204"/>
    </font>
    <font>
      <sz val="14"/>
      <color indexed="8"/>
      <name val="TimesET"/>
    </font>
    <font>
      <b/>
      <sz val="14"/>
      <name val="TimesET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 Cyr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45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0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3" fillId="0" borderId="1" xfId="11" applyNumberFormat="1" applyFont="1" applyFill="1" applyBorder="1" applyAlignment="1">
      <alignment horizontal="center" vertical="center" wrapText="1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2" fillId="0" borderId="0" xfId="9" applyFont="1"/>
    <xf numFmtId="0" fontId="13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4" fontId="7" fillId="0" borderId="0" xfId="8" applyNumberFormat="1" applyFont="1"/>
    <xf numFmtId="174" fontId="5" fillId="0" borderId="0" xfId="9" applyNumberFormat="1" applyFont="1" applyAlignment="1">
      <alignment horizontal="center"/>
    </xf>
    <xf numFmtId="175" fontId="5" fillId="0" borderId="0" xfId="8" applyNumberFormat="1" applyFont="1"/>
    <xf numFmtId="175" fontId="7" fillId="0" borderId="0" xfId="8" applyNumberFormat="1" applyFont="1"/>
    <xf numFmtId="175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79" fontId="5" fillId="0" borderId="0" xfId="8" applyNumberFormat="1" applyFont="1"/>
    <xf numFmtId="173" fontId="3" fillId="0" borderId="0" xfId="9" applyNumberFormat="1" applyFont="1"/>
    <xf numFmtId="174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68" fontId="3" fillId="0" borderId="1" xfId="11" applyNumberFormat="1" applyFont="1" applyBorder="1" applyAlignment="1">
      <alignment horizontal="center" vertical="center" wrapText="1"/>
    </xf>
    <xf numFmtId="175" fontId="5" fillId="0" borderId="1" xfId="9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2" fontId="3" fillId="0" borderId="1" xfId="11" applyNumberFormat="1" applyFont="1" applyBorder="1" applyAlignment="1">
      <alignment horizontal="center" vertical="center" wrapText="1"/>
    </xf>
    <xf numFmtId="2" fontId="3" fillId="0" borderId="1" xfId="11" applyNumberFormat="1" applyFont="1" applyFill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6" fontId="5" fillId="0" borderId="0" xfId="9" applyNumberFormat="1" applyFont="1"/>
    <xf numFmtId="0" fontId="15" fillId="3" borderId="0" xfId="0" applyFont="1" applyFill="1"/>
    <xf numFmtId="0" fontId="15" fillId="0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 applyProtection="1">
      <alignment vertical="center" wrapText="1"/>
      <protection locked="0"/>
    </xf>
    <xf numFmtId="0" fontId="17" fillId="3" borderId="0" xfId="0" applyFont="1" applyFill="1"/>
    <xf numFmtId="0" fontId="17" fillId="3" borderId="0" xfId="0" applyFont="1" applyFill="1" applyBorder="1" applyAlignment="1">
      <alignment vertical="center" wrapText="1"/>
    </xf>
    <xf numFmtId="168" fontId="17" fillId="3" borderId="0" xfId="0" applyNumberFormat="1" applyFont="1" applyFill="1" applyBorder="1"/>
    <xf numFmtId="172" fontId="17" fillId="3" borderId="0" xfId="0" applyNumberFormat="1" applyFont="1" applyFill="1"/>
    <xf numFmtId="0" fontId="17" fillId="4" borderId="0" xfId="0" applyFont="1" applyFill="1"/>
    <xf numFmtId="0" fontId="17" fillId="3" borderId="0" xfId="0" applyFont="1" applyFill="1" applyAlignment="1"/>
    <xf numFmtId="4" fontId="17" fillId="3" borderId="0" xfId="0" applyNumberFormat="1" applyFont="1" applyFill="1"/>
    <xf numFmtId="172" fontId="15" fillId="3" borderId="0" xfId="0" applyNumberFormat="1" applyFont="1" applyFill="1"/>
    <xf numFmtId="180" fontId="15" fillId="3" borderId="0" xfId="0" applyNumberFormat="1" applyFont="1" applyFill="1"/>
    <xf numFmtId="178" fontId="15" fillId="3" borderId="0" xfId="0" applyNumberFormat="1" applyFont="1" applyFill="1"/>
    <xf numFmtId="168" fontId="17" fillId="5" borderId="0" xfId="0" applyNumberFormat="1" applyFont="1" applyFill="1" applyBorder="1"/>
    <xf numFmtId="172" fontId="17" fillId="5" borderId="0" xfId="0" applyNumberFormat="1" applyFont="1" applyFill="1"/>
    <xf numFmtId="0" fontId="17" fillId="5" borderId="0" xfId="0" applyFont="1" applyFill="1"/>
    <xf numFmtId="177" fontId="5" fillId="0" borderId="1" xfId="6" applyNumberFormat="1" applyFont="1" applyBorder="1" applyAlignment="1">
      <alignment horizontal="right" vertical="center"/>
    </xf>
    <xf numFmtId="177" fontId="5" fillId="0" borderId="1" xfId="9" applyNumberFormat="1" applyFont="1" applyBorder="1" applyAlignment="1">
      <alignment horizontal="right" vertical="center"/>
    </xf>
    <xf numFmtId="177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" fontId="3" fillId="0" borderId="1" xfId="11" applyNumberFormat="1" applyFont="1" applyFill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5" fontId="3" fillId="0" borderId="1" xfId="11" applyNumberFormat="1" applyFont="1" applyBorder="1" applyAlignment="1">
      <alignment horizontal="center" vertical="center" wrapText="1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6" fontId="5" fillId="0" borderId="0" xfId="9" applyNumberFormat="1" applyFont="1" applyFill="1"/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72" fontId="3" fillId="0" borderId="0" xfId="9" applyNumberFormat="1" applyFont="1"/>
    <xf numFmtId="166" fontId="18" fillId="0" borderId="1" xfId="0" applyNumberFormat="1" applyFont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horizontal="center" vertical="center" wrapText="1"/>
    </xf>
    <xf numFmtId="166" fontId="18" fillId="6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2" fontId="3" fillId="0" borderId="0" xfId="9" applyNumberFormat="1" applyFont="1"/>
    <xf numFmtId="0" fontId="17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75" fontId="5" fillId="0" borderId="1" xfId="11" applyNumberFormat="1" applyFont="1" applyFill="1" applyBorder="1" applyAlignment="1">
      <alignment horizontal="right" vertical="center"/>
    </xf>
    <xf numFmtId="175" fontId="3" fillId="0" borderId="1" xfId="0" applyNumberFormat="1" applyFont="1" applyBorder="1" applyAlignment="1">
      <alignment horizontal="right" vertical="center"/>
    </xf>
    <xf numFmtId="175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7" fontId="5" fillId="5" borderId="1" xfId="6" applyNumberFormat="1" applyFont="1" applyFill="1" applyBorder="1" applyAlignment="1">
      <alignment horizontal="right" vertical="center"/>
    </xf>
    <xf numFmtId="177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22" fillId="0" borderId="1" xfId="6" applyNumberFormat="1" applyFont="1" applyBorder="1" applyAlignment="1">
      <alignment horizontal="right"/>
    </xf>
    <xf numFmtId="0" fontId="23" fillId="0" borderId="1" xfId="11" applyFont="1" applyBorder="1" applyAlignment="1">
      <alignment horizontal="center"/>
    </xf>
    <xf numFmtId="0" fontId="23" fillId="0" borderId="1" xfId="11" applyFont="1" applyBorder="1" applyAlignment="1"/>
    <xf numFmtId="172" fontId="5" fillId="0" borderId="0" xfId="9" applyNumberFormat="1" applyFont="1"/>
    <xf numFmtId="172" fontId="7" fillId="0" borderId="0" xfId="8" applyNumberFormat="1" applyFont="1"/>
    <xf numFmtId="175" fontId="3" fillId="0" borderId="0" xfId="9" applyNumberFormat="1" applyFont="1"/>
    <xf numFmtId="2" fontId="3" fillId="0" borderId="1" xfId="11" applyNumberFormat="1" applyFont="1" applyBorder="1" applyAlignment="1">
      <alignment horizontal="right" vertical="center"/>
    </xf>
    <xf numFmtId="168" fontId="17" fillId="0" borderId="0" xfId="0" applyNumberFormat="1" applyFont="1" applyFill="1" applyBorder="1"/>
    <xf numFmtId="172" fontId="17" fillId="0" borderId="0" xfId="0" applyNumberFormat="1" applyFont="1" applyFill="1"/>
    <xf numFmtId="0" fontId="17" fillId="0" borderId="0" xfId="0" applyFont="1" applyFill="1"/>
    <xf numFmtId="175" fontId="3" fillId="0" borderId="1" xfId="9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2" fontId="5" fillId="0" borderId="1" xfId="11" applyNumberFormat="1" applyFont="1" applyFill="1" applyBorder="1" applyAlignment="1">
      <alignment horizontal="right" vertical="center"/>
    </xf>
    <xf numFmtId="166" fontId="24" fillId="0" borderId="1" xfId="6" applyNumberFormat="1" applyFont="1" applyBorder="1" applyAlignment="1">
      <alignment horizontal="right"/>
    </xf>
    <xf numFmtId="167" fontId="3" fillId="0" borderId="0" xfId="9" applyNumberFormat="1" applyFont="1"/>
    <xf numFmtId="183" fontId="3" fillId="0" borderId="0" xfId="9" applyNumberFormat="1" applyFont="1"/>
    <xf numFmtId="2" fontId="3" fillId="0" borderId="1" xfId="11" applyNumberFormat="1" applyFont="1" applyFill="1" applyBorder="1" applyAlignment="1">
      <alignment horizontal="right" vertical="center"/>
    </xf>
    <xf numFmtId="2" fontId="5" fillId="2" borderId="1" xfId="4" applyNumberFormat="1" applyFont="1" applyFill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21" fillId="0" borderId="1" xfId="11" applyNumberFormat="1" applyFont="1" applyBorder="1" applyAlignment="1">
      <alignment horizontal="right" vertical="center"/>
    </xf>
    <xf numFmtId="0" fontId="3" fillId="0" borderId="8" xfId="11" applyFont="1" applyBorder="1" applyAlignment="1">
      <alignment horizontal="center"/>
    </xf>
    <xf numFmtId="0" fontId="3" fillId="0" borderId="8" xfId="11" applyFont="1" applyBorder="1"/>
    <xf numFmtId="166" fontId="3" fillId="0" borderId="8" xfId="11" applyNumberFormat="1" applyFont="1" applyBorder="1" applyAlignment="1">
      <alignment horizontal="right" vertical="center"/>
    </xf>
    <xf numFmtId="165" fontId="5" fillId="0" borderId="1" xfId="12" applyFont="1" applyBorder="1"/>
    <xf numFmtId="165" fontId="5" fillId="0" borderId="1" xfId="12" applyFont="1" applyBorder="1" applyAlignment="1">
      <alignment horizontal="right" vertical="center"/>
    </xf>
    <xf numFmtId="165" fontId="5" fillId="0" borderId="0" xfId="12" applyFont="1"/>
    <xf numFmtId="0" fontId="27" fillId="3" borderId="3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8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center"/>
    </xf>
    <xf numFmtId="166" fontId="27" fillId="3" borderId="1" xfId="0" applyNumberFormat="1" applyFont="1" applyFill="1" applyBorder="1"/>
    <xf numFmtId="167" fontId="27" fillId="0" borderId="1" xfId="0" applyNumberFormat="1" applyFont="1" applyFill="1" applyBorder="1"/>
    <xf numFmtId="167" fontId="27" fillId="3" borderId="1" xfId="0" applyNumberFormat="1" applyFont="1" applyFill="1" applyBorder="1" applyAlignment="1">
      <alignment vertical="center" wrapText="1"/>
    </xf>
    <xf numFmtId="167" fontId="26" fillId="3" borderId="1" xfId="0" applyNumberFormat="1" applyFont="1" applyFill="1" applyBorder="1"/>
    <xf numFmtId="167" fontId="27" fillId="3" borderId="1" xfId="0" applyNumberFormat="1" applyFont="1" applyFill="1" applyBorder="1" applyAlignment="1" applyProtection="1">
      <alignment vertical="center" wrapText="1"/>
    </xf>
    <xf numFmtId="167" fontId="27" fillId="5" borderId="1" xfId="0" applyNumberFormat="1" applyFont="1" applyFill="1" applyBorder="1" applyAlignment="1" applyProtection="1">
      <alignment vertical="center" wrapText="1"/>
    </xf>
    <xf numFmtId="166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 applyProtection="1">
      <alignment vertical="center" wrapText="1"/>
      <protection locked="0"/>
    </xf>
    <xf numFmtId="166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vertical="center" wrapText="1"/>
    </xf>
    <xf numFmtId="166" fontId="27" fillId="3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>
      <alignment vertical="center" wrapText="1"/>
    </xf>
    <xf numFmtId="172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 applyProtection="1">
      <alignment vertical="center" wrapText="1"/>
      <protection locked="0"/>
    </xf>
    <xf numFmtId="167" fontId="25" fillId="3" borderId="1" xfId="0" applyNumberFormat="1" applyFont="1" applyFill="1" applyBorder="1" applyAlignment="1">
      <alignment vertical="center" wrapText="1"/>
    </xf>
    <xf numFmtId="167" fontId="27" fillId="0" borderId="1" xfId="0" applyNumberFormat="1" applyFont="1" applyFill="1" applyBorder="1" applyAlignment="1" applyProtection="1">
      <alignment vertical="center" wrapText="1"/>
      <protection locked="0"/>
    </xf>
    <xf numFmtId="166" fontId="27" fillId="0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horizontal="right" vertical="center" wrapText="1"/>
    </xf>
    <xf numFmtId="166" fontId="27" fillId="0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 applyProtection="1">
      <alignment vertical="center" wrapText="1"/>
      <protection locked="0"/>
    </xf>
    <xf numFmtId="167" fontId="26" fillId="0" borderId="1" xfId="0" applyNumberFormat="1" applyFont="1" applyFill="1" applyBorder="1"/>
    <xf numFmtId="166" fontId="27" fillId="0" borderId="1" xfId="0" applyNumberFormat="1" applyFont="1" applyFill="1" applyBorder="1"/>
    <xf numFmtId="167" fontId="27" fillId="0" borderId="1" xfId="0" applyNumberFormat="1" applyFont="1" applyFill="1" applyBorder="1" applyAlignment="1" applyProtection="1">
      <alignment vertical="center" wrapText="1"/>
    </xf>
    <xf numFmtId="166" fontId="27" fillId="5" borderId="1" xfId="0" applyNumberFormat="1" applyFont="1" applyFill="1" applyBorder="1"/>
    <xf numFmtId="167" fontId="27" fillId="5" borderId="1" xfId="0" applyNumberFormat="1" applyFont="1" applyFill="1" applyBorder="1"/>
    <xf numFmtId="167" fontId="26" fillId="5" borderId="1" xfId="0" applyNumberFormat="1" applyFont="1" applyFill="1" applyBorder="1"/>
    <xf numFmtId="166" fontId="27" fillId="5" borderId="1" xfId="0" applyNumberFormat="1" applyFont="1" applyFill="1" applyBorder="1" applyAlignment="1">
      <alignment vertical="center" wrapText="1"/>
    </xf>
    <xf numFmtId="167" fontId="27" fillId="5" borderId="1" xfId="0" applyNumberFormat="1" applyFont="1" applyFill="1" applyBorder="1" applyAlignment="1">
      <alignment horizontal="right" vertical="center" wrapText="1"/>
    </xf>
    <xf numFmtId="167" fontId="28" fillId="5" borderId="1" xfId="0" applyNumberFormat="1" applyFont="1" applyFill="1" applyBorder="1" applyAlignment="1" applyProtection="1">
      <alignment vertical="center" wrapText="1"/>
      <protection locked="0"/>
    </xf>
    <xf numFmtId="167" fontId="25" fillId="5" borderId="1" xfId="0" applyNumberFormat="1" applyFont="1" applyFill="1" applyBorder="1" applyAlignment="1">
      <alignment vertical="center" wrapText="1"/>
    </xf>
    <xf numFmtId="167" fontId="25" fillId="0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/>
    <xf numFmtId="167" fontId="26" fillId="0" borderId="1" xfId="0" applyNumberFormat="1" applyFont="1" applyFill="1" applyBorder="1" applyAlignment="1">
      <alignment vertical="center" wrapText="1"/>
    </xf>
    <xf numFmtId="178" fontId="27" fillId="3" borderId="1" xfId="0" applyNumberFormat="1" applyFont="1" applyFill="1" applyBorder="1" applyAlignment="1" applyProtection="1">
      <alignment vertical="center" wrapText="1"/>
      <protection locked="0"/>
    </xf>
    <xf numFmtId="178" fontId="27" fillId="3" borderId="1" xfId="0" applyNumberFormat="1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vertical="center" wrapText="1"/>
    </xf>
    <xf numFmtId="167" fontId="31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horizontal="right" vertical="center" wrapText="1"/>
    </xf>
    <xf numFmtId="167" fontId="30" fillId="0" borderId="1" xfId="0" applyNumberFormat="1" applyFont="1" applyFill="1" applyBorder="1" applyAlignment="1">
      <alignment vertical="center" wrapText="1"/>
    </xf>
    <xf numFmtId="0" fontId="33" fillId="3" borderId="1" xfId="10" applyFont="1" applyFill="1" applyBorder="1" applyAlignment="1">
      <alignment vertical="center" wrapText="1"/>
    </xf>
    <xf numFmtId="0" fontId="34" fillId="3" borderId="1" xfId="10" applyFont="1" applyFill="1" applyBorder="1" applyAlignment="1" applyProtection="1">
      <alignment vertical="center" wrapText="1"/>
      <protection locked="0"/>
    </xf>
    <xf numFmtId="0" fontId="34" fillId="0" borderId="1" xfId="10" applyFont="1" applyFill="1" applyBorder="1" applyAlignment="1" applyProtection="1">
      <alignment vertical="center" wrapText="1"/>
      <protection locked="0"/>
    </xf>
    <xf numFmtId="0" fontId="33" fillId="5" borderId="1" xfId="10" applyFont="1" applyFill="1" applyBorder="1" applyAlignment="1">
      <alignment vertical="center" wrapText="1"/>
    </xf>
    <xf numFmtId="0" fontId="34" fillId="5" borderId="1" xfId="10" applyFont="1" applyFill="1" applyBorder="1" applyAlignment="1" applyProtection="1">
      <alignment vertical="center" wrapText="1"/>
      <protection locked="0"/>
    </xf>
    <xf numFmtId="0" fontId="33" fillId="0" borderId="1" xfId="10" applyFont="1" applyFill="1" applyBorder="1" applyAlignment="1">
      <alignment vertical="center" wrapText="1"/>
    </xf>
    <xf numFmtId="0" fontId="35" fillId="0" borderId="1" xfId="10" applyFont="1" applyFill="1" applyBorder="1" applyAlignment="1">
      <alignment vertical="center" wrapText="1"/>
    </xf>
    <xf numFmtId="0" fontId="33" fillId="3" borderId="3" xfId="10" applyFont="1" applyFill="1" applyBorder="1" applyAlignment="1">
      <alignment vertical="center" wrapText="1"/>
    </xf>
    <xf numFmtId="0" fontId="34" fillId="3" borderId="5" xfId="10" applyFont="1" applyFill="1" applyBorder="1" applyAlignment="1" applyProtection="1">
      <alignment vertical="center" wrapText="1"/>
      <protection locked="0"/>
    </xf>
    <xf numFmtId="0" fontId="37" fillId="3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7" fillId="3" borderId="0" xfId="0" applyFont="1" applyFill="1"/>
    <xf numFmtId="0" fontId="38" fillId="3" borderId="0" xfId="0" applyFont="1" applyFill="1" applyAlignment="1">
      <alignment vertical="center" wrapText="1"/>
    </xf>
    <xf numFmtId="0" fontId="31" fillId="3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8" fillId="3" borderId="0" xfId="0" applyFont="1" applyFill="1"/>
    <xf numFmtId="0" fontId="18" fillId="0" borderId="1" xfId="11" applyFont="1" applyBorder="1" applyAlignment="1">
      <alignment horizontal="center" vertical="center" wrapText="1"/>
    </xf>
    <xf numFmtId="166" fontId="18" fillId="0" borderId="1" xfId="11" applyNumberFormat="1" applyFont="1" applyBorder="1" applyAlignment="1">
      <alignment horizontal="center" vertical="center" wrapText="1"/>
    </xf>
    <xf numFmtId="166" fontId="18" fillId="0" borderId="1" xfId="11" applyNumberFormat="1" applyFont="1" applyFill="1" applyBorder="1" applyAlignment="1">
      <alignment horizontal="center" vertical="center" wrapText="1"/>
    </xf>
    <xf numFmtId="166" fontId="18" fillId="0" borderId="1" xfId="11" applyNumberFormat="1" applyFont="1" applyBorder="1" applyAlignment="1">
      <alignment horizontal="center" vertical="center"/>
    </xf>
    <xf numFmtId="0" fontId="18" fillId="0" borderId="1" xfId="11" applyFont="1" applyBorder="1" applyAlignment="1">
      <alignment horizontal="center"/>
    </xf>
    <xf numFmtId="0" fontId="18" fillId="0" borderId="1" xfId="11" applyFont="1" applyBorder="1"/>
    <xf numFmtId="166" fontId="18" fillId="0" borderId="1" xfId="11" applyNumberFormat="1" applyFont="1" applyBorder="1" applyAlignment="1">
      <alignment horizontal="right" vertical="center"/>
    </xf>
    <xf numFmtId="0" fontId="19" fillId="0" borderId="1" xfId="11" applyFont="1" applyBorder="1" applyAlignment="1">
      <alignment horizontal="center"/>
    </xf>
    <xf numFmtId="0" fontId="19" fillId="0" borderId="1" xfId="11" applyFont="1" applyBorder="1" applyAlignment="1">
      <alignment wrapText="1"/>
    </xf>
    <xf numFmtId="166" fontId="19" fillId="0" borderId="1" xfId="11" applyNumberFormat="1" applyFont="1" applyBorder="1" applyAlignment="1">
      <alignment horizontal="right" vertical="center"/>
    </xf>
    <xf numFmtId="166" fontId="19" fillId="0" borderId="1" xfId="11" applyNumberFormat="1" applyFont="1" applyFill="1" applyBorder="1" applyAlignment="1">
      <alignment horizontal="right" vertical="center"/>
    </xf>
    <xf numFmtId="0" fontId="18" fillId="0" borderId="1" xfId="11" applyFont="1" applyBorder="1" applyAlignment="1">
      <alignment wrapText="1"/>
    </xf>
    <xf numFmtId="0" fontId="19" fillId="0" borderId="1" xfId="11" applyFont="1" applyBorder="1"/>
    <xf numFmtId="166" fontId="19" fillId="0" borderId="1" xfId="0" applyNumberFormat="1" applyFont="1" applyBorder="1" applyAlignment="1">
      <alignment horizontal="right" vertical="center"/>
    </xf>
    <xf numFmtId="0" fontId="19" fillId="0" borderId="1" xfId="11" applyFont="1" applyFill="1" applyBorder="1" applyAlignment="1">
      <alignment horizontal="center"/>
    </xf>
    <xf numFmtId="0" fontId="19" fillId="0" borderId="1" xfId="11" applyFont="1" applyFill="1" applyBorder="1"/>
    <xf numFmtId="166" fontId="19" fillId="3" borderId="1" xfId="0" applyNumberFormat="1" applyFont="1" applyFill="1" applyBorder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/>
    </xf>
    <xf numFmtId="1" fontId="18" fillId="0" borderId="1" xfId="11" applyNumberFormat="1" applyFont="1" applyBorder="1" applyAlignment="1">
      <alignment horizontal="center"/>
    </xf>
    <xf numFmtId="166" fontId="18" fillId="0" borderId="1" xfId="11" applyNumberFormat="1" applyFont="1" applyBorder="1" applyAlignment="1">
      <alignment wrapText="1"/>
    </xf>
    <xf numFmtId="0" fontId="18" fillId="0" borderId="1" xfId="11" applyFont="1" applyBorder="1" applyAlignment="1">
      <alignment horizontal="center" vertical="top"/>
    </xf>
    <xf numFmtId="0" fontId="18" fillId="0" borderId="1" xfId="11" applyFont="1" applyBorder="1" applyAlignment="1">
      <alignment vertical="top" wrapText="1"/>
    </xf>
    <xf numFmtId="0" fontId="19" fillId="0" borderId="1" xfId="11" applyFont="1" applyFill="1" applyBorder="1" applyAlignment="1">
      <alignment wrapText="1"/>
    </xf>
    <xf numFmtId="166" fontId="19" fillId="3" borderId="1" xfId="12" applyNumberFormat="1" applyFont="1" applyFill="1" applyBorder="1" applyAlignment="1">
      <alignment horizontal="right" vertical="center"/>
    </xf>
    <xf numFmtId="166" fontId="19" fillId="3" borderId="1" xfId="11" applyNumberFormat="1" applyFont="1" applyFill="1" applyBorder="1" applyAlignment="1">
      <alignment horizontal="right" vertical="center"/>
    </xf>
    <xf numFmtId="166" fontId="19" fillId="5" borderId="1" xfId="11" applyNumberFormat="1" applyFont="1" applyFill="1" applyBorder="1" applyAlignment="1">
      <alignment horizontal="right" vertical="center"/>
    </xf>
    <xf numFmtId="166" fontId="19" fillId="2" borderId="1" xfId="2" applyNumberFormat="1" applyFont="1" applyFill="1" applyBorder="1" applyAlignment="1">
      <alignment horizontal="right" vertical="center" shrinkToFit="1"/>
    </xf>
    <xf numFmtId="166" fontId="19" fillId="2" borderId="1" xfId="3" applyNumberFormat="1" applyFont="1" applyFill="1" applyBorder="1" applyAlignment="1">
      <alignment horizontal="right" vertical="center" shrinkToFit="1"/>
    </xf>
    <xf numFmtId="166" fontId="19" fillId="2" borderId="1" xfId="4" applyNumberFormat="1" applyFont="1" applyFill="1" applyBorder="1" applyAlignment="1">
      <alignment horizontal="right" vertical="center" shrinkToFit="1"/>
    </xf>
    <xf numFmtId="166" fontId="18" fillId="0" borderId="1" xfId="11" applyNumberFormat="1" applyFont="1" applyFill="1" applyBorder="1" applyAlignment="1">
      <alignment horizontal="right" vertical="center"/>
    </xf>
    <xf numFmtId="0" fontId="18" fillId="0" borderId="1" xfId="11" applyFont="1" applyFill="1" applyBorder="1"/>
    <xf numFmtId="166" fontId="18" fillId="5" borderId="1" xfId="11" applyNumberFormat="1" applyFont="1" applyFill="1" applyBorder="1" applyAlignment="1">
      <alignment horizontal="right" vertical="center"/>
    </xf>
    <xf numFmtId="166" fontId="18" fillId="0" borderId="1" xfId="9" applyNumberFormat="1" applyFont="1" applyBorder="1" applyAlignment="1">
      <alignment horizontal="right" vertical="center"/>
    </xf>
    <xf numFmtId="0" fontId="18" fillId="0" borderId="2" xfId="11" applyFont="1" applyBorder="1" applyAlignment="1">
      <alignment horizontal="center"/>
    </xf>
    <xf numFmtId="0" fontId="18" fillId="0" borderId="2" xfId="11" applyFont="1" applyFill="1" applyBorder="1"/>
    <xf numFmtId="166" fontId="18" fillId="0" borderId="2" xfId="11" applyNumberFormat="1" applyFont="1" applyBorder="1" applyAlignment="1">
      <alignment horizontal="right" vertical="center"/>
    </xf>
    <xf numFmtId="166" fontId="19" fillId="0" borderId="0" xfId="9" applyNumberFormat="1" applyFont="1" applyAlignment="1">
      <alignment horizontal="right" vertical="center"/>
    </xf>
    <xf numFmtId="0" fontId="18" fillId="0" borderId="1" xfId="9" applyFont="1" applyBorder="1" applyAlignment="1">
      <alignment horizontal="center" vertical="center" wrapText="1"/>
    </xf>
    <xf numFmtId="0" fontId="19" fillId="0" borderId="1" xfId="9" applyFont="1" applyBorder="1" applyAlignment="1">
      <alignment horizontal="center" vertical="center"/>
    </xf>
    <xf numFmtId="1" fontId="18" fillId="0" borderId="1" xfId="9" applyNumberFormat="1" applyFont="1" applyBorder="1" applyAlignment="1">
      <alignment horizontal="center" vertical="center" wrapText="1"/>
    </xf>
    <xf numFmtId="166" fontId="18" fillId="0" borderId="1" xfId="9" applyNumberFormat="1" applyFont="1" applyBorder="1" applyAlignment="1">
      <alignment horizontal="center" vertical="center" wrapText="1"/>
    </xf>
    <xf numFmtId="49" fontId="18" fillId="0" borderId="1" xfId="9" applyNumberFormat="1" applyFont="1" applyBorder="1" applyAlignment="1">
      <alignment horizontal="center"/>
    </xf>
    <xf numFmtId="0" fontId="18" fillId="3" borderId="1" xfId="9" applyFont="1" applyFill="1" applyBorder="1" applyAlignment="1">
      <alignment wrapText="1"/>
    </xf>
    <xf numFmtId="166" fontId="18" fillId="0" borderId="1" xfId="6" applyNumberFormat="1" applyFont="1" applyBorder="1" applyAlignment="1">
      <alignment horizontal="right"/>
    </xf>
    <xf numFmtId="49" fontId="19" fillId="0" borderId="1" xfId="9" applyNumberFormat="1" applyFont="1" applyBorder="1" applyAlignment="1">
      <alignment horizontal="center"/>
    </xf>
    <xf numFmtId="0" fontId="19" fillId="3" borderId="1" xfId="9" applyFont="1" applyFill="1" applyBorder="1" applyAlignment="1">
      <alignment wrapText="1"/>
    </xf>
    <xf numFmtId="166" fontId="19" fillId="0" borderId="1" xfId="9" applyNumberFormat="1" applyFont="1" applyBorder="1" applyAlignment="1">
      <alignment horizontal="right" vertical="center"/>
    </xf>
    <xf numFmtId="0" fontId="19" fillId="0" borderId="1" xfId="9" applyFont="1" applyBorder="1" applyAlignment="1">
      <alignment wrapText="1"/>
    </xf>
    <xf numFmtId="166" fontId="19" fillId="0" borderId="1" xfId="6" applyNumberFormat="1" applyFont="1" applyBorder="1" applyAlignment="1">
      <alignment horizontal="right"/>
    </xf>
    <xf numFmtId="166" fontId="19" fillId="0" borderId="1" xfId="9" applyNumberFormat="1" applyFont="1" applyBorder="1" applyAlignment="1">
      <alignment horizontal="right"/>
    </xf>
    <xf numFmtId="49" fontId="18" fillId="0" borderId="3" xfId="8" applyNumberFormat="1" applyFont="1" applyBorder="1" applyAlignment="1">
      <alignment horizontal="center"/>
    </xf>
    <xf numFmtId="0" fontId="18" fillId="3" borderId="1" xfId="8" applyFont="1" applyFill="1" applyBorder="1" applyAlignment="1">
      <alignment wrapText="1"/>
    </xf>
    <xf numFmtId="49" fontId="19" fillId="0" borderId="1" xfId="8" applyNumberFormat="1" applyFont="1" applyBorder="1" applyAlignment="1">
      <alignment horizontal="center"/>
    </xf>
    <xf numFmtId="0" fontId="19" fillId="0" borderId="1" xfId="8" applyFont="1" applyBorder="1" applyAlignment="1">
      <alignment wrapText="1"/>
    </xf>
    <xf numFmtId="49" fontId="19" fillId="0" borderId="3" xfId="9" applyNumberFormat="1" applyFont="1" applyBorder="1" applyAlignment="1">
      <alignment horizontal="center"/>
    </xf>
    <xf numFmtId="49" fontId="19" fillId="0" borderId="3" xfId="7" applyNumberFormat="1" applyFont="1" applyBorder="1" applyAlignment="1">
      <alignment horizontal="center"/>
    </xf>
    <xf numFmtId="0" fontId="39" fillId="0" borderId="1" xfId="7" applyFont="1" applyBorder="1" applyAlignment="1">
      <alignment wrapText="1"/>
    </xf>
    <xf numFmtId="166" fontId="19" fillId="0" borderId="1" xfId="9" applyNumberFormat="1" applyFont="1" applyBorder="1" applyAlignment="1">
      <alignment horizontal="right" vertical="center" wrapText="1"/>
    </xf>
    <xf numFmtId="166" fontId="18" fillId="0" borderId="1" xfId="6" applyNumberFormat="1" applyFont="1" applyBorder="1" applyAlignment="1">
      <alignment horizontal="right" vertical="center"/>
    </xf>
    <xf numFmtId="166" fontId="19" fillId="0" borderId="1" xfId="6" applyNumberFormat="1" applyFont="1" applyBorder="1" applyAlignment="1">
      <alignment horizontal="right" vertical="center"/>
    </xf>
    <xf numFmtId="0" fontId="19" fillId="0" borderId="1" xfId="9" applyFont="1" applyBorder="1" applyAlignment="1">
      <alignment horizontal="left" wrapText="1"/>
    </xf>
    <xf numFmtId="0" fontId="18" fillId="3" borderId="1" xfId="9" applyFont="1" applyFill="1" applyBorder="1" applyAlignment="1">
      <alignment horizontal="left" wrapText="1"/>
    </xf>
    <xf numFmtId="0" fontId="18" fillId="0" borderId="1" xfId="9" applyFont="1" applyBorder="1" applyAlignment="1">
      <alignment horizontal="center"/>
    </xf>
    <xf numFmtId="0" fontId="19" fillId="0" borderId="1" xfId="9" applyFont="1" applyBorder="1" applyAlignment="1">
      <alignment horizontal="center"/>
    </xf>
    <xf numFmtId="0" fontId="19" fillId="0" borderId="1" xfId="9" applyFont="1" applyFill="1" applyBorder="1" applyAlignment="1">
      <alignment wrapText="1"/>
    </xf>
    <xf numFmtId="166" fontId="18" fillId="0" borderId="1" xfId="9" applyNumberFormat="1" applyFont="1" applyBorder="1" applyAlignment="1">
      <alignment horizontal="right"/>
    </xf>
    <xf numFmtId="0" fontId="18" fillId="0" borderId="1" xfId="9" applyFont="1" applyFill="1" applyBorder="1" applyAlignment="1">
      <alignment wrapText="1"/>
    </xf>
    <xf numFmtId="0" fontId="18" fillId="0" borderId="1" xfId="9" applyFont="1" applyFill="1" applyBorder="1" applyAlignment="1">
      <alignment horizontal="center" wrapText="1"/>
    </xf>
    <xf numFmtId="0" fontId="19" fillId="0" borderId="0" xfId="9" applyFont="1" applyAlignment="1">
      <alignment horizontal="left"/>
    </xf>
    <xf numFmtId="0" fontId="19" fillId="0" borderId="0" xfId="9" applyFont="1" applyAlignment="1">
      <alignment wrapText="1"/>
    </xf>
    <xf numFmtId="166" fontId="18" fillId="0" borderId="0" xfId="9" applyNumberFormat="1" applyFont="1" applyAlignment="1">
      <alignment horizontal="right"/>
    </xf>
    <xf numFmtId="166" fontId="19" fillId="0" borderId="0" xfId="9" applyNumberFormat="1" applyFont="1" applyAlignment="1">
      <alignment horizontal="center"/>
    </xf>
    <xf numFmtId="0" fontId="19" fillId="0" borderId="0" xfId="8" applyFont="1" applyAlignment="1">
      <alignment horizontal="left"/>
    </xf>
    <xf numFmtId="166" fontId="19" fillId="0" borderId="0" xfId="8" applyNumberFormat="1" applyFont="1"/>
    <xf numFmtId="0" fontId="19" fillId="0" borderId="0" xfId="8" applyFont="1"/>
    <xf numFmtId="0" fontId="19" fillId="0" borderId="0" xfId="8" applyFont="1" applyAlignment="1"/>
    <xf numFmtId="0" fontId="18" fillId="0" borderId="0" xfId="11" applyFont="1" applyAlignment="1">
      <alignment horizontal="center"/>
    </xf>
    <xf numFmtId="49" fontId="5" fillId="0" borderId="3" xfId="8" applyNumberFormat="1" applyFont="1" applyBorder="1" applyAlignment="1">
      <alignment horizontal="center"/>
    </xf>
    <xf numFmtId="49" fontId="3" fillId="0" borderId="3" xfId="7" applyNumberFormat="1" applyFont="1" applyBorder="1" applyAlignment="1">
      <alignment horizontal="center"/>
    </xf>
    <xf numFmtId="2" fontId="19" fillId="0" borderId="1" xfId="11" applyNumberFormat="1" applyFont="1" applyFill="1" applyBorder="1" applyAlignment="1">
      <alignment horizontal="right" vertical="center"/>
    </xf>
    <xf numFmtId="0" fontId="3" fillId="0" borderId="0" xfId="9" applyFont="1" applyBorder="1"/>
    <xf numFmtId="168" fontId="18" fillId="0" borderId="0" xfId="9" applyNumberFormat="1" applyFont="1" applyAlignment="1">
      <alignment horizontal="right" vertical="center"/>
    </xf>
    <xf numFmtId="49" fontId="40" fillId="0" borderId="1" xfId="9" applyNumberFormat="1" applyFont="1" applyFill="1" applyBorder="1" applyAlignment="1" applyProtection="1">
      <alignment horizontal="center"/>
    </xf>
    <xf numFmtId="166" fontId="5" fillId="0" borderId="1" xfId="12" applyNumberFormat="1" applyFont="1" applyFill="1" applyBorder="1" applyAlignment="1">
      <alignment horizontal="right" vertical="center"/>
    </xf>
    <xf numFmtId="166" fontId="5" fillId="0" borderId="0" xfId="0" applyNumberFormat="1" applyFont="1"/>
    <xf numFmtId="166" fontId="3" fillId="5" borderId="1" xfId="11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1" xfId="2" applyNumberFormat="1" applyFont="1" applyFill="1" applyBorder="1" applyAlignment="1">
      <alignment horizontal="right" vertical="center" shrinkToFit="1"/>
    </xf>
    <xf numFmtId="181" fontId="5" fillId="3" borderId="1" xfId="0" applyNumberFormat="1" applyFont="1" applyFill="1" applyBorder="1" applyAlignment="1">
      <alignment horizontal="right" vertical="center"/>
    </xf>
    <xf numFmtId="181" fontId="5" fillId="0" borderId="1" xfId="11" applyNumberFormat="1" applyFont="1" applyFill="1" applyBorder="1" applyAlignment="1">
      <alignment horizontal="right" vertical="center"/>
    </xf>
    <xf numFmtId="2" fontId="27" fillId="3" borderId="1" xfId="0" applyNumberFormat="1" applyFont="1" applyFill="1" applyBorder="1" applyAlignment="1" applyProtection="1">
      <alignment vertical="center" wrapText="1"/>
      <protection locked="0"/>
    </xf>
    <xf numFmtId="4" fontId="27" fillId="5" borderId="1" xfId="0" applyNumberFormat="1" applyFont="1" applyFill="1" applyBorder="1" applyAlignment="1" applyProtection="1">
      <alignment vertical="center" wrapText="1"/>
    </xf>
    <xf numFmtId="4" fontId="27" fillId="5" borderId="1" xfId="0" applyNumberFormat="1" applyFont="1" applyFill="1" applyBorder="1" applyAlignment="1" applyProtection="1">
      <alignment vertical="center" wrapText="1"/>
      <protection locked="0"/>
    </xf>
    <xf numFmtId="4" fontId="27" fillId="3" borderId="1" xfId="0" applyNumberFormat="1" applyFont="1" applyFill="1" applyBorder="1" applyAlignment="1" applyProtection="1">
      <alignment vertical="center" wrapText="1"/>
      <protection locked="0"/>
    </xf>
    <xf numFmtId="4" fontId="31" fillId="3" borderId="1" xfId="0" applyNumberFormat="1" applyFont="1" applyFill="1" applyBorder="1" applyAlignment="1">
      <alignment vertical="center" wrapText="1"/>
    </xf>
    <xf numFmtId="166" fontId="19" fillId="2" borderId="1" xfId="5" applyNumberFormat="1" applyFont="1" applyFill="1" applyBorder="1" applyAlignment="1">
      <alignment horizontal="right" vertical="top" shrinkToFit="1"/>
    </xf>
    <xf numFmtId="166" fontId="18" fillId="0" borderId="1" xfId="12" applyNumberFormat="1" applyFont="1" applyBorder="1" applyAlignment="1">
      <alignment horizontal="right" vertical="center"/>
    </xf>
    <xf numFmtId="184" fontId="27" fillId="3" borderId="1" xfId="0" applyNumberFormat="1" applyFont="1" applyFill="1" applyBorder="1" applyAlignment="1">
      <alignment vertical="center" wrapText="1"/>
    </xf>
    <xf numFmtId="166" fontId="41" fillId="3" borderId="1" xfId="0" applyNumberFormat="1" applyFont="1" applyFill="1" applyBorder="1" applyAlignment="1">
      <alignment horizontal="center" vertical="center" wrapText="1"/>
    </xf>
    <xf numFmtId="166" fontId="18" fillId="3" borderId="1" xfId="1" applyNumberFormat="1" applyFont="1" applyFill="1" applyBorder="1" applyAlignment="1">
      <alignment horizontal="right" vertical="center"/>
    </xf>
    <xf numFmtId="166" fontId="42" fillId="5" borderId="1" xfId="0" applyNumberFormat="1" applyFont="1" applyFill="1" applyBorder="1" applyAlignment="1">
      <alignment horizontal="center" vertical="center" wrapText="1"/>
    </xf>
    <xf numFmtId="0" fontId="18" fillId="0" borderId="1" xfId="11" applyNumberFormat="1" applyFont="1" applyBorder="1" applyAlignment="1">
      <alignment horizontal="center"/>
    </xf>
    <xf numFmtId="172" fontId="3" fillId="0" borderId="1" xfId="12" applyNumberFormat="1" applyFont="1" applyBorder="1" applyAlignment="1">
      <alignment horizontal="right" vertical="center"/>
    </xf>
    <xf numFmtId="4" fontId="27" fillId="3" borderId="1" xfId="0" applyNumberFormat="1" applyFont="1" applyFill="1" applyBorder="1" applyAlignment="1">
      <alignment vertical="center" wrapText="1"/>
    </xf>
    <xf numFmtId="4" fontId="27" fillId="0" borderId="1" xfId="0" applyNumberFormat="1" applyFont="1" applyFill="1" applyBorder="1" applyAlignment="1">
      <alignment vertical="center" wrapText="1"/>
    </xf>
    <xf numFmtId="4" fontId="27" fillId="5" borderId="1" xfId="0" applyNumberFormat="1" applyFont="1" applyFill="1" applyBorder="1" applyAlignment="1">
      <alignment vertical="center" wrapText="1"/>
    </xf>
    <xf numFmtId="0" fontId="5" fillId="0" borderId="1" xfId="12" applyNumberFormat="1" applyFont="1" applyBorder="1" applyAlignment="1">
      <alignment horizontal="center"/>
    </xf>
    <xf numFmtId="175" fontId="3" fillId="0" borderId="1" xfId="12" applyNumberFormat="1" applyFont="1" applyBorder="1" applyAlignment="1">
      <alignment horizontal="right" vertical="center"/>
    </xf>
    <xf numFmtId="174" fontId="3" fillId="0" borderId="1" xfId="9" applyNumberFormat="1" applyFont="1" applyBorder="1" applyAlignment="1">
      <alignment horizontal="right" vertical="center"/>
    </xf>
    <xf numFmtId="175" fontId="3" fillId="0" borderId="1" xfId="6" applyNumberFormat="1" applyFont="1" applyBorder="1" applyAlignment="1">
      <alignment horizontal="right" vertical="center"/>
    </xf>
    <xf numFmtId="173" fontId="3" fillId="0" borderId="1" xfId="11" applyNumberFormat="1" applyFont="1" applyBorder="1" applyAlignment="1">
      <alignment horizontal="right" vertical="center"/>
    </xf>
    <xf numFmtId="175" fontId="3" fillId="3" borderId="1" xfId="12" applyNumberFormat="1" applyFont="1" applyFill="1" applyBorder="1" applyAlignment="1">
      <alignment horizontal="right" vertical="center"/>
    </xf>
    <xf numFmtId="175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172" fontId="3" fillId="0" borderId="1" xfId="11" applyNumberFormat="1" applyFont="1" applyBorder="1" applyAlignment="1">
      <alignment horizontal="right" vertical="center"/>
    </xf>
    <xf numFmtId="172" fontId="27" fillId="0" borderId="1" xfId="0" applyNumberFormat="1" applyFont="1" applyFill="1" applyBorder="1" applyAlignment="1">
      <alignment vertical="center" wrapText="1"/>
    </xf>
    <xf numFmtId="172" fontId="27" fillId="5" borderId="1" xfId="0" applyNumberFormat="1" applyFont="1" applyFill="1" applyBorder="1" applyAlignment="1">
      <alignment vertical="center" wrapText="1"/>
    </xf>
    <xf numFmtId="172" fontId="31" fillId="3" borderId="1" xfId="0" applyNumberFormat="1" applyFont="1" applyFill="1" applyBorder="1" applyAlignment="1">
      <alignment vertical="center" wrapText="1"/>
    </xf>
    <xf numFmtId="168" fontId="3" fillId="0" borderId="8" xfId="11" applyNumberFormat="1" applyFont="1" applyBorder="1" applyAlignment="1">
      <alignment horizontal="right" vertical="center"/>
    </xf>
    <xf numFmtId="168" fontId="3" fillId="0" borderId="1" xfId="12" applyNumberFormat="1" applyFont="1" applyBorder="1" applyAlignment="1">
      <alignment horizontal="right" vertical="center"/>
    </xf>
    <xf numFmtId="185" fontId="3" fillId="0" borderId="1" xfId="12" applyNumberFormat="1" applyFont="1" applyBorder="1" applyAlignment="1">
      <alignment horizontal="right" vertical="center"/>
    </xf>
    <xf numFmtId="172" fontId="3" fillId="5" borderId="1" xfId="12" applyNumberFormat="1" applyFont="1" applyFill="1" applyBorder="1" applyAlignment="1">
      <alignment horizontal="right" vertical="center"/>
    </xf>
    <xf numFmtId="166" fontId="18" fillId="5" borderId="1" xfId="9" applyNumberFormat="1" applyFont="1" applyFill="1" applyBorder="1" applyAlignment="1">
      <alignment horizontal="right" vertical="center"/>
    </xf>
    <xf numFmtId="168" fontId="3" fillId="5" borderId="1" xfId="12" applyNumberFormat="1" applyFont="1" applyFill="1" applyBorder="1" applyAlignment="1">
      <alignment horizontal="right" vertical="center"/>
    </xf>
    <xf numFmtId="168" fontId="3" fillId="0" borderId="1" xfId="9" applyNumberFormat="1" applyFont="1" applyBorder="1" applyAlignment="1">
      <alignment horizontal="right" vertical="center"/>
    </xf>
    <xf numFmtId="168" fontId="3" fillId="0" borderId="1" xfId="6" applyNumberFormat="1" applyFont="1" applyBorder="1" applyAlignment="1">
      <alignment horizontal="right" vertical="center"/>
    </xf>
    <xf numFmtId="184" fontId="27" fillId="3" borderId="1" xfId="0" applyNumberFormat="1" applyFont="1" applyFill="1" applyBorder="1" applyAlignment="1" applyProtection="1">
      <alignment vertical="center" wrapText="1"/>
      <protection locked="0"/>
    </xf>
    <xf numFmtId="168" fontId="18" fillId="5" borderId="1" xfId="12" applyNumberFormat="1" applyFont="1" applyFill="1" applyBorder="1" applyAlignment="1">
      <alignment horizontal="right" vertical="center"/>
    </xf>
    <xf numFmtId="172" fontId="3" fillId="5" borderId="1" xfId="11" applyNumberFormat="1" applyFont="1" applyFill="1" applyBorder="1" applyAlignment="1">
      <alignment horizontal="right" vertical="center"/>
    </xf>
    <xf numFmtId="168" fontId="18" fillId="0" borderId="1" xfId="11" applyNumberFormat="1" applyFont="1" applyBorder="1" applyAlignment="1">
      <alignment horizontal="right" vertical="center"/>
    </xf>
    <xf numFmtId="175" fontId="18" fillId="0" borderId="1" xfId="11" applyNumberFormat="1" applyFont="1" applyBorder="1" applyAlignment="1">
      <alignment horizontal="right" vertical="center"/>
    </xf>
    <xf numFmtId="168" fontId="27" fillId="3" borderId="1" xfId="0" applyNumberFormat="1" applyFont="1" applyFill="1" applyBorder="1" applyAlignment="1">
      <alignment vertical="center" wrapText="1"/>
    </xf>
    <xf numFmtId="168" fontId="27" fillId="5" borderId="1" xfId="0" applyNumberFormat="1" applyFont="1" applyFill="1" applyBorder="1" applyAlignment="1">
      <alignment vertical="center" wrapText="1"/>
    </xf>
    <xf numFmtId="168" fontId="27" fillId="0" borderId="1" xfId="0" applyNumberFormat="1" applyFont="1" applyFill="1" applyBorder="1" applyAlignment="1">
      <alignment vertical="center" wrapText="1"/>
    </xf>
    <xf numFmtId="184" fontId="27" fillId="0" borderId="1" xfId="0" applyNumberFormat="1" applyFont="1" applyFill="1" applyBorder="1" applyAlignment="1">
      <alignment vertical="center" wrapText="1"/>
    </xf>
    <xf numFmtId="184" fontId="27" fillId="5" borderId="1" xfId="0" applyNumberFormat="1" applyFont="1" applyFill="1" applyBorder="1" applyAlignment="1">
      <alignment vertical="center" wrapText="1"/>
    </xf>
    <xf numFmtId="167" fontId="28" fillId="3" borderId="1" xfId="0" applyNumberFormat="1" applyFont="1" applyFill="1" applyBorder="1" applyAlignment="1">
      <alignment vertical="center" wrapText="1"/>
    </xf>
    <xf numFmtId="172" fontId="30" fillId="3" borderId="1" xfId="0" applyNumberFormat="1" applyFont="1" applyFill="1" applyBorder="1" applyAlignment="1">
      <alignment vertical="center" wrapText="1"/>
    </xf>
    <xf numFmtId="165" fontId="3" fillId="0" borderId="1" xfId="11" applyNumberFormat="1" applyFont="1" applyBorder="1" applyAlignment="1">
      <alignment horizontal="right" vertical="center"/>
    </xf>
    <xf numFmtId="168" fontId="3" fillId="3" borderId="8" xfId="12" applyNumberFormat="1" applyFont="1" applyFill="1" applyBorder="1" applyAlignment="1">
      <alignment horizontal="right" vertical="center"/>
    </xf>
    <xf numFmtId="168" fontId="3" fillId="3" borderId="1" xfId="12" applyNumberFormat="1" applyFont="1" applyFill="1" applyBorder="1" applyAlignment="1">
      <alignment horizontal="right" vertical="center"/>
    </xf>
    <xf numFmtId="182" fontId="18" fillId="0" borderId="1" xfId="9" applyNumberFormat="1" applyFont="1" applyBorder="1" applyAlignment="1">
      <alignment horizontal="right" vertical="center"/>
    </xf>
    <xf numFmtId="168" fontId="19" fillId="0" borderId="1" xfId="9" applyNumberFormat="1" applyFont="1" applyBorder="1" applyAlignment="1">
      <alignment horizontal="right" vertical="center"/>
    </xf>
    <xf numFmtId="168" fontId="5" fillId="0" borderId="1" xfId="11" applyNumberFormat="1" applyFont="1" applyFill="1" applyBorder="1" applyAlignment="1">
      <alignment horizontal="right" vertical="center"/>
    </xf>
    <xf numFmtId="168" fontId="5" fillId="0" borderId="1" xfId="11" applyNumberFormat="1" applyFont="1" applyBorder="1" applyAlignment="1">
      <alignment horizontal="right" vertical="center"/>
    </xf>
    <xf numFmtId="168" fontId="3" fillId="0" borderId="1" xfId="11" applyNumberFormat="1" applyFont="1" applyFill="1" applyBorder="1" applyAlignment="1">
      <alignment horizontal="right" vertical="center"/>
    </xf>
    <xf numFmtId="168" fontId="5" fillId="0" borderId="1" xfId="0" applyNumberFormat="1" applyFont="1" applyBorder="1" applyAlignment="1">
      <alignment horizontal="right" vertical="center"/>
    </xf>
    <xf numFmtId="168" fontId="3" fillId="0" borderId="1" xfId="1" applyNumberFormat="1" applyFont="1" applyBorder="1" applyAlignment="1">
      <alignment horizontal="right" vertical="center"/>
    </xf>
    <xf numFmtId="172" fontId="27" fillId="5" borderId="1" xfId="0" applyNumberFormat="1" applyFont="1" applyFill="1" applyBorder="1" applyAlignment="1" applyProtection="1">
      <alignment vertical="center" wrapText="1"/>
      <protection locked="0"/>
    </xf>
    <xf numFmtId="186" fontId="27" fillId="0" borderId="1" xfId="0" applyNumberFormat="1" applyFont="1" applyFill="1" applyBorder="1"/>
    <xf numFmtId="166" fontId="11" fillId="2" borderId="1" xfId="2" applyNumberFormat="1" applyFont="1" applyFill="1" applyBorder="1" applyAlignment="1">
      <alignment horizontal="right" vertical="center" shrinkToFit="1"/>
    </xf>
    <xf numFmtId="168" fontId="27" fillId="3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6" fontId="19" fillId="5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 vertical="center" wrapText="1"/>
    </xf>
    <xf numFmtId="167" fontId="19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87" fontId="7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18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27" fillId="3" borderId="9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30" fillId="3" borderId="0" xfId="0" applyFont="1" applyFill="1" applyAlignment="1" applyProtection="1">
      <alignment horizontal="center" vertical="center" wrapText="1"/>
      <protection locked="0"/>
    </xf>
    <xf numFmtId="0" fontId="38" fillId="3" borderId="6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left" vertical="center" wrapText="1"/>
    </xf>
    <xf numFmtId="4" fontId="36" fillId="3" borderId="3" xfId="10" applyNumberFormat="1" applyFont="1" applyFill="1" applyBorder="1" applyAlignment="1">
      <alignment horizontal="center" vertical="center" wrapText="1"/>
    </xf>
    <xf numFmtId="4" fontId="36" fillId="3" borderId="5" xfId="1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5" xfId="0" applyNumberFormat="1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49" fontId="27" fillId="3" borderId="11" xfId="0" applyNumberFormat="1" applyFont="1" applyFill="1" applyBorder="1" applyAlignment="1">
      <alignment horizontal="center" vertical="center" wrapText="1"/>
    </xf>
    <xf numFmtId="49" fontId="27" fillId="3" borderId="12" xfId="0" applyNumberFormat="1" applyFont="1" applyFill="1" applyBorder="1" applyAlignment="1">
      <alignment horizontal="center" vertical="center" wrapText="1"/>
    </xf>
    <xf numFmtId="49" fontId="27" fillId="3" borderId="13" xfId="0" applyNumberFormat="1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 vertical="center" wrapText="1"/>
    </xf>
    <xf numFmtId="49" fontId="27" fillId="3" borderId="14" xfId="0" applyNumberFormat="1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5;&#1072;&#1083;&#1080;&#1079;%20&#1080;&#1089;&#1087;&#1086;&#1083;&#1085;&#1077;&#1085;&#1080;&#1103;%20&#1073;&#1102;&#1076;&#1078;&#1077;&#1090;&#1072;%20&#1052;&#1086;&#1088;&#1075;&#1072;&#1091;&#1096;&#1089;&#1082;&#1086;&#1075;&#1086;%20&#1088;&#1072;&#1081;&#1086;&#1085;&#1072;%20&#1085;&#1072;%2001.12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"/>
      <sheetName val="Справка"/>
      <sheetName val="район"/>
      <sheetName val="Але"/>
      <sheetName val="Сун"/>
      <sheetName val="Иль"/>
      <sheetName val="Кад"/>
      <sheetName val="Мор"/>
      <sheetName val="Мос"/>
      <sheetName val="Ори"/>
      <sheetName val="Сят"/>
      <sheetName val="Тор"/>
      <sheetName val="Хор"/>
      <sheetName val="Чум"/>
      <sheetName val="Шать"/>
      <sheetName val="Юнг"/>
      <sheetName val="Юсь"/>
      <sheetName val="Яра"/>
      <sheetName val="Яро"/>
      <sheetName val="Лист1"/>
      <sheetName val="Лист2"/>
      <sheetName val="Лист3"/>
      <sheetName val="Лист4"/>
      <sheetName val="Лист5"/>
    </sheetNames>
    <sheetDataSet>
      <sheetData sheetId="0"/>
      <sheetData sheetId="1">
        <row r="31">
          <cell r="ET31">
            <v>0</v>
          </cell>
          <cell r="EU3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3" Type="http://schemas.openxmlformats.org/officeDocument/2006/relationships/printerSettings" Target="../printerSettings/printerSettings193.bin"/><Relationship Id="rId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5" Type="http://schemas.openxmlformats.org/officeDocument/2006/relationships/printerSettings" Target="../printerSettings/printerSettings195.bin"/><Relationship Id="rId4" Type="http://schemas.openxmlformats.org/officeDocument/2006/relationships/printerSettings" Target="../printerSettings/printerSettings194.bin"/><Relationship Id="rId9" Type="http://schemas.openxmlformats.org/officeDocument/2006/relationships/printerSettings" Target="../printerSettings/printerSettings1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2.bin"/><Relationship Id="rId2" Type="http://schemas.openxmlformats.org/officeDocument/2006/relationships/printerSettings" Target="../printerSettings/printerSettings201.bin"/><Relationship Id="rId1" Type="http://schemas.openxmlformats.org/officeDocument/2006/relationships/printerSettings" Target="../printerSettings/printerSettings20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4.bin"/><Relationship Id="rId1" Type="http://schemas.openxmlformats.org/officeDocument/2006/relationships/printerSettings" Target="../printerSettings/printerSettings20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6.bin"/><Relationship Id="rId1" Type="http://schemas.openxmlformats.org/officeDocument/2006/relationships/printerSettings" Target="../printerSettings/printerSettings20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7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44"/>
  <sheetViews>
    <sheetView tabSelected="1" topLeftCell="A13" zoomScaleNormal="100" zoomScaleSheetLayoutView="80" workbookViewId="0">
      <selection activeCell="E26" sqref="E26"/>
    </sheetView>
  </sheetViews>
  <sheetFormatPr defaultColWidth="18.7109375" defaultRowHeight="15.75"/>
  <cols>
    <col min="1" max="1" width="60.140625" style="83" customWidth="1"/>
    <col min="2" max="2" width="18.7109375" style="84"/>
    <col min="3" max="3" width="18.7109375" style="75"/>
    <col min="4" max="4" width="15.7109375" style="75" customWidth="1"/>
    <col min="5" max="8" width="18.7109375" style="75"/>
    <col min="9" max="9" width="21.140625" style="75" customWidth="1"/>
    <col min="10" max="10" width="20.5703125" style="75" customWidth="1"/>
    <col min="11" max="16384" width="18.7109375" style="75"/>
  </cols>
  <sheetData>
    <row r="1" spans="1:15" ht="26.25" customHeight="1">
      <c r="A1" s="503" t="s">
        <v>402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119"/>
      <c r="M1" s="119"/>
      <c r="N1" s="119"/>
      <c r="O1" s="119"/>
    </row>
    <row r="2" spans="1:15" ht="33.75" customHeight="1">
      <c r="A2" s="501" t="s">
        <v>177</v>
      </c>
      <c r="B2" s="502" t="s">
        <v>178</v>
      </c>
      <c r="C2" s="499" t="s">
        <v>179</v>
      </c>
      <c r="D2" s="500"/>
      <c r="E2" s="500"/>
      <c r="F2" s="499" t="s">
        <v>180</v>
      </c>
      <c r="G2" s="500"/>
      <c r="H2" s="500"/>
      <c r="I2" s="499" t="s">
        <v>181</v>
      </c>
      <c r="J2" s="500"/>
      <c r="K2" s="504"/>
    </row>
    <row r="3" spans="1:15" ht="53.25" customHeight="1">
      <c r="A3" s="501"/>
      <c r="B3" s="502"/>
      <c r="C3" s="78" t="s">
        <v>384</v>
      </c>
      <c r="D3" s="78" t="s">
        <v>403</v>
      </c>
      <c r="E3" s="133" t="s">
        <v>300</v>
      </c>
      <c r="F3" s="78" t="s">
        <v>384</v>
      </c>
      <c r="G3" s="78" t="s">
        <v>403</v>
      </c>
      <c r="H3" s="133" t="s">
        <v>300</v>
      </c>
      <c r="I3" s="78" t="s">
        <v>384</v>
      </c>
      <c r="J3" s="78" t="s">
        <v>403</v>
      </c>
      <c r="K3" s="78" t="s">
        <v>300</v>
      </c>
    </row>
    <row r="4" spans="1:15" s="80" customFormat="1" ht="30.75" customHeight="1">
      <c r="A4" s="79" t="s">
        <v>4</v>
      </c>
      <c r="B4" s="76"/>
      <c r="C4" s="189">
        <f>SUM(C5:C13)</f>
        <v>185658.60269</v>
      </c>
      <c r="D4" s="189">
        <f>SUM(D5:D13)</f>
        <v>189161.10333000001</v>
      </c>
      <c r="E4" s="189">
        <f>D4/C4*100</f>
        <v>101.88652752377342</v>
      </c>
      <c r="F4" s="189">
        <f>SUM(F5:F13)</f>
        <v>147095.1</v>
      </c>
      <c r="G4" s="189">
        <f>SUM(G5+G6+G7+G8+G9+G10+G11+G12+G13)</f>
        <v>149696.77420000001</v>
      </c>
      <c r="H4" s="189">
        <f>G4/F4*100</f>
        <v>101.768702152553</v>
      </c>
      <c r="I4" s="189">
        <f>I5+I7+I6+I8+I10+I11+I12+I13</f>
        <v>38563.502690000001</v>
      </c>
      <c r="J4" s="189">
        <f>J5+J6+J7+J8+J10+J11+J12+J13</f>
        <v>39464.329129999998</v>
      </c>
      <c r="K4" s="189">
        <f>J4/I4*100</f>
        <v>102.33595596136963</v>
      </c>
    </row>
    <row r="5" spans="1:15" ht="27" customHeight="1">
      <c r="A5" s="81" t="s">
        <v>182</v>
      </c>
      <c r="B5" s="77">
        <v>10102</v>
      </c>
      <c r="C5" s="190">
        <f>SUM(F5+I5)</f>
        <v>130348.9</v>
      </c>
      <c r="D5" s="190">
        <f>G5+J5</f>
        <v>133088.04620000001</v>
      </c>
      <c r="E5" s="191">
        <f t="shared" ref="E5:E12" si="0">D5/C5*100</f>
        <v>102.1013957156524</v>
      </c>
      <c r="F5" s="190">
        <f>SUM(район!C6)</f>
        <v>124470.39999999999</v>
      </c>
      <c r="G5" s="190">
        <f>SUM(район!D6)</f>
        <v>126983.13308</v>
      </c>
      <c r="H5" s="191">
        <f t="shared" ref="H5:H42" si="1">G5/F5*100</f>
        <v>102.01873945934135</v>
      </c>
      <c r="I5" s="190">
        <f>SUM(Справка!I31)</f>
        <v>5878.5</v>
      </c>
      <c r="J5" s="190">
        <f>SUM(Справка!J31)</f>
        <v>6104.9131200000002</v>
      </c>
      <c r="K5" s="191">
        <f t="shared" ref="K5:K12" si="2">J5/I5*100</f>
        <v>103.85154580250064</v>
      </c>
    </row>
    <row r="6" spans="1:15" ht="41.25" customHeight="1">
      <c r="A6" s="81" t="s">
        <v>253</v>
      </c>
      <c r="B6" s="77">
        <v>10300</v>
      </c>
      <c r="C6" s="190">
        <f t="shared" ref="C6:D13" si="3">F6+I6</f>
        <v>14643.699999999999</v>
      </c>
      <c r="D6" s="190">
        <f t="shared" si="3"/>
        <v>13905.97011</v>
      </c>
      <c r="E6" s="191">
        <f t="shared" si="0"/>
        <v>94.962134638103763</v>
      </c>
      <c r="F6" s="190">
        <f>район!C7</f>
        <v>5337</v>
      </c>
      <c r="G6" s="190">
        <f>SUM(район!D7)</f>
        <v>5068.1252100000002</v>
      </c>
      <c r="H6" s="191">
        <f t="shared" si="1"/>
        <v>94.962061270376623</v>
      </c>
      <c r="I6" s="190">
        <f>Справка!L31+Справка!R31+Справка!O31</f>
        <v>9306.6999999999989</v>
      </c>
      <c r="J6" s="190">
        <f>SUM(Справка!M31+Справка!P31+Справка!S31+Справка!V31)</f>
        <v>8837.8449000000001</v>
      </c>
      <c r="K6" s="191">
        <f t="shared" si="2"/>
        <v>94.962176711401483</v>
      </c>
    </row>
    <row r="7" spans="1:15" ht="19.5" customHeight="1">
      <c r="A7" s="81" t="s">
        <v>183</v>
      </c>
      <c r="B7" s="77">
        <v>10500</v>
      </c>
      <c r="C7" s="190">
        <f t="shared" si="3"/>
        <v>9691.7119999999995</v>
      </c>
      <c r="D7" s="190">
        <f t="shared" si="3"/>
        <v>9654.4799899999998</v>
      </c>
      <c r="E7" s="191">
        <f t="shared" si="0"/>
        <v>99.615836603481412</v>
      </c>
      <c r="F7" s="190">
        <f>SUM(район!C12)</f>
        <v>9087.6999999999989</v>
      </c>
      <c r="G7" s="190">
        <f>SUM(район!D12)</f>
        <v>8971.9629800000002</v>
      </c>
      <c r="H7" s="191">
        <f t="shared" si="1"/>
        <v>98.726443214454719</v>
      </c>
      <c r="I7" s="190">
        <f>Справка!X31</f>
        <v>604.01199999999994</v>
      </c>
      <c r="J7" s="190">
        <f>SUM(Справка!Y31)</f>
        <v>682.51701000000014</v>
      </c>
      <c r="K7" s="191">
        <f t="shared" si="2"/>
        <v>112.99725998821219</v>
      </c>
    </row>
    <row r="8" spans="1:15" ht="19.5" customHeight="1">
      <c r="A8" s="81" t="s">
        <v>184</v>
      </c>
      <c r="B8" s="77">
        <v>10601</v>
      </c>
      <c r="C8" s="190">
        <f t="shared" si="3"/>
        <v>5173</v>
      </c>
      <c r="D8" s="190">
        <f t="shared" si="3"/>
        <v>5071.0979100000013</v>
      </c>
      <c r="E8" s="191">
        <f t="shared" si="0"/>
        <v>98.030116180166274</v>
      </c>
      <c r="F8" s="190"/>
      <c r="G8" s="190"/>
      <c r="H8" s="191"/>
      <c r="I8" s="190">
        <f>SUM(Справка!AA31)</f>
        <v>5173</v>
      </c>
      <c r="J8" s="190">
        <f>SUM(Справка!AB31)</f>
        <v>5071.0979100000013</v>
      </c>
      <c r="K8" s="191">
        <f t="shared" si="2"/>
        <v>98.030116180166274</v>
      </c>
    </row>
    <row r="9" spans="1:15" ht="19.5" customHeight="1">
      <c r="A9" s="81" t="s">
        <v>254</v>
      </c>
      <c r="B9" s="77">
        <v>10604</v>
      </c>
      <c r="C9" s="190">
        <f t="shared" si="3"/>
        <v>2300</v>
      </c>
      <c r="D9" s="190">
        <f t="shared" si="3"/>
        <v>2771.5982199999999</v>
      </c>
      <c r="E9" s="191">
        <f t="shared" si="0"/>
        <v>120.5042704347826</v>
      </c>
      <c r="F9" s="190">
        <f>район!C17</f>
        <v>2300</v>
      </c>
      <c r="G9" s="190">
        <f>SUM(район!D20)</f>
        <v>2771.5982199999999</v>
      </c>
      <c r="H9" s="191">
        <f t="shared" si="1"/>
        <v>120.5042704347826</v>
      </c>
      <c r="I9" s="190"/>
      <c r="J9" s="190"/>
      <c r="K9" s="191"/>
    </row>
    <row r="10" spans="1:15" ht="19.5" customHeight="1">
      <c r="A10" s="81" t="s">
        <v>185</v>
      </c>
      <c r="B10" s="77">
        <v>10606</v>
      </c>
      <c r="C10" s="190">
        <f t="shared" si="3"/>
        <v>17485.290690000002</v>
      </c>
      <c r="D10" s="190">
        <f t="shared" si="3"/>
        <v>18699.966189999999</v>
      </c>
      <c r="E10" s="191">
        <f t="shared" si="0"/>
        <v>106.94684190005879</v>
      </c>
      <c r="F10" s="190"/>
      <c r="G10" s="190"/>
      <c r="H10" s="191">
        <v>0</v>
      </c>
      <c r="I10" s="190">
        <f>SUM(Справка!AD31)</f>
        <v>17485.290690000002</v>
      </c>
      <c r="J10" s="190">
        <f>SUM(Справка!AE31)</f>
        <v>18699.966189999999</v>
      </c>
      <c r="K10" s="191">
        <f t="shared" si="2"/>
        <v>106.94684190005879</v>
      </c>
    </row>
    <row r="11" spans="1:15" ht="33.75" customHeight="1">
      <c r="A11" s="81" t="s">
        <v>186</v>
      </c>
      <c r="B11" s="77">
        <v>10701</v>
      </c>
      <c r="C11" s="190">
        <f t="shared" si="3"/>
        <v>2700</v>
      </c>
      <c r="D11" s="190">
        <f t="shared" si="3"/>
        <v>2707.3069399999999</v>
      </c>
      <c r="E11" s="191">
        <f t="shared" si="0"/>
        <v>100.2706274074074</v>
      </c>
      <c r="F11" s="190">
        <f>SUM(район!C23)</f>
        <v>2700</v>
      </c>
      <c r="G11" s="190">
        <f>SUM(район!D23)</f>
        <v>2707.3069399999999</v>
      </c>
      <c r="H11" s="191">
        <f>G11/F11*100</f>
        <v>100.2706274074074</v>
      </c>
      <c r="I11" s="190"/>
      <c r="J11" s="190"/>
      <c r="K11" s="191">
        <v>0</v>
      </c>
    </row>
    <row r="12" spans="1:15" ht="19.5" customHeight="1">
      <c r="A12" s="81" t="s">
        <v>187</v>
      </c>
      <c r="B12" s="77">
        <v>10800</v>
      </c>
      <c r="C12" s="190">
        <f t="shared" si="3"/>
        <v>3316</v>
      </c>
      <c r="D12" s="190">
        <f t="shared" si="3"/>
        <v>3262.3783800000001</v>
      </c>
      <c r="E12" s="191">
        <f t="shared" si="0"/>
        <v>98.38294270205067</v>
      </c>
      <c r="F12" s="190">
        <f>SUM(район!C24)</f>
        <v>3200</v>
      </c>
      <c r="G12" s="190">
        <f>SUM(район!D24)</f>
        <v>3194.3883800000003</v>
      </c>
      <c r="H12" s="191">
        <f t="shared" si="1"/>
        <v>99.82463687500001</v>
      </c>
      <c r="I12" s="190">
        <f>Справка!AG31</f>
        <v>116</v>
      </c>
      <c r="J12" s="190">
        <f>SUM(Справка!AH31)</f>
        <v>67.990000000000009</v>
      </c>
      <c r="K12" s="191">
        <f t="shared" si="2"/>
        <v>58.612068965517253</v>
      </c>
    </row>
    <row r="13" spans="1:15" ht="19.5" customHeight="1">
      <c r="A13" s="81" t="s">
        <v>188</v>
      </c>
      <c r="B13" s="77">
        <v>10900</v>
      </c>
      <c r="C13" s="190">
        <f t="shared" si="3"/>
        <v>0</v>
      </c>
      <c r="D13" s="190">
        <f t="shared" si="3"/>
        <v>0.25939000000000001</v>
      </c>
      <c r="E13" s="191"/>
      <c r="F13" s="190">
        <f>район!C28</f>
        <v>0</v>
      </c>
      <c r="G13" s="190">
        <f>SUM(район!D28)</f>
        <v>0.25939000000000001</v>
      </c>
      <c r="H13" s="191"/>
      <c r="I13" s="190">
        <f>Справка!AJ31</f>
        <v>0</v>
      </c>
      <c r="J13" s="190">
        <f>Справка!AK31</f>
        <v>0</v>
      </c>
      <c r="K13" s="191"/>
    </row>
    <row r="14" spans="1:15" s="80" customFormat="1" ht="20.25" customHeight="1">
      <c r="A14" s="79" t="s">
        <v>12</v>
      </c>
      <c r="B14" s="76"/>
      <c r="C14" s="189">
        <f>SUM(C15:C21)</f>
        <v>21580.546999999999</v>
      </c>
      <c r="D14" s="189">
        <f>SUM(D15:D21)</f>
        <v>23470.135329999997</v>
      </c>
      <c r="E14" s="189">
        <f t="shared" ref="E14:E40" si="4">D14/C14*100</f>
        <v>108.75597977196779</v>
      </c>
      <c r="F14" s="189">
        <f>F15+F16+F17+F18+F20+F21+F19</f>
        <v>17131</v>
      </c>
      <c r="G14" s="189">
        <f>G15+G16+G17+G18+G20+G21+G19</f>
        <v>17605.45059</v>
      </c>
      <c r="H14" s="189">
        <f t="shared" si="1"/>
        <v>102.76954404296306</v>
      </c>
      <c r="I14" s="192">
        <f>I15+I16+I17+I18+I20+I21+I27</f>
        <v>4449.5469999999996</v>
      </c>
      <c r="J14" s="192">
        <f>J15+J16+J17+J18+J20+J21+J27</f>
        <v>5864.6847399999997</v>
      </c>
      <c r="K14" s="189">
        <f>J14/I14*100</f>
        <v>131.80408567433943</v>
      </c>
    </row>
    <row r="15" spans="1:15" ht="52.5" customHeight="1">
      <c r="A15" s="81" t="s">
        <v>189</v>
      </c>
      <c r="B15" s="77">
        <v>11100</v>
      </c>
      <c r="C15" s="190">
        <f t="shared" ref="C15:D21" si="5">F15+I15</f>
        <v>12287.553</v>
      </c>
      <c r="D15" s="190">
        <f t="shared" si="5"/>
        <v>12671.59953</v>
      </c>
      <c r="E15" s="190">
        <f t="shared" si="4"/>
        <v>103.12549235799837</v>
      </c>
      <c r="F15" s="190">
        <f>SUM(район!C34)</f>
        <v>8847</v>
      </c>
      <c r="G15" s="190">
        <f>SUM(район!D34)</f>
        <v>8875.6525500000007</v>
      </c>
      <c r="H15" s="190">
        <f t="shared" si="1"/>
        <v>100.32386741268226</v>
      </c>
      <c r="I15" s="190">
        <f>Справка!AP31+Справка!AS31+Справка!AM31</f>
        <v>3440.5529999999999</v>
      </c>
      <c r="J15" s="190">
        <f>SUM(Справка!AQ31+Справка!AT31)</f>
        <v>3795.9469799999997</v>
      </c>
      <c r="K15" s="191">
        <f>J15/I15*100</f>
        <v>110.32955981204185</v>
      </c>
    </row>
    <row r="16" spans="1:15" ht="33" customHeight="1">
      <c r="A16" s="81" t="s">
        <v>190</v>
      </c>
      <c r="B16" s="77">
        <v>11200</v>
      </c>
      <c r="C16" s="190">
        <f t="shared" si="5"/>
        <v>465</v>
      </c>
      <c r="D16" s="190">
        <f t="shared" si="5"/>
        <v>467.04399999999998</v>
      </c>
      <c r="E16" s="190">
        <f t="shared" si="4"/>
        <v>100.43956989247312</v>
      </c>
      <c r="F16" s="190">
        <f>SUM(район!C43)</f>
        <v>465</v>
      </c>
      <c r="G16" s="190">
        <f>район!D43</f>
        <v>467.04399999999998</v>
      </c>
      <c r="H16" s="190">
        <f t="shared" si="1"/>
        <v>100.43956989247312</v>
      </c>
      <c r="I16" s="190">
        <v>0</v>
      </c>
      <c r="J16" s="190">
        <v>0</v>
      </c>
      <c r="K16" s="191">
        <v>0</v>
      </c>
    </row>
    <row r="17" spans="1:13" ht="33" customHeight="1">
      <c r="A17" s="81" t="s">
        <v>191</v>
      </c>
      <c r="B17" s="77">
        <v>11300</v>
      </c>
      <c r="C17" s="190">
        <f t="shared" si="5"/>
        <v>914</v>
      </c>
      <c r="D17" s="190">
        <f t="shared" si="5"/>
        <v>1150.5286800000001</v>
      </c>
      <c r="E17" s="190">
        <f>D17/C17*100</f>
        <v>125.87841137855582</v>
      </c>
      <c r="F17" s="190">
        <f>SUM(район!C45)</f>
        <v>219</v>
      </c>
      <c r="G17" s="190">
        <f>SUM(район!D45)</f>
        <v>226.37066999999999</v>
      </c>
      <c r="H17" s="190">
        <f t="shared" si="1"/>
        <v>103.36560273972601</v>
      </c>
      <c r="I17" s="190">
        <f>SUM(Справка!AY31)</f>
        <v>695</v>
      </c>
      <c r="J17" s="190">
        <f>SUM(Справка!AZ31)</f>
        <v>924.1580100000001</v>
      </c>
      <c r="K17" s="191">
        <f>J17/I17*100</f>
        <v>132.97237553956836</v>
      </c>
    </row>
    <row r="18" spans="1:13" ht="33" customHeight="1">
      <c r="A18" s="81" t="s">
        <v>192</v>
      </c>
      <c r="B18" s="77">
        <v>11400</v>
      </c>
      <c r="C18" s="190">
        <f t="shared" si="5"/>
        <v>5423.9939999999997</v>
      </c>
      <c r="D18" s="190">
        <f t="shared" si="5"/>
        <v>6176.09476</v>
      </c>
      <c r="E18" s="190">
        <f t="shared" si="4"/>
        <v>113.86617979297175</v>
      </c>
      <c r="F18" s="190">
        <f>SUM(район!C48)</f>
        <v>5200</v>
      </c>
      <c r="G18" s="190">
        <f>SUM(район!D48)</f>
        <v>5636.7212600000003</v>
      </c>
      <c r="H18" s="190">
        <f>G18/F18*100</f>
        <v>108.39848576923077</v>
      </c>
      <c r="I18" s="190">
        <f>Справка!BE31</f>
        <v>223.994</v>
      </c>
      <c r="J18" s="190">
        <f>Справка!BF31</f>
        <v>539.37350000000004</v>
      </c>
      <c r="K18" s="191">
        <f>J18/I18*100</f>
        <v>240.79819102297387</v>
      </c>
    </row>
    <row r="19" spans="1:13" ht="23.25" customHeight="1">
      <c r="A19" s="81" t="s">
        <v>224</v>
      </c>
      <c r="B19" s="77">
        <v>11500</v>
      </c>
      <c r="C19" s="190">
        <f t="shared" si="5"/>
        <v>0</v>
      </c>
      <c r="D19" s="190">
        <f t="shared" si="5"/>
        <v>0</v>
      </c>
      <c r="E19" s="190"/>
      <c r="F19" s="190">
        <f>район!C52</f>
        <v>0</v>
      </c>
      <c r="G19" s="190">
        <f>район!D52</f>
        <v>0</v>
      </c>
      <c r="H19" s="190"/>
      <c r="I19" s="190"/>
      <c r="J19" s="190"/>
      <c r="K19" s="191"/>
    </row>
    <row r="20" spans="1:13" ht="22.5" customHeight="1">
      <c r="A20" s="81" t="s">
        <v>193</v>
      </c>
      <c r="B20" s="77">
        <v>11600</v>
      </c>
      <c r="C20" s="190">
        <f t="shared" si="5"/>
        <v>2490</v>
      </c>
      <c r="D20" s="190">
        <f t="shared" si="5"/>
        <v>3001.6927699999997</v>
      </c>
      <c r="E20" s="190">
        <f t="shared" si="4"/>
        <v>120.54991044176705</v>
      </c>
      <c r="F20" s="190">
        <f>SUM(район!C54)</f>
        <v>2400</v>
      </c>
      <c r="G20" s="190">
        <f>SUM(район!D54)</f>
        <v>2399.6621099999998</v>
      </c>
      <c r="H20" s="190">
        <f>G20/F20*100</f>
        <v>99.98592124999999</v>
      </c>
      <c r="I20" s="190">
        <f>SUM(Справка!BN31)</f>
        <v>90</v>
      </c>
      <c r="J20" s="190">
        <f>SUM(Справка!BO31)</f>
        <v>602.03066000000001</v>
      </c>
      <c r="K20" s="191">
        <f>J20/I20*100</f>
        <v>668.92295555555552</v>
      </c>
    </row>
    <row r="21" spans="1:13" ht="24" customHeight="1">
      <c r="A21" s="81" t="s">
        <v>194</v>
      </c>
      <c r="B21" s="77">
        <v>11700</v>
      </c>
      <c r="C21" s="190">
        <f t="shared" si="5"/>
        <v>0</v>
      </c>
      <c r="D21" s="190">
        <f t="shared" si="5"/>
        <v>3.1755900000000001</v>
      </c>
      <c r="E21" s="190"/>
      <c r="F21" s="190">
        <f>район!C61</f>
        <v>0</v>
      </c>
      <c r="G21" s="190">
        <f>район!D61</f>
        <v>0</v>
      </c>
      <c r="H21" s="190"/>
      <c r="I21" s="190">
        <f>Справка!BQ31</f>
        <v>0</v>
      </c>
      <c r="J21" s="190">
        <f>SUM(Справка!BR31)</f>
        <v>3.1755900000000001</v>
      </c>
      <c r="K21" s="191">
        <v>0</v>
      </c>
    </row>
    <row r="22" spans="1:13" ht="32.25" customHeight="1">
      <c r="A22" s="79" t="s">
        <v>195</v>
      </c>
      <c r="B22" s="76">
        <v>30000</v>
      </c>
      <c r="C22" s="431">
        <f>F22+I22</f>
        <v>0</v>
      </c>
      <c r="D22" s="431">
        <f>G22+J22</f>
        <v>0</v>
      </c>
      <c r="E22" s="189"/>
      <c r="F22" s="189">
        <v>0</v>
      </c>
      <c r="G22" s="189">
        <v>0</v>
      </c>
      <c r="H22" s="189"/>
      <c r="I22" s="189">
        <v>0</v>
      </c>
      <c r="J22" s="189">
        <v>0</v>
      </c>
      <c r="K22" s="189"/>
    </row>
    <row r="23" spans="1:13" ht="29.25" customHeight="1">
      <c r="A23" s="79" t="s">
        <v>16</v>
      </c>
      <c r="B23" s="76">
        <v>10000</v>
      </c>
      <c r="C23" s="192">
        <f>SUM(C4,C14,C22,)</f>
        <v>207239.14968999999</v>
      </c>
      <c r="D23" s="192">
        <f>SUM(D4,D14,D22,)</f>
        <v>212631.23866</v>
      </c>
      <c r="E23" s="189">
        <f t="shared" si="4"/>
        <v>102.60186792797876</v>
      </c>
      <c r="F23" s="192">
        <f>SUM(F4,F14,)</f>
        <v>164226.1</v>
      </c>
      <c r="G23" s="192">
        <f>SUM(G4,G14,G22)</f>
        <v>167302.22479000001</v>
      </c>
      <c r="H23" s="189">
        <f t="shared" si="1"/>
        <v>101.87310347746185</v>
      </c>
      <c r="I23" s="192">
        <f>I4+I14</f>
        <v>43013.04969</v>
      </c>
      <c r="J23" s="192">
        <f>J4+J14</f>
        <v>45329.013869999995</v>
      </c>
      <c r="K23" s="189">
        <f>J23/I23*100</f>
        <v>105.38432916682592</v>
      </c>
    </row>
    <row r="24" spans="1:13" ht="32.25" customHeight="1">
      <c r="A24" s="79" t="s">
        <v>196</v>
      </c>
      <c r="B24" s="76">
        <v>20200</v>
      </c>
      <c r="C24" s="193">
        <v>736347.94006000005</v>
      </c>
      <c r="D24" s="193">
        <v>667086.74694999994</v>
      </c>
      <c r="E24" s="192">
        <f t="shared" si="4"/>
        <v>90.593958461490843</v>
      </c>
      <c r="F24" s="192">
        <f>SUM(район!C65)</f>
        <v>705902.71231000009</v>
      </c>
      <c r="G24" s="192">
        <f>SUM(район!D65)</f>
        <v>636620.15780000004</v>
      </c>
      <c r="H24" s="189">
        <f t="shared" si="1"/>
        <v>90.185254525615946</v>
      </c>
      <c r="I24" s="192">
        <f>SUM(Справка!BZ31)</f>
        <v>172488.83471999998</v>
      </c>
      <c r="J24" s="192">
        <f>SUM(Справка!CA31)</f>
        <v>142333.34713000001</v>
      </c>
      <c r="K24" s="189">
        <f t="shared" ref="K24:K39" si="6">J24/I24*100</f>
        <v>82.517426337217032</v>
      </c>
    </row>
    <row r="25" spans="1:13" ht="20.25">
      <c r="A25" s="79" t="s">
        <v>272</v>
      </c>
      <c r="B25" s="76">
        <v>20700</v>
      </c>
      <c r="C25" s="194">
        <f>F25+I25</f>
        <v>3920.0093000000002</v>
      </c>
      <c r="D25" s="194">
        <f>G25+J25</f>
        <v>4462.9991499999996</v>
      </c>
      <c r="E25" s="192">
        <f t="shared" si="4"/>
        <v>113.85174902518725</v>
      </c>
      <c r="F25" s="192"/>
      <c r="G25" s="192"/>
      <c r="H25" s="189"/>
      <c r="I25" s="192">
        <f>Справка!CR31</f>
        <v>3920.0093000000002</v>
      </c>
      <c r="J25" s="498">
        <f>Справка!CS31</f>
        <v>4462.9991499999996</v>
      </c>
      <c r="K25" s="189">
        <f t="shared" si="6"/>
        <v>113.85174902518725</v>
      </c>
    </row>
    <row r="26" spans="1:13" ht="31.5">
      <c r="A26" s="79" t="s">
        <v>450</v>
      </c>
      <c r="B26" s="497">
        <v>21800</v>
      </c>
      <c r="C26" s="194">
        <v>0</v>
      </c>
      <c r="D26" s="194">
        <v>78.638599999999997</v>
      </c>
      <c r="E26" s="192"/>
      <c r="F26" s="192"/>
      <c r="G26" s="192"/>
      <c r="H26" s="189"/>
      <c r="I26" s="192"/>
      <c r="J26" s="498"/>
      <c r="K26" s="189"/>
    </row>
    <row r="27" spans="1:13" ht="33" customHeight="1">
      <c r="A27" s="79" t="s">
        <v>235</v>
      </c>
      <c r="B27" s="497">
        <v>21900</v>
      </c>
      <c r="C27" s="194">
        <f>F27+I27</f>
        <v>-54296.227749999998</v>
      </c>
      <c r="D27" s="194">
        <f>G27+J27</f>
        <v>-54296.227749999998</v>
      </c>
      <c r="E27" s="192">
        <f t="shared" si="4"/>
        <v>100</v>
      </c>
      <c r="F27" s="191">
        <f>район!C73</f>
        <v>-54296.227749999998</v>
      </c>
      <c r="G27" s="191">
        <f>SUM(район!D73)</f>
        <v>-54296.227749999998</v>
      </c>
      <c r="H27" s="189"/>
      <c r="I27" s="191">
        <v>0</v>
      </c>
      <c r="J27" s="191">
        <v>0</v>
      </c>
      <c r="K27" s="191">
        <v>0</v>
      </c>
      <c r="L27" s="82"/>
    </row>
    <row r="28" spans="1:13" ht="29.25" customHeight="1">
      <c r="A28" s="76" t="s">
        <v>197</v>
      </c>
      <c r="B28" s="76"/>
      <c r="C28" s="196">
        <f>C24+C23+C25+C27</f>
        <v>893210.87130000012</v>
      </c>
      <c r="D28" s="196">
        <f>D24+D23+D25+D27+D26</f>
        <v>829963.39561000001</v>
      </c>
      <c r="E28" s="196">
        <f t="shared" si="4"/>
        <v>92.919088009089251</v>
      </c>
      <c r="F28" s="433">
        <f>F24+F23</f>
        <v>870128.81231000007</v>
      </c>
      <c r="G28" s="196">
        <f>G24+G23</f>
        <v>803922.38259000005</v>
      </c>
      <c r="H28" s="196">
        <f t="shared" si="1"/>
        <v>92.391192110483445</v>
      </c>
      <c r="I28" s="196">
        <f>I24+I23</f>
        <v>215501.88441</v>
      </c>
      <c r="J28" s="196">
        <f>J24+J23</f>
        <v>187662.361</v>
      </c>
      <c r="K28" s="195">
        <f t="shared" si="6"/>
        <v>87.081540615656834</v>
      </c>
      <c r="L28" s="92"/>
      <c r="M28" s="82"/>
    </row>
    <row r="29" spans="1:13" ht="20.25">
      <c r="A29" s="485" t="s">
        <v>433</v>
      </c>
      <c r="B29" s="485"/>
      <c r="C29" s="196">
        <f>C30+C31+C32+C33+C34+C35+C36+C37+C38+C42+C39+C40+C41</f>
        <v>963952.65844999999</v>
      </c>
      <c r="D29" s="196">
        <f>D30+D31+D32+D33+D34+D35+D36+D37+D38+D42+D39+D40+D41</f>
        <v>837650.16778000002</v>
      </c>
      <c r="E29" s="196">
        <f t="shared" si="4"/>
        <v>86.897438420566246</v>
      </c>
      <c r="F29" s="196">
        <f>SUM(F30+F31+F32+F33+F34+F35+F36+F37+F38+F39+F40+F41+F42)</f>
        <v>934251.62721999991</v>
      </c>
      <c r="G29" s="196">
        <f>SUM(G30:G42)</f>
        <v>813965.82669999986</v>
      </c>
      <c r="H29" s="196">
        <f t="shared" si="1"/>
        <v>87.124903289927602</v>
      </c>
      <c r="I29" s="196">
        <f>I30+I31+I32+I33+I34+I35+I36+I37+I38+I39+I40+I41+I42</f>
        <v>222120.85665</v>
      </c>
      <c r="J29" s="196">
        <f>J30+J31+J32+J33+J34+J35+J36+J37+J38+J39+J40+J41+J42</f>
        <v>185305.68906</v>
      </c>
      <c r="K29" s="195">
        <f t="shared" si="6"/>
        <v>83.425614260073587</v>
      </c>
    </row>
    <row r="30" spans="1:13" ht="27.75" customHeight="1">
      <c r="A30" s="81" t="s">
        <v>434</v>
      </c>
      <c r="B30" s="486" t="s">
        <v>27</v>
      </c>
      <c r="C30" s="487">
        <f>F30+I30</f>
        <v>95796.686069999996</v>
      </c>
      <c r="D30" s="487">
        <f>G30+J30</f>
        <v>73831.373339999991</v>
      </c>
      <c r="E30" s="488">
        <f t="shared" si="4"/>
        <v>77.070905444526929</v>
      </c>
      <c r="F30" s="190">
        <f>район!C80</f>
        <v>68234.019889999996</v>
      </c>
      <c r="G30" s="488">
        <f>район!D80</f>
        <v>47407.415079999999</v>
      </c>
      <c r="H30" s="489">
        <f t="shared" si="1"/>
        <v>69.477681596988489</v>
      </c>
      <c r="I30" s="489">
        <f>Справка!DJ31</f>
        <v>27562.666179999997</v>
      </c>
      <c r="J30" s="489">
        <f>Справка!DK31</f>
        <v>26423.958259999996</v>
      </c>
      <c r="K30" s="489">
        <f t="shared" si="6"/>
        <v>95.868658305536968</v>
      </c>
    </row>
    <row r="31" spans="1:13" ht="27.75" customHeight="1">
      <c r="A31" s="81" t="s">
        <v>435</v>
      </c>
      <c r="B31" s="486" t="s">
        <v>43</v>
      </c>
      <c r="C31" s="194">
        <f>I31</f>
        <v>2380.4</v>
      </c>
      <c r="D31" s="194">
        <f>J31</f>
        <v>2380.4</v>
      </c>
      <c r="E31" s="488">
        <f t="shared" si="4"/>
        <v>100</v>
      </c>
      <c r="F31" s="190">
        <f>район!C88</f>
        <v>2380.4</v>
      </c>
      <c r="G31" s="488">
        <f>район!D88</f>
        <v>2380.4</v>
      </c>
      <c r="H31" s="489">
        <f t="shared" si="1"/>
        <v>100</v>
      </c>
      <c r="I31" s="489">
        <f>Справка!DY31</f>
        <v>2380.4</v>
      </c>
      <c r="J31" s="489">
        <f>Справка!DZ31</f>
        <v>2380.4</v>
      </c>
      <c r="K31" s="489">
        <f t="shared" si="6"/>
        <v>100</v>
      </c>
    </row>
    <row r="32" spans="1:13" ht="27.75" customHeight="1">
      <c r="A32" s="81" t="s">
        <v>436</v>
      </c>
      <c r="B32" s="486" t="s">
        <v>47</v>
      </c>
      <c r="C32" s="487">
        <f>F32+I32</f>
        <v>5716.0929100000003</v>
      </c>
      <c r="D32" s="487">
        <f>G32+J32</f>
        <v>5663.8470699999998</v>
      </c>
      <c r="E32" s="488">
        <f t="shared" si="4"/>
        <v>99.085986865108524</v>
      </c>
      <c r="F32" s="190">
        <f>район!C90</f>
        <v>5504.4991399999999</v>
      </c>
      <c r="G32" s="488">
        <f>район!D90</f>
        <v>5470.8397500000001</v>
      </c>
      <c r="H32" s="489">
        <f t="shared" si="1"/>
        <v>99.388511304227407</v>
      </c>
      <c r="I32" s="489">
        <f>Справка!EB31</f>
        <v>211.59377000000001</v>
      </c>
      <c r="J32" s="489">
        <f>Справка!EC31</f>
        <v>193.00731999999999</v>
      </c>
      <c r="K32" s="489">
        <f t="shared" si="6"/>
        <v>91.215974837066327</v>
      </c>
    </row>
    <row r="33" spans="1:11" ht="27.75" customHeight="1">
      <c r="A33" s="81" t="s">
        <v>437</v>
      </c>
      <c r="B33" s="486" t="s">
        <v>55</v>
      </c>
      <c r="C33" s="490">
        <v>127707.49374999999</v>
      </c>
      <c r="D33" s="490">
        <v>112395.78337</v>
      </c>
      <c r="E33" s="488">
        <f t="shared" si="4"/>
        <v>88.01032740492569</v>
      </c>
      <c r="F33" s="190">
        <f>район!C96</f>
        <v>103564.18672</v>
      </c>
      <c r="G33" s="488">
        <f>район!D96</f>
        <v>92330.212049999987</v>
      </c>
      <c r="H33" s="489">
        <f t="shared" si="1"/>
        <v>89.152645305492911</v>
      </c>
      <c r="I33" s="489">
        <f>Справка!EE31</f>
        <v>56113.707030000005</v>
      </c>
      <c r="J33" s="489">
        <f>Справка!EF31</f>
        <v>50676.199739999989</v>
      </c>
      <c r="K33" s="489">
        <f t="shared" si="6"/>
        <v>90.309841253059673</v>
      </c>
    </row>
    <row r="34" spans="1:11" ht="27.75" customHeight="1">
      <c r="A34" s="81" t="s">
        <v>438</v>
      </c>
      <c r="B34" s="486" t="s">
        <v>65</v>
      </c>
      <c r="C34" s="490">
        <v>97417.338619999995</v>
      </c>
      <c r="D34" s="490">
        <v>72666.926319999999</v>
      </c>
      <c r="E34" s="488">
        <f t="shared" si="4"/>
        <v>74.593421817295791</v>
      </c>
      <c r="F34" s="190">
        <f>район!C103</f>
        <v>63641.448749999996</v>
      </c>
      <c r="G34" s="488">
        <f>район!D103</f>
        <v>42621.335270000003</v>
      </c>
      <c r="H34" s="489">
        <f t="shared" si="1"/>
        <v>66.971032412268912</v>
      </c>
      <c r="I34" s="489">
        <f>Справка!EH31</f>
        <v>88241.840069999991</v>
      </c>
      <c r="J34" s="489">
        <f>Справка!EI31</f>
        <v>64389.249100000001</v>
      </c>
      <c r="K34" s="489">
        <f t="shared" si="6"/>
        <v>72.969068923451346</v>
      </c>
    </row>
    <row r="35" spans="1:11" ht="27.75" customHeight="1">
      <c r="A35" s="81" t="s">
        <v>439</v>
      </c>
      <c r="B35" s="486" t="s">
        <v>73</v>
      </c>
      <c r="C35" s="194">
        <f>F35</f>
        <v>310</v>
      </c>
      <c r="D35" s="194">
        <f>G35</f>
        <v>248.92202</v>
      </c>
      <c r="E35" s="488">
        <f t="shared" si="4"/>
        <v>80.297425806451614</v>
      </c>
      <c r="F35" s="190">
        <f>район!C107</f>
        <v>310</v>
      </c>
      <c r="G35" s="488">
        <f>район!D107</f>
        <v>248.92202</v>
      </c>
      <c r="H35" s="489">
        <f t="shared" si="1"/>
        <v>80.297425806451614</v>
      </c>
      <c r="I35" s="488"/>
      <c r="J35" s="488"/>
      <c r="K35" s="489">
        <v>0</v>
      </c>
    </row>
    <row r="36" spans="1:11" ht="27.75" customHeight="1">
      <c r="A36" s="81" t="s">
        <v>440</v>
      </c>
      <c r="B36" s="486" t="s">
        <v>77</v>
      </c>
      <c r="C36" s="194">
        <f>F36</f>
        <v>504906.1165</v>
      </c>
      <c r="D36" s="194">
        <f>G36</f>
        <v>454316.50398999994</v>
      </c>
      <c r="E36" s="488">
        <f t="shared" si="4"/>
        <v>89.980392224066065</v>
      </c>
      <c r="F36" s="190">
        <f>район!C109</f>
        <v>504906.1165</v>
      </c>
      <c r="G36" s="488">
        <f>район!D109</f>
        <v>454316.50398999994</v>
      </c>
      <c r="H36" s="489">
        <f t="shared" si="1"/>
        <v>89.980392224066065</v>
      </c>
      <c r="I36" s="488"/>
      <c r="J36" s="488"/>
      <c r="K36" s="489">
        <v>0</v>
      </c>
    </row>
    <row r="37" spans="1:11" ht="27.75" customHeight="1">
      <c r="A37" s="81" t="s">
        <v>441</v>
      </c>
      <c r="B37" s="486" t="s">
        <v>83</v>
      </c>
      <c r="C37" s="490">
        <v>85548.867320000005</v>
      </c>
      <c r="D37" s="490">
        <v>77499.275229999999</v>
      </c>
      <c r="E37" s="488">
        <f t="shared" si="4"/>
        <v>90.590650300616971</v>
      </c>
      <c r="F37" s="190">
        <f>район!C115</f>
        <v>80820.514979999993</v>
      </c>
      <c r="G37" s="488">
        <f>район!D115</f>
        <v>73183.469219999999</v>
      </c>
      <c r="H37" s="489">
        <f t="shared" si="1"/>
        <v>90.550609876848881</v>
      </c>
      <c r="I37" s="489">
        <f>Справка!EK31</f>
        <v>47523.275029999997</v>
      </c>
      <c r="J37" s="489">
        <f>Справка!EL31</f>
        <v>41164.02764</v>
      </c>
      <c r="K37" s="489">
        <f t="shared" si="6"/>
        <v>86.618667619212701</v>
      </c>
    </row>
    <row r="38" spans="1:11" ht="27.75" customHeight="1">
      <c r="A38" s="81" t="s">
        <v>442</v>
      </c>
      <c r="B38" s="486" t="s">
        <v>198</v>
      </c>
      <c r="C38" s="490">
        <v>37515.653709999999</v>
      </c>
      <c r="D38" s="490">
        <v>32011.448049999999</v>
      </c>
      <c r="E38" s="488">
        <f t="shared" si="4"/>
        <v>85.328242704903673</v>
      </c>
      <c r="F38" s="190">
        <f>район!C118</f>
        <v>37513.653709999999</v>
      </c>
      <c r="G38" s="488">
        <f>район!D118</f>
        <v>32009.448050000003</v>
      </c>
      <c r="H38" s="489">
        <f t="shared" si="1"/>
        <v>85.327460495982706</v>
      </c>
      <c r="I38" s="489">
        <f>Справка!EN31</f>
        <v>2</v>
      </c>
      <c r="J38" s="489">
        <f>Справка!EO31</f>
        <v>2</v>
      </c>
      <c r="K38" s="489"/>
    </row>
    <row r="39" spans="1:11" ht="27.75" customHeight="1">
      <c r="A39" s="81" t="s">
        <v>443</v>
      </c>
      <c r="B39" s="486" t="s">
        <v>92</v>
      </c>
      <c r="C39" s="490">
        <v>6609.0095700000002</v>
      </c>
      <c r="D39" s="490">
        <v>6598.1933900000004</v>
      </c>
      <c r="E39" s="488">
        <f t="shared" si="4"/>
        <v>99.8363418922996</v>
      </c>
      <c r="F39" s="190">
        <f>район!C123</f>
        <v>6523.6350000000002</v>
      </c>
      <c r="G39" s="488">
        <f>район!D123</f>
        <v>6521.3463900000006</v>
      </c>
      <c r="H39" s="489">
        <f t="shared" si="1"/>
        <v>99.964918178285572</v>
      </c>
      <c r="I39" s="489">
        <f>Справка!EQ31</f>
        <v>85.374570000000006</v>
      </c>
      <c r="J39" s="489">
        <f>Справка!ER31</f>
        <v>76.847000000000008</v>
      </c>
      <c r="K39" s="489">
        <f t="shared" si="6"/>
        <v>90.011580731826825</v>
      </c>
    </row>
    <row r="40" spans="1:11" ht="27.75" customHeight="1">
      <c r="A40" s="81" t="s">
        <v>444</v>
      </c>
      <c r="B40" s="486" t="s">
        <v>104</v>
      </c>
      <c r="C40" s="190">
        <f>F40</f>
        <v>45</v>
      </c>
      <c r="D40" s="190">
        <f>G40</f>
        <v>37.494999999999997</v>
      </c>
      <c r="E40" s="488">
        <f t="shared" si="4"/>
        <v>83.322222222222223</v>
      </c>
      <c r="F40" s="190">
        <f>район!C129</f>
        <v>45</v>
      </c>
      <c r="G40" s="488">
        <f>район!D129</f>
        <v>37.494999999999997</v>
      </c>
      <c r="H40" s="489">
        <f t="shared" si="1"/>
        <v>83.322222222222223</v>
      </c>
      <c r="I40" s="489"/>
      <c r="J40" s="489"/>
      <c r="K40" s="489">
        <v>0</v>
      </c>
    </row>
    <row r="41" spans="1:11" ht="27.75" customHeight="1">
      <c r="A41" s="81" t="s">
        <v>445</v>
      </c>
      <c r="B41" s="486" t="s">
        <v>108</v>
      </c>
      <c r="C41" s="190">
        <f>F41</f>
        <v>0</v>
      </c>
      <c r="D41" s="190">
        <f>G41</f>
        <v>0</v>
      </c>
      <c r="E41" s="488"/>
      <c r="F41" s="190"/>
      <c r="G41" s="488"/>
      <c r="H41" s="489">
        <v>0</v>
      </c>
      <c r="I41" s="489"/>
      <c r="J41" s="491"/>
      <c r="K41" s="489">
        <v>0</v>
      </c>
    </row>
    <row r="42" spans="1:11" ht="27.75" customHeight="1">
      <c r="A42" s="81" t="s">
        <v>446</v>
      </c>
      <c r="B42" s="486" t="s">
        <v>447</v>
      </c>
      <c r="C42" s="190">
        <v>0</v>
      </c>
      <c r="D42" s="190">
        <v>0</v>
      </c>
      <c r="E42" s="488">
        <v>0</v>
      </c>
      <c r="F42" s="190">
        <f>район!C133</f>
        <v>60808.152529999999</v>
      </c>
      <c r="G42" s="488">
        <f>район!D133</f>
        <v>57438.439879999998</v>
      </c>
      <c r="H42" s="489">
        <f t="shared" si="1"/>
        <v>94.458452510397294</v>
      </c>
      <c r="I42" s="489">
        <f>[1]Справка!ET31</f>
        <v>0</v>
      </c>
      <c r="J42" s="491">
        <f>[1]Справка!EU31</f>
        <v>0</v>
      </c>
      <c r="K42" s="489"/>
    </row>
    <row r="44" spans="1:11" ht="31.5">
      <c r="A44" s="492" t="s">
        <v>448</v>
      </c>
      <c r="B44" s="493"/>
      <c r="C44" s="494"/>
      <c r="D44" s="494" t="s">
        <v>449</v>
      </c>
      <c r="E44" s="495"/>
      <c r="F44" s="495"/>
      <c r="G44" s="495"/>
      <c r="H44" s="496"/>
      <c r="I44" s="496"/>
      <c r="J44" s="496"/>
      <c r="K44" s="496"/>
    </row>
  </sheetData>
  <customSheetViews>
    <customSheetView guid="{5BFCA170-DEAE-4D2C-98A0-1E68B427AC01}" scale="80" showPageBreaks="1" printArea="1" hiddenRows="1" view="pageBreakPreview">
      <selection activeCell="C10" sqref="C1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1" orientation="landscape" r:id="rId1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2"/>
    </customSheetView>
    <customSheetView guid="{3DCB9AAA-F09C-4EA6-B992-F93E466D374A}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3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4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5"/>
    </customSheetView>
    <customSheetView guid="{B31C8DB7-3E78-4144-A6B5-8DE36DE63F0E}" scale="80" showPageBreaks="1" printArea="1" hiddenRows="1" view="pageBreakPreview" topLeftCell="A13">
      <selection activeCell="C24" sqref="C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6"/>
    </customSheetView>
    <customSheetView guid="{B30CE22D-C12F-4E12-8BB9-3AAE0A6991CC}" scale="80" showPageBreaks="1" printArea="1" hiddenRows="1" view="pageBreakPreview">
      <selection activeCell="G23" sqref="G23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7"/>
    </customSheetView>
    <customSheetView guid="{1718F1EE-9F48-4DBE-9531-3B70F9C4A5DD}" scale="80" showPageBreaks="1" printArea="1" hiddenRows="1" view="pageBreakPreview" topLeftCell="A16">
      <selection activeCell="G24" sqref="F24:G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8"/>
    </customSheetView>
    <customSheetView guid="{61528DAC-5C4C-48F4-ADE2-8A724B05A086}" scale="80" showPageBreaks="1" printArea="1" hiddenRows="1" view="pageBreakPreview">
      <selection activeCell="J4" sqref="J4"/>
      <rowBreaks count="1" manualBreakCount="1">
        <brk id="27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9"/>
    </customSheetView>
  </customSheetViews>
  <mergeCells count="6">
    <mergeCell ref="C2:E2"/>
    <mergeCell ref="A2:A3"/>
    <mergeCell ref="B2:B3"/>
    <mergeCell ref="A1:K1"/>
    <mergeCell ref="I2:K2"/>
    <mergeCell ref="F2:H2"/>
  </mergeCells>
  <phoneticPr fontId="14" type="noConversion"/>
  <pageMargins left="0.70866141732283472" right="0.70866141732283472" top="0.35433070866141736" bottom="0.74803149606299213" header="0.31496062992125984" footer="0.31496062992125984"/>
  <pageSetup paperSize="9" scale="41" orientation="landscape" r:id="rId1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42"/>
  <sheetViews>
    <sheetView view="pageBreakPreview" topLeftCell="A25" zoomScale="70" zoomScaleSheetLayoutView="70" workbookViewId="0">
      <selection activeCell="C52" sqref="C52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43" t="s">
        <v>420</v>
      </c>
      <c r="B1" s="543"/>
      <c r="C1" s="543"/>
      <c r="D1" s="543"/>
      <c r="E1" s="543"/>
      <c r="F1" s="543"/>
    </row>
    <row r="2" spans="1:6">
      <c r="A2" s="543"/>
      <c r="B2" s="543"/>
      <c r="C2" s="543"/>
      <c r="D2" s="543"/>
      <c r="E2" s="543"/>
      <c r="F2" s="543"/>
    </row>
    <row r="3" spans="1:6" ht="66.75" customHeight="1">
      <c r="A3" s="2" t="s">
        <v>0</v>
      </c>
      <c r="B3" s="2" t="s">
        <v>1</v>
      </c>
      <c r="C3" s="72" t="s">
        <v>382</v>
      </c>
      <c r="D3" s="99" t="s">
        <v>403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2098.54</v>
      </c>
      <c r="D4" s="216">
        <f>D5+D12+D14+D17+D7</f>
        <v>2660.4391400000004</v>
      </c>
      <c r="E4" s="5">
        <f>SUM(D4/C4*100)</f>
        <v>126.7757174035282</v>
      </c>
      <c r="F4" s="5">
        <f>SUM(D4-C4)</f>
        <v>561.89914000000044</v>
      </c>
    </row>
    <row r="5" spans="1:6" s="6" customFormat="1">
      <c r="A5" s="68">
        <v>1010000000</v>
      </c>
      <c r="B5" s="67" t="s">
        <v>5</v>
      </c>
      <c r="C5" s="5">
        <f>C6</f>
        <v>187.5</v>
      </c>
      <c r="D5" s="216">
        <f>D6</f>
        <v>247.44542000000001</v>
      </c>
      <c r="E5" s="5">
        <f t="shared" ref="E5:E51" si="0">SUM(D5/C5*100)</f>
        <v>131.97089066666666</v>
      </c>
      <c r="F5" s="5">
        <f t="shared" ref="F5:F51" si="1">SUM(D5-C5)</f>
        <v>59.945420000000013</v>
      </c>
    </row>
    <row r="6" spans="1:6">
      <c r="A6" s="7">
        <v>1010200001</v>
      </c>
      <c r="B6" s="8" t="s">
        <v>209</v>
      </c>
      <c r="C6" s="9">
        <v>187.5</v>
      </c>
      <c r="D6" s="476">
        <v>247.44542000000001</v>
      </c>
      <c r="E6" s="9">
        <f t="shared" ref="E6:E11" si="2">SUM(D6/C6*100)</f>
        <v>131.97089066666666</v>
      </c>
      <c r="F6" s="9">
        <f t="shared" si="1"/>
        <v>59.945420000000013</v>
      </c>
    </row>
    <row r="7" spans="1:6" ht="31.5">
      <c r="A7" s="3">
        <v>1030000000</v>
      </c>
      <c r="B7" s="13" t="s">
        <v>250</v>
      </c>
      <c r="C7" s="5">
        <f>C8+C10+C9</f>
        <v>493.04000000000008</v>
      </c>
      <c r="D7" s="216">
        <f>D8+D9+D10+D11</f>
        <v>468.19821999999999</v>
      </c>
      <c r="E7" s="9">
        <f t="shared" si="2"/>
        <v>94.961508194061324</v>
      </c>
      <c r="F7" s="9">
        <f t="shared" si="1"/>
        <v>-24.841780000000085</v>
      </c>
    </row>
    <row r="8" spans="1:6">
      <c r="A8" s="7">
        <v>1030223001</v>
      </c>
      <c r="B8" s="8" t="s">
        <v>252</v>
      </c>
      <c r="C8" s="9">
        <v>183.91</v>
      </c>
      <c r="D8" s="476">
        <v>215.95069000000001</v>
      </c>
      <c r="E8" s="9">
        <f t="shared" si="2"/>
        <v>117.42194007938667</v>
      </c>
      <c r="F8" s="9">
        <f t="shared" si="1"/>
        <v>32.040690000000012</v>
      </c>
    </row>
    <row r="9" spans="1:6">
      <c r="A9" s="7">
        <v>1030224001</v>
      </c>
      <c r="B9" s="8" t="s">
        <v>258</v>
      </c>
      <c r="C9" s="9">
        <v>1.97</v>
      </c>
      <c r="D9" s="476">
        <v>1.54464</v>
      </c>
      <c r="E9" s="9">
        <f t="shared" si="2"/>
        <v>78.408121827411165</v>
      </c>
      <c r="F9" s="9">
        <f t="shared" si="1"/>
        <v>-0.42535999999999996</v>
      </c>
    </row>
    <row r="10" spans="1:6">
      <c r="A10" s="7">
        <v>1030225001</v>
      </c>
      <c r="B10" s="8" t="s">
        <v>251</v>
      </c>
      <c r="C10" s="9">
        <v>307.16000000000003</v>
      </c>
      <c r="D10" s="476">
        <v>290.51436000000001</v>
      </c>
      <c r="E10" s="9">
        <f t="shared" si="2"/>
        <v>94.580791769761689</v>
      </c>
      <c r="F10" s="9">
        <f t="shared" si="1"/>
        <v>-16.645640000000014</v>
      </c>
    </row>
    <row r="11" spans="1:6">
      <c r="A11" s="7">
        <v>1030265001</v>
      </c>
      <c r="B11" s="8" t="s">
        <v>260</v>
      </c>
      <c r="C11" s="9">
        <v>0</v>
      </c>
      <c r="D11" s="476">
        <v>-39.81147</v>
      </c>
      <c r="E11" s="9" t="e">
        <f t="shared" si="2"/>
        <v>#DIV/0!</v>
      </c>
      <c r="F11" s="9">
        <f t="shared" si="1"/>
        <v>-39.81147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216">
        <f>SUM(D13:D13)</f>
        <v>4.1540999999999997</v>
      </c>
      <c r="E12" s="5">
        <f t="shared" si="0"/>
        <v>13.846999999999998</v>
      </c>
      <c r="F12" s="5">
        <f t="shared" si="1"/>
        <v>-25.8459</v>
      </c>
    </row>
    <row r="13" spans="1:6" ht="15.75" customHeight="1">
      <c r="A13" s="7">
        <v>1050300000</v>
      </c>
      <c r="B13" s="11" t="s">
        <v>210</v>
      </c>
      <c r="C13" s="12">
        <v>30</v>
      </c>
      <c r="D13" s="476">
        <v>4.1540999999999997</v>
      </c>
      <c r="E13" s="9">
        <f t="shared" si="0"/>
        <v>13.846999999999998</v>
      </c>
      <c r="F13" s="9">
        <f t="shared" si="1"/>
        <v>-25.8459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1382</v>
      </c>
      <c r="D14" s="216">
        <f>D15+D16</f>
        <v>1932.8614000000002</v>
      </c>
      <c r="E14" s="5">
        <f t="shared" si="0"/>
        <v>139.85972503617947</v>
      </c>
      <c r="F14" s="5">
        <f t="shared" si="1"/>
        <v>550.86140000000023</v>
      </c>
    </row>
    <row r="15" spans="1:6" s="6" customFormat="1" ht="15.75" customHeight="1">
      <c r="A15" s="7">
        <v>1060100000</v>
      </c>
      <c r="B15" s="11" t="s">
        <v>8</v>
      </c>
      <c r="C15" s="9">
        <v>290</v>
      </c>
      <c r="D15" s="476">
        <v>396.67943000000002</v>
      </c>
      <c r="E15" s="9">
        <f t="shared" si="0"/>
        <v>136.78601034482762</v>
      </c>
      <c r="F15" s="9">
        <f>SUM(D15-C15)</f>
        <v>106.67943000000002</v>
      </c>
    </row>
    <row r="16" spans="1:6" ht="15.75" customHeight="1">
      <c r="A16" s="7">
        <v>1060600000</v>
      </c>
      <c r="B16" s="11" t="s">
        <v>7</v>
      </c>
      <c r="C16" s="9">
        <v>1092</v>
      </c>
      <c r="D16" s="476">
        <v>1536.1819700000001</v>
      </c>
      <c r="E16" s="9">
        <f t="shared" si="0"/>
        <v>140.67600457875457</v>
      </c>
      <c r="F16" s="9">
        <f t="shared" si="1"/>
        <v>444.18197000000009</v>
      </c>
    </row>
    <row r="17" spans="1:6" s="6" customFormat="1">
      <c r="A17" s="3">
        <v>1080000000</v>
      </c>
      <c r="B17" s="4" t="s">
        <v>10</v>
      </c>
      <c r="C17" s="5">
        <f>C18</f>
        <v>6</v>
      </c>
      <c r="D17" s="216">
        <f>D18</f>
        <v>7.78</v>
      </c>
      <c r="E17" s="5">
        <f t="shared" si="0"/>
        <v>129.66666666666666</v>
      </c>
      <c r="F17" s="5">
        <f t="shared" si="1"/>
        <v>1.7800000000000002</v>
      </c>
    </row>
    <row r="18" spans="1:6" ht="18" customHeight="1">
      <c r="A18" s="7">
        <v>1080400001</v>
      </c>
      <c r="B18" s="8" t="s">
        <v>208</v>
      </c>
      <c r="C18" s="9">
        <v>6</v>
      </c>
      <c r="D18" s="477">
        <v>7.78</v>
      </c>
      <c r="E18" s="9">
        <f t="shared" si="0"/>
        <v>129.66666666666666</v>
      </c>
      <c r="F18" s="9">
        <f t="shared" si="1"/>
        <v>1.7800000000000002</v>
      </c>
    </row>
    <row r="19" spans="1:6" ht="47.25" hidden="1" customHeight="1">
      <c r="A19" s="7">
        <v>1080714001</v>
      </c>
      <c r="B19" s="8" t="s">
        <v>11</v>
      </c>
      <c r="C19" s="9"/>
      <c r="D19" s="476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216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478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478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478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478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334.4</v>
      </c>
      <c r="D25" s="216">
        <f>D26+D29+D31+D36+D34</f>
        <v>393.50771999999995</v>
      </c>
      <c r="E25" s="5">
        <f t="shared" si="0"/>
        <v>117.67575358851674</v>
      </c>
      <c r="F25" s="5">
        <f t="shared" si="1"/>
        <v>59.107719999999972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284.39999999999998</v>
      </c>
      <c r="D26" s="216">
        <f>D27+D28</f>
        <v>308.84911999999997</v>
      </c>
      <c r="E26" s="5">
        <f t="shared" si="0"/>
        <v>108.59673699015471</v>
      </c>
      <c r="F26" s="5">
        <f t="shared" si="1"/>
        <v>24.449119999999994</v>
      </c>
    </row>
    <row r="27" spans="1:6" ht="15.75" customHeight="1">
      <c r="A27" s="16">
        <v>1110502510</v>
      </c>
      <c r="B27" s="17" t="s">
        <v>206</v>
      </c>
      <c r="C27" s="12">
        <v>230.4</v>
      </c>
      <c r="D27" s="479">
        <v>250.34912</v>
      </c>
      <c r="E27" s="9">
        <f t="shared" si="0"/>
        <v>108.65847222222223</v>
      </c>
      <c r="F27" s="9">
        <f t="shared" si="1"/>
        <v>19.949119999999994</v>
      </c>
    </row>
    <row r="28" spans="1:6" ht="17.25" customHeight="1">
      <c r="A28" s="7">
        <v>1110503510</v>
      </c>
      <c r="B28" s="11" t="s">
        <v>205</v>
      </c>
      <c r="C28" s="12">
        <v>54</v>
      </c>
      <c r="D28" s="476">
        <v>58.5</v>
      </c>
      <c r="E28" s="9">
        <f t="shared" si="0"/>
        <v>108.33333333333333</v>
      </c>
      <c r="F28" s="9">
        <f t="shared" si="1"/>
        <v>4.5</v>
      </c>
    </row>
    <row r="29" spans="1:6" s="15" customFormat="1" ht="15" customHeight="1">
      <c r="A29" s="68">
        <v>1130000000</v>
      </c>
      <c r="B29" s="69" t="s">
        <v>128</v>
      </c>
      <c r="C29" s="5">
        <f>C30</f>
        <v>50</v>
      </c>
      <c r="D29" s="216">
        <f>D30</f>
        <v>68.572720000000004</v>
      </c>
      <c r="E29" s="5">
        <f t="shared" si="0"/>
        <v>137.14544000000001</v>
      </c>
      <c r="F29" s="5">
        <f t="shared" si="1"/>
        <v>18.572720000000004</v>
      </c>
    </row>
    <row r="30" spans="1:6" ht="15.75" customHeight="1">
      <c r="A30" s="7">
        <v>1130206005</v>
      </c>
      <c r="B30" s="8" t="s">
        <v>204</v>
      </c>
      <c r="C30" s="9">
        <v>50</v>
      </c>
      <c r="D30" s="476">
        <v>68.572720000000004</v>
      </c>
      <c r="E30" s="9">
        <f t="shared" si="0"/>
        <v>137.14544000000001</v>
      </c>
      <c r="F30" s="9">
        <f t="shared" si="1"/>
        <v>18.572720000000004</v>
      </c>
    </row>
    <row r="31" spans="1:6" ht="19.5" customHeight="1">
      <c r="A31" s="70">
        <v>1140000000</v>
      </c>
      <c r="B31" s="71" t="s">
        <v>129</v>
      </c>
      <c r="C31" s="5">
        <f>C32+C33</f>
        <v>0</v>
      </c>
      <c r="D31" s="216">
        <f>D32+D33</f>
        <v>7.68</v>
      </c>
      <c r="E31" s="5" t="e">
        <f t="shared" si="0"/>
        <v>#DIV/0!</v>
      </c>
      <c r="F31" s="5">
        <f t="shared" si="1"/>
        <v>7.68</v>
      </c>
    </row>
    <row r="32" spans="1:6" ht="20.25" customHeight="1">
      <c r="A32" s="16">
        <v>1140200000</v>
      </c>
      <c r="B32" s="18" t="s">
        <v>130</v>
      </c>
      <c r="C32" s="9"/>
      <c r="D32" s="476">
        <v>7.68</v>
      </c>
      <c r="E32" s="9" t="e">
        <f t="shared" si="0"/>
        <v>#DIV/0!</v>
      </c>
      <c r="F32" s="9">
        <f t="shared" si="1"/>
        <v>7.68</v>
      </c>
    </row>
    <row r="33" spans="1:7" ht="21.75" customHeight="1">
      <c r="A33" s="7">
        <v>1140600000</v>
      </c>
      <c r="B33" s="8" t="s">
        <v>203</v>
      </c>
      <c r="C33" s="9">
        <v>0</v>
      </c>
      <c r="D33" s="476">
        <v>0</v>
      </c>
      <c r="E33" s="9" t="e">
        <f t="shared" si="0"/>
        <v>#DIV/0!</v>
      </c>
      <c r="F33" s="9">
        <f t="shared" si="1"/>
        <v>0</v>
      </c>
    </row>
    <row r="34" spans="1:7" ht="17.25" customHeight="1">
      <c r="A34" s="7">
        <v>1160000000</v>
      </c>
      <c r="B34" s="13" t="s">
        <v>307</v>
      </c>
      <c r="C34" s="9">
        <v>0</v>
      </c>
      <c r="D34" s="478">
        <f>SUM(D35)</f>
        <v>3.7558799999999999</v>
      </c>
      <c r="E34" s="9" t="e">
        <f>SUM(D34/C34*100)</f>
        <v>#DIV/0!</v>
      </c>
      <c r="F34" s="9">
        <f>SUM(D34-C34)</f>
        <v>3.7558799999999999</v>
      </c>
    </row>
    <row r="35" spans="1:7" ht="38.25" customHeight="1">
      <c r="A35" s="7">
        <v>11607010000</v>
      </c>
      <c r="B35" s="8" t="s">
        <v>397</v>
      </c>
      <c r="C35" s="9">
        <v>0</v>
      </c>
      <c r="D35" s="476">
        <v>3.7558799999999999</v>
      </c>
      <c r="E35" s="9" t="e">
        <f>SUM(D35/C35*100)</f>
        <v>#DIV/0!</v>
      </c>
      <c r="F35" s="9">
        <f>SUM(D35-C35)</f>
        <v>3.7558799999999999</v>
      </c>
    </row>
    <row r="36" spans="1:7" ht="19.5" customHeight="1">
      <c r="A36" s="3">
        <v>1170000000</v>
      </c>
      <c r="B36" s="13" t="s">
        <v>132</v>
      </c>
      <c r="C36" s="5">
        <f>C37+C38</f>
        <v>0</v>
      </c>
      <c r="D36" s="216">
        <f>D37+D38</f>
        <v>4.6500000000000004</v>
      </c>
      <c r="E36" s="5" t="e">
        <f t="shared" si="0"/>
        <v>#DIV/0!</v>
      </c>
      <c r="F36" s="5">
        <f t="shared" si="1"/>
        <v>4.6500000000000004</v>
      </c>
    </row>
    <row r="37" spans="1:7" ht="15.75" customHeight="1">
      <c r="A37" s="7">
        <v>1170105005</v>
      </c>
      <c r="B37" s="8" t="s">
        <v>15</v>
      </c>
      <c r="C37" s="9">
        <v>0</v>
      </c>
      <c r="D37" s="477">
        <v>4.6500000000000004</v>
      </c>
      <c r="E37" s="9" t="e">
        <f t="shared" si="0"/>
        <v>#DIV/0!</v>
      </c>
      <c r="F37" s="9">
        <f t="shared" si="1"/>
        <v>4.6500000000000004</v>
      </c>
    </row>
    <row r="38" spans="1:7" ht="18.75" customHeight="1">
      <c r="A38" s="7">
        <v>1170505005</v>
      </c>
      <c r="B38" s="11" t="s">
        <v>201</v>
      </c>
      <c r="C38" s="9">
        <v>0</v>
      </c>
      <c r="D38" s="476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16</v>
      </c>
      <c r="C39" s="123">
        <f>SUM(C4,C25)</f>
        <v>2432.94</v>
      </c>
      <c r="D39" s="480">
        <f>SUM(D4,D25)</f>
        <v>3053.9468600000005</v>
      </c>
      <c r="E39" s="5">
        <f t="shared" si="0"/>
        <v>125.52495581477557</v>
      </c>
      <c r="F39" s="5">
        <f t="shared" si="1"/>
        <v>621.00686000000042</v>
      </c>
    </row>
    <row r="40" spans="1:7" s="6" customFormat="1">
      <c r="A40" s="3">
        <v>2000000000</v>
      </c>
      <c r="B40" s="4" t="s">
        <v>17</v>
      </c>
      <c r="C40" s="216">
        <f>C41+C43+C45+C46+C48+C49+C47+C42+C44</f>
        <v>18547.4467</v>
      </c>
      <c r="D40" s="216">
        <f>D41+D43+D45+D46+D48+D49+D42+D47</f>
        <v>10617.10619</v>
      </c>
      <c r="E40" s="5">
        <f t="shared" si="0"/>
        <v>57.242952961282811</v>
      </c>
      <c r="F40" s="5">
        <f t="shared" si="1"/>
        <v>-7930.34051</v>
      </c>
      <c r="G40" s="19"/>
    </row>
    <row r="41" spans="1:7">
      <c r="A41" s="16">
        <v>2021000000</v>
      </c>
      <c r="B41" s="17" t="s">
        <v>18</v>
      </c>
      <c r="C41" s="95">
        <v>1597</v>
      </c>
      <c r="D41" s="20">
        <v>1597</v>
      </c>
      <c r="E41" s="9">
        <f t="shared" si="0"/>
        <v>100</v>
      </c>
      <c r="F41" s="9">
        <f t="shared" si="1"/>
        <v>0</v>
      </c>
    </row>
    <row r="42" spans="1:7" ht="17.25" customHeight="1">
      <c r="A42" s="16">
        <v>2021500200</v>
      </c>
      <c r="B42" s="17" t="s">
        <v>212</v>
      </c>
      <c r="C42" s="12">
        <v>1011.6</v>
      </c>
      <c r="D42" s="20">
        <v>1011.6</v>
      </c>
      <c r="E42" s="9">
        <f>SUM(D42/C42*100)</f>
        <v>100</v>
      </c>
      <c r="F42" s="9">
        <f>SUM(D42-C42)</f>
        <v>0</v>
      </c>
    </row>
    <row r="43" spans="1:7" ht="19.5" customHeight="1">
      <c r="A43" s="16">
        <v>2022000000</v>
      </c>
      <c r="B43" s="17" t="s">
        <v>19</v>
      </c>
      <c r="C43" s="12">
        <v>12912.771210000001</v>
      </c>
      <c r="D43" s="10">
        <v>5221.2978000000003</v>
      </c>
      <c r="E43" s="9">
        <f t="shared" si="0"/>
        <v>40.435145292100316</v>
      </c>
      <c r="F43" s="9">
        <f t="shared" si="1"/>
        <v>-7691.4734100000005</v>
      </c>
    </row>
    <row r="44" spans="1:7" hidden="1">
      <c r="A44" s="16">
        <v>2022999910</v>
      </c>
      <c r="B44" s="18" t="s">
        <v>312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20</v>
      </c>
      <c r="C45" s="12">
        <v>198.36600000000001</v>
      </c>
      <c r="D45" s="175">
        <v>198.36600000000001</v>
      </c>
      <c r="E45" s="9">
        <f t="shared" si="0"/>
        <v>100</v>
      </c>
      <c r="F45" s="9">
        <f t="shared" si="1"/>
        <v>0</v>
      </c>
    </row>
    <row r="46" spans="1:7" ht="19.5" customHeight="1">
      <c r="A46" s="16">
        <v>2020400000</v>
      </c>
      <c r="B46" s="17" t="s">
        <v>21</v>
      </c>
      <c r="C46" s="12">
        <v>2474.0160000000001</v>
      </c>
      <c r="D46" s="176">
        <v>2235.1489000000001</v>
      </c>
      <c r="E46" s="9">
        <f t="shared" si="0"/>
        <v>90.344965432721537</v>
      </c>
      <c r="F46" s="9">
        <f t="shared" si="1"/>
        <v>-238.86709999999994</v>
      </c>
    </row>
    <row r="47" spans="1:7" ht="20.25" customHeight="1">
      <c r="A47" s="7">
        <v>2070500010</v>
      </c>
      <c r="B47" s="18" t="s">
        <v>267</v>
      </c>
      <c r="C47" s="12">
        <v>353.69349</v>
      </c>
      <c r="D47" s="176">
        <v>353.69349</v>
      </c>
      <c r="E47" s="9">
        <f t="shared" si="0"/>
        <v>100</v>
      </c>
      <c r="F47" s="9">
        <f t="shared" si="1"/>
        <v>0</v>
      </c>
    </row>
    <row r="48" spans="1:7" ht="19.5" hidden="1" customHeight="1">
      <c r="A48" s="16">
        <v>2020900000</v>
      </c>
      <c r="B48" s="18" t="s">
        <v>22</v>
      </c>
      <c r="C48" s="12"/>
      <c r="D48" s="176"/>
      <c r="E48" s="9" t="e">
        <f t="shared" si="0"/>
        <v>#DIV/0!</v>
      </c>
      <c r="F48" s="9">
        <f t="shared" si="1"/>
        <v>0</v>
      </c>
    </row>
    <row r="49" spans="1:7" ht="0.75" hidden="1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7" s="6" customFormat="1" ht="3" hidden="1" customHeight="1">
      <c r="A50" s="3">
        <v>3000000000</v>
      </c>
      <c r="B50" s="13" t="s">
        <v>24</v>
      </c>
      <c r="C50" s="118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25</v>
      </c>
      <c r="C51" s="216">
        <f>C39+C40</f>
        <v>20980.386699999999</v>
      </c>
      <c r="D51" s="473">
        <f>D39+D40</f>
        <v>13671.05305</v>
      </c>
      <c r="E51" s="5">
        <f t="shared" si="0"/>
        <v>65.161110924614178</v>
      </c>
      <c r="F51" s="5">
        <f t="shared" si="1"/>
        <v>-7309.3336499999987</v>
      </c>
      <c r="G51" s="188"/>
    </row>
    <row r="52" spans="1:7" s="6" customFormat="1">
      <c r="A52" s="3"/>
      <c r="B52" s="21" t="s">
        <v>290</v>
      </c>
      <c r="C52" s="5">
        <f>C51-C99</f>
        <v>-202.74661999999444</v>
      </c>
      <c r="D52" s="5">
        <f>D51-D99</f>
        <v>688.32839999999851</v>
      </c>
      <c r="E52" s="22"/>
      <c r="F52" s="22"/>
    </row>
    <row r="53" spans="1:7" ht="23.25" customHeight="1">
      <c r="A53" s="23"/>
      <c r="B53" s="24"/>
      <c r="C53" s="166"/>
      <c r="D53" s="166"/>
      <c r="E53" s="128"/>
      <c r="F53" s="89"/>
    </row>
    <row r="54" spans="1:7" ht="65.25" customHeight="1">
      <c r="A54" s="28" t="s">
        <v>0</v>
      </c>
      <c r="B54" s="28" t="s">
        <v>26</v>
      </c>
      <c r="C54" s="72" t="s">
        <v>382</v>
      </c>
      <c r="D54" s="99" t="s">
        <v>403</v>
      </c>
      <c r="E54" s="72" t="s">
        <v>2</v>
      </c>
      <c r="F54" s="74" t="s">
        <v>3</v>
      </c>
    </row>
    <row r="55" spans="1:7" ht="19.5" customHeight="1">
      <c r="A55" s="29">
        <v>1</v>
      </c>
      <c r="B55" s="28">
        <v>2</v>
      </c>
      <c r="C55" s="85">
        <v>3</v>
      </c>
      <c r="D55" s="85">
        <v>4</v>
      </c>
      <c r="E55" s="85">
        <v>5</v>
      </c>
      <c r="F55" s="85">
        <v>6</v>
      </c>
    </row>
    <row r="56" spans="1:7" s="6" customFormat="1">
      <c r="A56" s="30" t="s">
        <v>27</v>
      </c>
      <c r="B56" s="31" t="s">
        <v>28</v>
      </c>
      <c r="C56" s="32">
        <f>C57+C58+C59+C60+C61+C63+C62</f>
        <v>2395.8979999999997</v>
      </c>
      <c r="D56" s="33">
        <f>D57+D58+D59+D60+D61+D63+D62</f>
        <v>2132.1031800000001</v>
      </c>
      <c r="E56" s="34">
        <f>SUM(D56/C56*100)</f>
        <v>88.989730781527442</v>
      </c>
      <c r="F56" s="34">
        <f>SUM(D56-C56)</f>
        <v>-263.79481999999962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8" customHeight="1">
      <c r="A58" s="35" t="s">
        <v>31</v>
      </c>
      <c r="B58" s="39" t="s">
        <v>32</v>
      </c>
      <c r="C58" s="37">
        <v>2319.9029999999998</v>
      </c>
      <c r="D58" s="37">
        <v>2064.1031800000001</v>
      </c>
      <c r="E58" s="38">
        <f t="shared" ref="E58:E99" si="3">SUM(D58/C58*100)</f>
        <v>88.973684675609292</v>
      </c>
      <c r="F58" s="38">
        <f t="shared" ref="F58:F99" si="4">SUM(D58-C58)</f>
        <v>-255.79981999999973</v>
      </c>
    </row>
    <row r="59" spans="1:7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7.25" customHeight="1">
      <c r="A61" s="35" t="s">
        <v>37</v>
      </c>
      <c r="B61" s="39" t="s">
        <v>38</v>
      </c>
      <c r="C61" s="37">
        <v>42</v>
      </c>
      <c r="D61" s="37">
        <v>42</v>
      </c>
      <c r="E61" s="38">
        <f t="shared" si="3"/>
        <v>100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" customHeight="1">
      <c r="A63" s="35" t="s">
        <v>41</v>
      </c>
      <c r="B63" s="39" t="s">
        <v>42</v>
      </c>
      <c r="C63" s="37">
        <v>28.995000000000001</v>
      </c>
      <c r="D63" s="37">
        <v>26</v>
      </c>
      <c r="E63" s="38">
        <f t="shared" si="3"/>
        <v>89.670632867735804</v>
      </c>
      <c r="F63" s="38">
        <f t="shared" si="4"/>
        <v>-2.995000000000001</v>
      </c>
    </row>
    <row r="64" spans="1:7" s="6" customFormat="1">
      <c r="A64" s="41" t="s">
        <v>43</v>
      </c>
      <c r="B64" s="42" t="s">
        <v>44</v>
      </c>
      <c r="C64" s="32">
        <f>C65</f>
        <v>198.36600000000001</v>
      </c>
      <c r="D64" s="32">
        <f>D65</f>
        <v>198.36600000000001</v>
      </c>
      <c r="E64" s="34">
        <f t="shared" si="3"/>
        <v>100</v>
      </c>
      <c r="F64" s="34">
        <f t="shared" si="4"/>
        <v>0</v>
      </c>
    </row>
    <row r="65" spans="1:7">
      <c r="A65" s="43" t="s">
        <v>45</v>
      </c>
      <c r="B65" s="44" t="s">
        <v>46</v>
      </c>
      <c r="C65" s="37">
        <v>198.36600000000001</v>
      </c>
      <c r="D65" s="37">
        <v>198.36600000000001</v>
      </c>
      <c r="E65" s="38">
        <f t="shared" si="3"/>
        <v>100</v>
      </c>
      <c r="F65" s="38">
        <f t="shared" si="4"/>
        <v>0</v>
      </c>
    </row>
    <row r="66" spans="1:7" s="6" customFormat="1" ht="18.75" customHeight="1">
      <c r="A66" s="30" t="s">
        <v>47</v>
      </c>
      <c r="B66" s="31" t="s">
        <v>48</v>
      </c>
      <c r="C66" s="32">
        <f>C70+C69+C68+C67+C71</f>
        <v>10.870000000000001</v>
      </c>
      <c r="D66" s="32">
        <f>SUM(D69+D70+D71)</f>
        <v>10.8696</v>
      </c>
      <c r="E66" s="34">
        <f t="shared" si="3"/>
        <v>99.996320147194112</v>
      </c>
      <c r="F66" s="34">
        <f t="shared" si="4"/>
        <v>-4.0000000000084412E-4</v>
      </c>
    </row>
    <row r="67" spans="1:7" hidden="1">
      <c r="A67" s="35" t="s">
        <v>49</v>
      </c>
      <c r="B67" s="39" t="s">
        <v>50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53</v>
      </c>
      <c r="B69" s="47" t="s">
        <v>54</v>
      </c>
      <c r="C69" s="37">
        <v>2.87</v>
      </c>
      <c r="D69" s="37">
        <v>2.8696000000000002</v>
      </c>
      <c r="E69" s="38">
        <f t="shared" si="3"/>
        <v>99.986062717770039</v>
      </c>
      <c r="F69" s="38">
        <f t="shared" si="4"/>
        <v>-3.9999999999995595E-4</v>
      </c>
    </row>
    <row r="70" spans="1:7" ht="15.75" customHeight="1">
      <c r="A70" s="46" t="s">
        <v>199</v>
      </c>
      <c r="B70" s="47" t="s">
        <v>200</v>
      </c>
      <c r="C70" s="37">
        <v>6</v>
      </c>
      <c r="D70" s="37">
        <v>6</v>
      </c>
      <c r="E70" s="38">
        <f>SUM(D70/C70*100)</f>
        <v>100</v>
      </c>
      <c r="F70" s="38">
        <f>SUM(D70-C70)</f>
        <v>0</v>
      </c>
    </row>
    <row r="71" spans="1:7" ht="15.75" customHeight="1">
      <c r="A71" s="46" t="s">
        <v>320</v>
      </c>
      <c r="B71" s="47" t="s">
        <v>375</v>
      </c>
      <c r="C71" s="37">
        <v>2</v>
      </c>
      <c r="D71" s="37">
        <v>2</v>
      </c>
      <c r="E71" s="38"/>
      <c r="F71" s="38"/>
    </row>
    <row r="72" spans="1:7" s="6" customFormat="1">
      <c r="A72" s="30" t="s">
        <v>55</v>
      </c>
      <c r="B72" s="31" t="s">
        <v>56</v>
      </c>
      <c r="C72" s="48">
        <f>SUM(C73:C76)</f>
        <v>2672.2930299999998</v>
      </c>
      <c r="D72" s="48">
        <f>SUM(D73:D76)</f>
        <v>2558.52468</v>
      </c>
      <c r="E72" s="34">
        <f t="shared" si="3"/>
        <v>95.742669358382457</v>
      </c>
      <c r="F72" s="34">
        <f t="shared" si="4"/>
        <v>-113.76834999999983</v>
      </c>
    </row>
    <row r="73" spans="1:7" ht="17.25" customHeight="1">
      <c r="A73" s="35" t="s">
        <v>57</v>
      </c>
      <c r="B73" s="39" t="s">
        <v>58</v>
      </c>
      <c r="C73" s="49"/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7.25" hidden="1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2492.6260299999999</v>
      </c>
      <c r="D75" s="37">
        <v>2378.8576800000001</v>
      </c>
      <c r="E75" s="38">
        <f t="shared" si="3"/>
        <v>95.435803500776245</v>
      </c>
      <c r="F75" s="38">
        <f t="shared" si="4"/>
        <v>-113.76834999999983</v>
      </c>
    </row>
    <row r="76" spans="1:7">
      <c r="A76" s="35" t="s">
        <v>63</v>
      </c>
      <c r="B76" s="39" t="s">
        <v>64</v>
      </c>
      <c r="C76" s="49">
        <v>179.667</v>
      </c>
      <c r="D76" s="37">
        <v>179.667</v>
      </c>
      <c r="E76" s="38">
        <f t="shared" si="3"/>
        <v>100</v>
      </c>
      <c r="F76" s="38">
        <f t="shared" si="4"/>
        <v>0</v>
      </c>
    </row>
    <row r="77" spans="1:7" s="6" customFormat="1" ht="18" customHeight="1">
      <c r="A77" s="30" t="s">
        <v>65</v>
      </c>
      <c r="B77" s="31" t="s">
        <v>66</v>
      </c>
      <c r="C77" s="32">
        <f>SUM(C78:C81)</f>
        <v>12880.791299999999</v>
      </c>
      <c r="D77" s="32">
        <f>SUM(D78:D81)</f>
        <v>5057.9464800000005</v>
      </c>
      <c r="E77" s="34">
        <f t="shared" si="3"/>
        <v>39.267358364854502</v>
      </c>
      <c r="F77" s="34">
        <f t="shared" si="4"/>
        <v>-7822.8448199999984</v>
      </c>
    </row>
    <row r="78" spans="1:7" hidden="1">
      <c r="A78" s="35" t="s">
        <v>67</v>
      </c>
      <c r="B78" s="51" t="s">
        <v>68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5.75" customHeight="1">
      <c r="A79" s="35" t="s">
        <v>69</v>
      </c>
      <c r="B79" s="51" t="s">
        <v>70</v>
      </c>
      <c r="C79" s="37">
        <v>2986.2953000000002</v>
      </c>
      <c r="D79" s="37">
        <v>2926.8290000000002</v>
      </c>
      <c r="E79" s="38">
        <f t="shared" si="3"/>
        <v>98.008693246109985</v>
      </c>
      <c r="F79" s="38">
        <f t="shared" si="4"/>
        <v>-59.466300000000047</v>
      </c>
    </row>
    <row r="80" spans="1:7" ht="16.5" customHeight="1">
      <c r="A80" s="35" t="s">
        <v>71</v>
      </c>
      <c r="B80" s="39" t="s">
        <v>72</v>
      </c>
      <c r="C80" s="37">
        <v>9894.4959999999992</v>
      </c>
      <c r="D80" s="37">
        <v>2131.1174799999999</v>
      </c>
      <c r="E80" s="38">
        <f t="shared" si="3"/>
        <v>21.538413679686162</v>
      </c>
      <c r="F80" s="38">
        <f t="shared" si="4"/>
        <v>-7763.3785199999993</v>
      </c>
    </row>
    <row r="81" spans="1:6" ht="31.5" hidden="1">
      <c r="A81" s="35" t="s">
        <v>236</v>
      </c>
      <c r="B81" s="39" t="s">
        <v>247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s="6" customFormat="1">
      <c r="A82" s="30" t="s">
        <v>83</v>
      </c>
      <c r="B82" s="31" t="s">
        <v>84</v>
      </c>
      <c r="C82" s="32">
        <f>C83</f>
        <v>3021.88499</v>
      </c>
      <c r="D82" s="32">
        <f>SUM(D83)</f>
        <v>3021.8847099999998</v>
      </c>
      <c r="E82" s="34">
        <f t="shared" si="3"/>
        <v>99.999990734260209</v>
      </c>
      <c r="F82" s="34">
        <f t="shared" si="4"/>
        <v>-2.8000000020256266E-4</v>
      </c>
    </row>
    <row r="83" spans="1:6" ht="16.5" customHeight="1">
      <c r="A83" s="35" t="s">
        <v>85</v>
      </c>
      <c r="B83" s="39" t="s">
        <v>214</v>
      </c>
      <c r="C83" s="37">
        <v>3021.88499</v>
      </c>
      <c r="D83" s="37">
        <v>3021.8847099999998</v>
      </c>
      <c r="E83" s="38">
        <f t="shared" si="3"/>
        <v>99.999990734260209</v>
      </c>
      <c r="F83" s="38">
        <f t="shared" si="4"/>
        <v>-2.8000000020256266E-4</v>
      </c>
    </row>
    <row r="84" spans="1:6" s="6" customFormat="1" ht="18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87</v>
      </c>
      <c r="C85" s="37"/>
      <c r="D85" s="32">
        <v>0</v>
      </c>
      <c r="E85" s="38" t="e">
        <f t="shared" si="3"/>
        <v>#DIV/0!</v>
      </c>
      <c r="F85" s="38">
        <f t="shared" si="4"/>
        <v>0</v>
      </c>
    </row>
    <row r="86" spans="1:6" ht="18.75" hidden="1" customHeight="1">
      <c r="A86" s="53">
        <v>1003</v>
      </c>
      <c r="B86" s="54" t="s">
        <v>88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9.5" hidden="1" customHeight="1">
      <c r="A87" s="53">
        <v>1004</v>
      </c>
      <c r="B87" s="54" t="s">
        <v>89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8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92</v>
      </c>
      <c r="B89" s="31" t="s">
        <v>93</v>
      </c>
      <c r="C89" s="32">
        <f>C90+C91+C92+C93+C94</f>
        <v>3.03</v>
      </c>
      <c r="D89" s="32">
        <f>D90+D91+D92+D93+D94</f>
        <v>3.03</v>
      </c>
      <c r="E89" s="38">
        <f t="shared" si="3"/>
        <v>100</v>
      </c>
      <c r="F89" s="22">
        <f>F90+F91+F92+F93+F94</f>
        <v>0</v>
      </c>
    </row>
    <row r="90" spans="1:6" ht="19.5" customHeight="1">
      <c r="A90" s="35" t="s">
        <v>94</v>
      </c>
      <c r="B90" s="39" t="s">
        <v>95</v>
      </c>
      <c r="C90" s="37">
        <v>3.03</v>
      </c>
      <c r="D90" s="37">
        <v>3.03</v>
      </c>
      <c r="E90" s="38">
        <f t="shared" si="3"/>
        <v>100</v>
      </c>
      <c r="F90" s="38">
        <f>SUM(D90-C90)</f>
        <v>0</v>
      </c>
    </row>
    <row r="91" spans="1:6" ht="1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3.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0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57.75" hidden="1" customHeight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6" s="6" customFormat="1" ht="16.5" customHeight="1">
      <c r="A99" s="52"/>
      <c r="B99" s="57" t="s">
        <v>116</v>
      </c>
      <c r="C99" s="452">
        <f>C56+C64+C66+C72+C77+C82+C84+C89+C95</f>
        <v>21183.133319999994</v>
      </c>
      <c r="D99" s="452">
        <f>D56+D64+D66+D72+D77+D82+D84+D89+D95</f>
        <v>12982.724650000002</v>
      </c>
      <c r="E99" s="34">
        <f t="shared" si="3"/>
        <v>61.288027856305845</v>
      </c>
      <c r="F99" s="34">
        <f t="shared" si="4"/>
        <v>-8200.4086699999916</v>
      </c>
    </row>
    <row r="100" spans="1:6" ht="20.25" customHeight="1">
      <c r="C100" s="217"/>
      <c r="D100" s="218"/>
    </row>
    <row r="101" spans="1:6" s="65" customFormat="1" ht="13.5" customHeight="1">
      <c r="A101" s="63" t="s">
        <v>117</v>
      </c>
      <c r="B101" s="63"/>
      <c r="C101" s="64"/>
      <c r="D101" s="64"/>
    </row>
    <row r="102" spans="1:6" s="65" customFormat="1" ht="12.75">
      <c r="A102" s="66" t="s">
        <v>118</v>
      </c>
      <c r="B102" s="66"/>
      <c r="C102" s="130" t="s">
        <v>119</v>
      </c>
      <c r="D102" s="130"/>
    </row>
    <row r="103" spans="1:6" ht="5.25" customHeight="1"/>
    <row r="142" hidden="1"/>
  </sheetData>
  <customSheetViews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1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3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4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5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6"/>
    </customSheetView>
    <customSheetView guid="{B30CE22D-C12F-4E12-8BB9-3AAE0A6991CC}" scale="70" showPageBreaks="1" hiddenRows="1" view="pageBreakPreview" topLeftCell="A40">
      <selection activeCell="C52" activeCellId="1" sqref="C99:D99 C52:D52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1718F1EE-9F48-4DBE-9531-3B70F9C4A5DD}" scale="70" showPageBreaks="1" hiddenRows="1" view="pageBreakPreview" topLeftCell="A42">
      <selection activeCell="C90" sqref="C90"/>
      <pageMargins left="0.7" right="0.7" top="0.75" bottom="0.75" header="0.3" footer="0.3"/>
      <pageSetup paperSize="9" scale="40" orientation="portrait" r:id="rId8"/>
    </customSheetView>
    <customSheetView guid="{61528DAC-5C4C-48F4-ADE2-8A724B05A086}" scale="70" showPageBreaks="1" hiddenRows="1" view="pageBreakPreview">
      <selection activeCell="A2" sqref="A2:F2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43"/>
  <sheetViews>
    <sheetView view="pageBreakPreview" topLeftCell="A31" zoomScale="70" zoomScaleSheetLayoutView="70" workbookViewId="0">
      <selection activeCell="D81" sqref="D81"/>
    </sheetView>
  </sheetViews>
  <sheetFormatPr defaultRowHeight="15.75"/>
  <cols>
    <col min="1" max="1" width="17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43" t="s">
        <v>421</v>
      </c>
      <c r="B1" s="543"/>
      <c r="C1" s="543"/>
      <c r="D1" s="543"/>
      <c r="E1" s="543"/>
      <c r="F1" s="543"/>
    </row>
    <row r="2" spans="1:6">
      <c r="A2" s="543"/>
      <c r="B2" s="543"/>
      <c r="C2" s="543"/>
      <c r="D2" s="543"/>
      <c r="E2" s="543"/>
      <c r="F2" s="543"/>
    </row>
    <row r="3" spans="1:6" ht="63">
      <c r="A3" s="2" t="s">
        <v>0</v>
      </c>
      <c r="B3" s="2" t="s">
        <v>1</v>
      </c>
      <c r="C3" s="72" t="s">
        <v>382</v>
      </c>
      <c r="D3" s="168" t="s">
        <v>403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2226.54</v>
      </c>
      <c r="D4" s="5">
        <f>D5+D12+D14+D17+D7+D20</f>
        <v>2003.7689499999999</v>
      </c>
      <c r="E4" s="5">
        <f>SUM(D4/C4*100)</f>
        <v>89.994742964420126</v>
      </c>
      <c r="F4" s="5">
        <f>SUM(D4-C4)</f>
        <v>-222.77105000000006</v>
      </c>
    </row>
    <row r="5" spans="1:6" s="6" customFormat="1">
      <c r="A5" s="68">
        <v>1010000000</v>
      </c>
      <c r="B5" s="67" t="s">
        <v>5</v>
      </c>
      <c r="C5" s="5">
        <f>C6</f>
        <v>137.6</v>
      </c>
      <c r="D5" s="5">
        <f>D6</f>
        <v>143.65744000000001</v>
      </c>
      <c r="E5" s="5">
        <f t="shared" ref="E5:E51" si="0">SUM(D5/C5*100)</f>
        <v>104.4022093023256</v>
      </c>
      <c r="F5" s="5">
        <f t="shared" ref="F5:F48" si="1">SUM(D5-C5)</f>
        <v>6.0574400000000139</v>
      </c>
    </row>
    <row r="6" spans="1:6">
      <c r="A6" s="7">
        <v>1010200001</v>
      </c>
      <c r="B6" s="8" t="s">
        <v>209</v>
      </c>
      <c r="C6" s="9">
        <v>137.6</v>
      </c>
      <c r="D6" s="10">
        <v>143.65744000000001</v>
      </c>
      <c r="E6" s="9">
        <f t="shared" ref="E6:E11" si="2">SUM(D6/C6*100)</f>
        <v>104.4022093023256</v>
      </c>
      <c r="F6" s="9">
        <f t="shared" si="1"/>
        <v>6.0574400000000139</v>
      </c>
    </row>
    <row r="7" spans="1:6" ht="31.5">
      <c r="A7" s="3">
        <v>1030000000</v>
      </c>
      <c r="B7" s="13" t="s">
        <v>250</v>
      </c>
      <c r="C7" s="5">
        <f>C8+C10+C9</f>
        <v>609.94000000000005</v>
      </c>
      <c r="D7" s="5">
        <f>D8+D10+D9+D11</f>
        <v>579.21431000000007</v>
      </c>
      <c r="E7" s="9">
        <f t="shared" si="2"/>
        <v>94.962506148145721</v>
      </c>
      <c r="F7" s="9">
        <f t="shared" si="1"/>
        <v>-30.725689999999986</v>
      </c>
    </row>
    <row r="8" spans="1:6">
      <c r="A8" s="7">
        <v>1030223001</v>
      </c>
      <c r="B8" s="8" t="s">
        <v>252</v>
      </c>
      <c r="C8" s="9">
        <v>227.51</v>
      </c>
      <c r="D8" s="10">
        <v>267.15550000000002</v>
      </c>
      <c r="E8" s="9">
        <f t="shared" si="2"/>
        <v>117.42582743615667</v>
      </c>
      <c r="F8" s="9">
        <f t="shared" si="1"/>
        <v>39.645500000000027</v>
      </c>
    </row>
    <row r="9" spans="1:6">
      <c r="A9" s="7">
        <v>1030224001</v>
      </c>
      <c r="B9" s="8" t="s">
        <v>258</v>
      </c>
      <c r="C9" s="9">
        <v>2.44</v>
      </c>
      <c r="D9" s="10">
        <v>1.91089</v>
      </c>
      <c r="E9" s="9">
        <f t="shared" si="2"/>
        <v>78.315163934426238</v>
      </c>
      <c r="F9" s="9">
        <f t="shared" si="1"/>
        <v>-0.52910999999999997</v>
      </c>
    </row>
    <row r="10" spans="1:6">
      <c r="A10" s="7">
        <v>1030225001</v>
      </c>
      <c r="B10" s="8" t="s">
        <v>251</v>
      </c>
      <c r="C10" s="9">
        <v>379.99</v>
      </c>
      <c r="D10" s="10">
        <v>359.39922000000001</v>
      </c>
      <c r="E10" s="9">
        <f t="shared" si="2"/>
        <v>94.581231085028548</v>
      </c>
      <c r="F10" s="9">
        <f t="shared" si="1"/>
        <v>-20.590779999999995</v>
      </c>
    </row>
    <row r="11" spans="1:6">
      <c r="A11" s="7">
        <v>1030226001</v>
      </c>
      <c r="B11" s="8" t="s">
        <v>260</v>
      </c>
      <c r="C11" s="9">
        <v>0</v>
      </c>
      <c r="D11" s="10">
        <v>-49.251300000000001</v>
      </c>
      <c r="E11" s="9" t="e">
        <f t="shared" si="2"/>
        <v>#DIV/0!</v>
      </c>
      <c r="F11" s="9">
        <f t="shared" si="1"/>
        <v>-49.251300000000001</v>
      </c>
    </row>
    <row r="12" spans="1:6" s="6" customFormat="1">
      <c r="A12" s="68">
        <v>1050000000</v>
      </c>
      <c r="B12" s="67" t="s">
        <v>6</v>
      </c>
      <c r="C12" s="5">
        <f>SUM(C13:C13)</f>
        <v>50</v>
      </c>
      <c r="D12" s="5">
        <f>D13</f>
        <v>95.045310000000001</v>
      </c>
      <c r="E12" s="5">
        <f t="shared" si="0"/>
        <v>190.09062</v>
      </c>
      <c r="F12" s="5">
        <f t="shared" si="1"/>
        <v>45.045310000000001</v>
      </c>
    </row>
    <row r="13" spans="1:6" ht="15.75" customHeight="1">
      <c r="A13" s="7">
        <v>1050300000</v>
      </c>
      <c r="B13" s="11" t="s">
        <v>210</v>
      </c>
      <c r="C13" s="12">
        <v>50</v>
      </c>
      <c r="D13" s="10">
        <v>95.045310000000001</v>
      </c>
      <c r="E13" s="9">
        <f t="shared" si="0"/>
        <v>190.09062</v>
      </c>
      <c r="F13" s="9">
        <f t="shared" si="1"/>
        <v>45.045310000000001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1425</v>
      </c>
      <c r="D14" s="5">
        <f>D15+D16</f>
        <v>1181.05189</v>
      </c>
      <c r="E14" s="5">
        <f t="shared" si="0"/>
        <v>82.880834385964903</v>
      </c>
      <c r="F14" s="5">
        <f t="shared" si="1"/>
        <v>-243.94811000000004</v>
      </c>
    </row>
    <row r="15" spans="1:6" s="6" customFormat="1" ht="15.75" customHeight="1">
      <c r="A15" s="7">
        <v>1060100000</v>
      </c>
      <c r="B15" s="11" t="s">
        <v>8</v>
      </c>
      <c r="C15" s="9">
        <v>150</v>
      </c>
      <c r="D15" s="10">
        <v>180.79871</v>
      </c>
      <c r="E15" s="9">
        <f t="shared" si="0"/>
        <v>120.53247333333333</v>
      </c>
      <c r="F15" s="9">
        <f>SUM(D15-C15)</f>
        <v>30.79871</v>
      </c>
    </row>
    <row r="16" spans="1:6" ht="15.75" customHeight="1">
      <c r="A16" s="7">
        <v>1060600000</v>
      </c>
      <c r="B16" s="11" t="s">
        <v>7</v>
      </c>
      <c r="C16" s="9">
        <v>1275</v>
      </c>
      <c r="D16" s="10">
        <v>1000.25318</v>
      </c>
      <c r="E16" s="9">
        <f t="shared" si="0"/>
        <v>78.451229803921578</v>
      </c>
      <c r="F16" s="9">
        <f t="shared" si="1"/>
        <v>-274.74681999999996</v>
      </c>
    </row>
    <row r="17" spans="1:6" s="6" customFormat="1">
      <c r="A17" s="3">
        <v>1080000000</v>
      </c>
      <c r="B17" s="4" t="s">
        <v>10</v>
      </c>
      <c r="C17" s="5">
        <f>C18+C19</f>
        <v>4</v>
      </c>
      <c r="D17" s="5">
        <f>D18+D19</f>
        <v>4.8</v>
      </c>
      <c r="E17" s="5">
        <f t="shared" si="0"/>
        <v>120</v>
      </c>
      <c r="F17" s="5">
        <f t="shared" si="1"/>
        <v>0.79999999999999982</v>
      </c>
    </row>
    <row r="18" spans="1:6" ht="18" customHeight="1">
      <c r="A18" s="7">
        <v>1080400001</v>
      </c>
      <c r="B18" s="8" t="s">
        <v>208</v>
      </c>
      <c r="C18" s="9">
        <v>4</v>
      </c>
      <c r="D18" s="10">
        <v>4.8</v>
      </c>
      <c r="E18" s="9">
        <f t="shared" si="0"/>
        <v>120</v>
      </c>
      <c r="F18" s="9">
        <f t="shared" si="1"/>
        <v>0.79999999999999982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125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452.15299999999996</v>
      </c>
      <c r="D25" s="5">
        <f>D26+D29+D31+D36+D34</f>
        <v>318.13839000000002</v>
      </c>
      <c r="E25" s="5">
        <f t="shared" si="0"/>
        <v>70.360782743894219</v>
      </c>
      <c r="F25" s="5">
        <f t="shared" si="1"/>
        <v>-134.01460999999995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452.15299999999996</v>
      </c>
      <c r="D26" s="232">
        <f>D27+D28</f>
        <v>224.04376000000002</v>
      </c>
      <c r="E26" s="5">
        <f t="shared" si="0"/>
        <v>49.55043093820013</v>
      </c>
      <c r="F26" s="5">
        <f t="shared" si="1"/>
        <v>-228.10923999999994</v>
      </c>
    </row>
    <row r="27" spans="1:6">
      <c r="A27" s="16">
        <v>1110502510</v>
      </c>
      <c r="B27" s="17" t="s">
        <v>206</v>
      </c>
      <c r="C27" s="12">
        <v>445.45299999999997</v>
      </c>
      <c r="D27" s="10">
        <v>217.27</v>
      </c>
      <c r="E27" s="9">
        <f t="shared" si="0"/>
        <v>48.775067178804505</v>
      </c>
      <c r="F27" s="9">
        <f t="shared" si="1"/>
        <v>-228.18299999999996</v>
      </c>
    </row>
    <row r="28" spans="1:6" ht="18" customHeight="1">
      <c r="A28" s="7">
        <v>1110503510</v>
      </c>
      <c r="B28" s="11" t="s">
        <v>205</v>
      </c>
      <c r="C28" s="12">
        <v>6.7</v>
      </c>
      <c r="D28" s="10">
        <v>6.7737600000000002</v>
      </c>
      <c r="E28" s="9">
        <f t="shared" si="0"/>
        <v>101.10089552238806</v>
      </c>
      <c r="F28" s="9">
        <f t="shared" si="1"/>
        <v>7.3760000000000048E-2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2.9402900000000001</v>
      </c>
      <c r="E29" s="5" t="e">
        <f t="shared" si="0"/>
        <v>#DIV/0!</v>
      </c>
      <c r="F29" s="5">
        <f t="shared" si="1"/>
        <v>2.9402900000000001</v>
      </c>
    </row>
    <row r="30" spans="1:6" ht="17.25" customHeight="1">
      <c r="A30" s="7">
        <v>1130206005</v>
      </c>
      <c r="B30" s="8" t="s">
        <v>204</v>
      </c>
      <c r="C30" s="9">
        <v>0</v>
      </c>
      <c r="D30" s="10">
        <v>2.9402900000000001</v>
      </c>
      <c r="E30" s="9" t="e">
        <f t="shared" si="0"/>
        <v>#DIV/0!</v>
      </c>
      <c r="F30" s="9">
        <f t="shared" si="1"/>
        <v>2.9402900000000001</v>
      </c>
    </row>
    <row r="31" spans="1:6" ht="17.25" customHeight="1">
      <c r="A31" s="70">
        <v>1140000000</v>
      </c>
      <c r="B31" s="71" t="s">
        <v>129</v>
      </c>
      <c r="C31" s="5">
        <f>C32+C33</f>
        <v>0</v>
      </c>
      <c r="D31" s="5">
        <f>D32+D33</f>
        <v>4.1894999999999998</v>
      </c>
      <c r="E31" s="5" t="e">
        <f t="shared" si="0"/>
        <v>#DIV/0!</v>
      </c>
      <c r="F31" s="5">
        <f t="shared" si="1"/>
        <v>4.1894999999999998</v>
      </c>
    </row>
    <row r="32" spans="1:6" ht="16.5" customHeight="1">
      <c r="A32" s="16">
        <v>1140200000</v>
      </c>
      <c r="B32" s="18" t="s">
        <v>202</v>
      </c>
      <c r="C32" s="9">
        <v>0</v>
      </c>
      <c r="D32" s="10">
        <v>4.1894999999999998</v>
      </c>
      <c r="E32" s="9" t="e">
        <f t="shared" si="0"/>
        <v>#DIV/0!</v>
      </c>
      <c r="F32" s="9">
        <f t="shared" si="1"/>
        <v>4.1894999999999998</v>
      </c>
    </row>
    <row r="33" spans="1:7" ht="15" customHeight="1">
      <c r="A33" s="7">
        <v>1140600000</v>
      </c>
      <c r="B33" s="8" t="s">
        <v>203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16.5" customHeight="1">
      <c r="A34" s="3">
        <v>1160000000</v>
      </c>
      <c r="B34" s="13" t="s">
        <v>225</v>
      </c>
      <c r="C34" s="5">
        <f>C35</f>
        <v>0</v>
      </c>
      <c r="D34" s="5">
        <f>D35</f>
        <v>86.964839999999995</v>
      </c>
      <c r="E34" s="9" t="e">
        <f>SUM(D34/C34*100)</f>
        <v>#DIV/0!</v>
      </c>
      <c r="F34" s="9">
        <f>SUM(D34-C34)</f>
        <v>86.964839999999995</v>
      </c>
    </row>
    <row r="35" spans="1:7" ht="26.25" customHeight="1">
      <c r="A35" s="7">
        <v>1167090000</v>
      </c>
      <c r="B35" s="8" t="s">
        <v>239</v>
      </c>
      <c r="C35" s="9">
        <v>0</v>
      </c>
      <c r="D35" s="10">
        <v>86.964839999999995</v>
      </c>
      <c r="E35" s="9" t="e">
        <f>SUM(D35/C35*100)</f>
        <v>#DIV/0!</v>
      </c>
      <c r="F35" s="9">
        <f>SUM(D35-C35)</f>
        <v>86.964839999999995</v>
      </c>
    </row>
    <row r="36" spans="1:7" ht="17.2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7.25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9.5" hidden="1" customHeight="1">
      <c r="A38" s="7">
        <v>1170505005</v>
      </c>
      <c r="B38" s="11" t="s">
        <v>201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3">
        <f>SUM(C4,C25)</f>
        <v>2678.6929999999998</v>
      </c>
      <c r="D39" s="123">
        <f>SUM(D4,D25)</f>
        <v>2321.9073399999997</v>
      </c>
      <c r="E39" s="5">
        <f t="shared" si="0"/>
        <v>86.680606549537416</v>
      </c>
      <c r="F39" s="5">
        <f t="shared" si="1"/>
        <v>-356.78566000000001</v>
      </c>
    </row>
    <row r="40" spans="1:7" s="6" customFormat="1">
      <c r="A40" s="3">
        <v>2000000000</v>
      </c>
      <c r="B40" s="4" t="s">
        <v>17</v>
      </c>
      <c r="C40" s="90">
        <f>C41+C42+C43+C44+C48+C49</f>
        <v>12825.983819999998</v>
      </c>
      <c r="D40" s="447">
        <f>D41+D42+D43+D44+D48+D49+D50</f>
        <v>8799.5263300000006</v>
      </c>
      <c r="E40" s="5">
        <f t="shared" si="0"/>
        <v>68.607028150765288</v>
      </c>
      <c r="F40" s="5">
        <f t="shared" si="1"/>
        <v>-4026.4574899999971</v>
      </c>
      <c r="G40" s="19"/>
    </row>
    <row r="41" spans="1:7">
      <c r="A41" s="16">
        <v>2021000000</v>
      </c>
      <c r="B41" s="17" t="s">
        <v>18</v>
      </c>
      <c r="C41" s="12">
        <v>3036.7</v>
      </c>
      <c r="D41" s="20">
        <v>3036.7</v>
      </c>
      <c r="E41" s="9">
        <f t="shared" si="0"/>
        <v>100</v>
      </c>
      <c r="F41" s="9">
        <f t="shared" si="1"/>
        <v>0</v>
      </c>
    </row>
    <row r="42" spans="1:7" ht="17.25" customHeight="1">
      <c r="A42" s="16">
        <v>2021500200</v>
      </c>
      <c r="B42" s="17" t="s">
        <v>212</v>
      </c>
      <c r="C42" s="12">
        <v>70</v>
      </c>
      <c r="D42" s="20">
        <v>70</v>
      </c>
      <c r="E42" s="9">
        <f>SUM(D42/C42*100)</f>
        <v>100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7561.0952500000003</v>
      </c>
      <c r="D43" s="10">
        <v>3561.9570800000001</v>
      </c>
      <c r="E43" s="9">
        <f t="shared" si="0"/>
        <v>47.109009504939117</v>
      </c>
      <c r="F43" s="9">
        <f t="shared" si="1"/>
        <v>-3999.1381700000002</v>
      </c>
    </row>
    <row r="44" spans="1:7" ht="18" customHeight="1">
      <c r="A44" s="16">
        <v>2023000000</v>
      </c>
      <c r="B44" s="17" t="s">
        <v>20</v>
      </c>
      <c r="C44" s="12">
        <v>198.36600000000001</v>
      </c>
      <c r="D44" s="175">
        <v>198.36600000000001</v>
      </c>
      <c r="E44" s="9">
        <f t="shared" si="0"/>
        <v>100</v>
      </c>
      <c r="F44" s="9">
        <f t="shared" si="1"/>
        <v>0</v>
      </c>
    </row>
    <row r="45" spans="1:7" ht="0.75" hidden="1" customHeight="1">
      <c r="A45" s="16">
        <v>2020400000</v>
      </c>
      <c r="B45" s="17" t="s">
        <v>21</v>
      </c>
      <c r="C45" s="12"/>
      <c r="D45" s="176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22</v>
      </c>
      <c r="C46" s="12"/>
      <c r="D46" s="176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7" s="6" customFormat="1" ht="20.25" customHeight="1">
      <c r="A48" s="7">
        <v>2024000000</v>
      </c>
      <c r="B48" s="8" t="s">
        <v>21</v>
      </c>
      <c r="C48" s="12">
        <v>1499.2719999999999</v>
      </c>
      <c r="D48" s="10">
        <v>1499.2719999999999</v>
      </c>
      <c r="E48" s="9">
        <f t="shared" si="0"/>
        <v>100</v>
      </c>
      <c r="F48" s="9">
        <f t="shared" si="1"/>
        <v>0</v>
      </c>
    </row>
    <row r="49" spans="1:7" s="6" customFormat="1" ht="18.75" customHeight="1">
      <c r="A49" s="7">
        <v>2070500010</v>
      </c>
      <c r="B49" s="8" t="s">
        <v>315</v>
      </c>
      <c r="C49" s="12">
        <v>460.55056999999999</v>
      </c>
      <c r="D49" s="10">
        <v>433.23124999999999</v>
      </c>
      <c r="E49" s="9">
        <f>SUM(D49/C49*100)</f>
        <v>94.068117210233822</v>
      </c>
      <c r="F49" s="9">
        <f>SUM(D49-C49)</f>
        <v>-27.319320000000005</v>
      </c>
    </row>
    <row r="50" spans="1:7" s="6" customFormat="1" ht="18.75" customHeight="1">
      <c r="A50" s="7">
        <v>2190500005</v>
      </c>
      <c r="B50" s="11" t="s">
        <v>23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25</v>
      </c>
      <c r="C51" s="447">
        <f>C39+C40</f>
        <v>15504.676819999997</v>
      </c>
      <c r="D51" s="447">
        <f>SUM(D39,D40,)</f>
        <v>11121.43367</v>
      </c>
      <c r="E51" s="5">
        <f t="shared" si="0"/>
        <v>71.729541989898777</v>
      </c>
      <c r="F51" s="5">
        <f>SUM(D51-C51)</f>
        <v>-4383.2431499999966</v>
      </c>
      <c r="G51" s="188"/>
    </row>
    <row r="52" spans="1:7" s="6" customFormat="1">
      <c r="A52" s="3"/>
      <c r="B52" s="21" t="s">
        <v>290</v>
      </c>
      <c r="C52" s="90">
        <f>C51-C98</f>
        <v>-509.50651000000289</v>
      </c>
      <c r="D52" s="90">
        <f>D51-D98</f>
        <v>-462.54507000000012</v>
      </c>
      <c r="E52" s="22"/>
      <c r="F52" s="22"/>
    </row>
    <row r="53" spans="1:7">
      <c r="A53" s="23"/>
      <c r="B53" s="24"/>
      <c r="C53" s="174"/>
      <c r="D53" s="174"/>
      <c r="E53" s="26"/>
      <c r="F53" s="89"/>
    </row>
    <row r="54" spans="1:7" ht="60" customHeight="1">
      <c r="A54" s="28" t="s">
        <v>0</v>
      </c>
      <c r="B54" s="28" t="s">
        <v>26</v>
      </c>
      <c r="C54" s="167" t="s">
        <v>382</v>
      </c>
      <c r="D54" s="168" t="s">
        <v>403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5">
        <v>3</v>
      </c>
      <c r="D55" s="85">
        <v>4</v>
      </c>
      <c r="E55" s="85">
        <v>5</v>
      </c>
      <c r="F55" s="85">
        <v>6</v>
      </c>
    </row>
    <row r="56" spans="1:7" s="6" customFormat="1" ht="29.25" customHeight="1">
      <c r="A56" s="30" t="s">
        <v>27</v>
      </c>
      <c r="B56" s="31" t="s">
        <v>28</v>
      </c>
      <c r="C56" s="441">
        <f>C57+C58+C59+C60+C61+C63+C62</f>
        <v>1519.001</v>
      </c>
      <c r="D56" s="170">
        <f>D57+D58+D59+D60+D61+D63+D62</f>
        <v>1491.7077999999999</v>
      </c>
      <c r="E56" s="34">
        <f>SUM(D56/C56*100)</f>
        <v>98.203213822769044</v>
      </c>
      <c r="F56" s="34">
        <f>SUM(D56-C56)</f>
        <v>-27.29320000000007</v>
      </c>
    </row>
    <row r="57" spans="1:7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7">
      <c r="A58" s="35" t="s">
        <v>31</v>
      </c>
      <c r="B58" s="39" t="s">
        <v>32</v>
      </c>
      <c r="C58" s="37">
        <v>1396.2</v>
      </c>
      <c r="D58" s="37">
        <v>1377.4078</v>
      </c>
      <c r="E58" s="38">
        <f t="shared" ref="E58:E98" si="3">SUM(D58/C58*100)</f>
        <v>98.654046698180778</v>
      </c>
      <c r="F58" s="38">
        <f t="shared" ref="F58:F98" si="4">SUM(D58-C58)</f>
        <v>-18.792200000000093</v>
      </c>
    </row>
    <row r="59" spans="1:7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4.25" customHeight="1">
      <c r="A61" s="35" t="s">
        <v>37</v>
      </c>
      <c r="B61" s="39" t="s">
        <v>38</v>
      </c>
      <c r="C61" s="37">
        <v>42</v>
      </c>
      <c r="D61" s="37">
        <v>42</v>
      </c>
      <c r="E61" s="38">
        <f t="shared" si="3"/>
        <v>100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7" ht="18.75" customHeight="1">
      <c r="A63" s="35" t="s">
        <v>41</v>
      </c>
      <c r="B63" s="39" t="s">
        <v>42</v>
      </c>
      <c r="C63" s="37">
        <v>75.801000000000002</v>
      </c>
      <c r="D63" s="37">
        <v>72.3</v>
      </c>
      <c r="E63" s="38">
        <f t="shared" si="3"/>
        <v>95.381327423121064</v>
      </c>
      <c r="F63" s="38">
        <f t="shared" si="4"/>
        <v>-3.5010000000000048</v>
      </c>
    </row>
    <row r="64" spans="1:7" s="6" customFormat="1">
      <c r="A64" s="41" t="s">
        <v>43</v>
      </c>
      <c r="B64" s="42" t="s">
        <v>44</v>
      </c>
      <c r="C64" s="441">
        <f>C65</f>
        <v>198.36600000000001</v>
      </c>
      <c r="D64" s="32">
        <f>D65</f>
        <v>198.36600000000001</v>
      </c>
      <c r="E64" s="34">
        <f>SUM(D64/C64*100)</f>
        <v>100</v>
      </c>
      <c r="F64" s="34">
        <f t="shared" si="4"/>
        <v>0</v>
      </c>
    </row>
    <row r="65" spans="1:7">
      <c r="A65" s="43" t="s">
        <v>45</v>
      </c>
      <c r="B65" s="44" t="s">
        <v>46</v>
      </c>
      <c r="C65" s="37">
        <v>198.36600000000001</v>
      </c>
      <c r="D65" s="37">
        <v>198.36600000000001</v>
      </c>
      <c r="E65" s="240">
        <f>SUM(D65/C65*100)</f>
        <v>100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32">
        <f>C69+C70+C71</f>
        <v>7</v>
      </c>
      <c r="D66" s="32">
        <f>D69+D70+D71</f>
        <v>5.7846000000000002</v>
      </c>
      <c r="E66" s="34">
        <f t="shared" si="3"/>
        <v>82.637142857142862</v>
      </c>
      <c r="F66" s="34">
        <f t="shared" si="4"/>
        <v>-1.2153999999999998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2.8696000000000002</v>
      </c>
      <c r="E69" s="34">
        <f t="shared" si="3"/>
        <v>95.653333333333336</v>
      </c>
      <c r="F69" s="34">
        <f t="shared" si="4"/>
        <v>-0.13039999999999985</v>
      </c>
    </row>
    <row r="70" spans="1:7" ht="15.75" customHeight="1">
      <c r="A70" s="46" t="s">
        <v>199</v>
      </c>
      <c r="B70" s="47" t="s">
        <v>200</v>
      </c>
      <c r="C70" s="37">
        <v>2</v>
      </c>
      <c r="D70" s="37">
        <v>0.91500000000000004</v>
      </c>
      <c r="E70" s="34">
        <f t="shared" si="3"/>
        <v>45.75</v>
      </c>
      <c r="F70" s="34">
        <f t="shared" si="4"/>
        <v>-1.085</v>
      </c>
    </row>
    <row r="71" spans="1:7" ht="15.75" customHeight="1">
      <c r="A71" s="46" t="s">
        <v>320</v>
      </c>
      <c r="B71" s="47" t="s">
        <v>375</v>
      </c>
      <c r="C71" s="37">
        <v>2</v>
      </c>
      <c r="D71" s="37">
        <v>2</v>
      </c>
      <c r="E71" s="34"/>
      <c r="F71" s="34"/>
    </row>
    <row r="72" spans="1:7" s="6" customFormat="1" ht="16.5" customHeight="1">
      <c r="A72" s="30" t="s">
        <v>55</v>
      </c>
      <c r="B72" s="31" t="s">
        <v>56</v>
      </c>
      <c r="C72" s="48">
        <f>C73+C74+C75+C76</f>
        <v>6972.5247099999997</v>
      </c>
      <c r="D72" s="48">
        <f>SUM(D73:D76)</f>
        <v>5532.4755400000004</v>
      </c>
      <c r="E72" s="34">
        <f t="shared" si="3"/>
        <v>79.346804351447048</v>
      </c>
      <c r="F72" s="34">
        <f t="shared" si="4"/>
        <v>-1440.0491699999993</v>
      </c>
    </row>
    <row r="73" spans="1:7" ht="15" customHeight="1">
      <c r="A73" s="35" t="s">
        <v>57</v>
      </c>
      <c r="B73" s="39" t="s">
        <v>58</v>
      </c>
      <c r="C73" s="49"/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5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4914.6253299999998</v>
      </c>
      <c r="D75" s="37">
        <v>4904.7035400000004</v>
      </c>
      <c r="E75" s="38">
        <f t="shared" si="3"/>
        <v>99.798117062160671</v>
      </c>
      <c r="F75" s="38">
        <f t="shared" si="4"/>
        <v>-9.9217899999994188</v>
      </c>
    </row>
    <row r="76" spans="1:7">
      <c r="A76" s="35" t="s">
        <v>63</v>
      </c>
      <c r="B76" s="39" t="s">
        <v>64</v>
      </c>
      <c r="C76" s="49">
        <v>2057.8993799999998</v>
      </c>
      <c r="D76" s="37">
        <v>627.77200000000005</v>
      </c>
      <c r="E76" s="38">
        <f t="shared" si="3"/>
        <v>30.505475928565566</v>
      </c>
      <c r="F76" s="38">
        <f t="shared" si="4"/>
        <v>-1430.1273799999999</v>
      </c>
    </row>
    <row r="77" spans="1:7" s="6" customFormat="1" ht="18" customHeight="1">
      <c r="A77" s="30" t="s">
        <v>65</v>
      </c>
      <c r="B77" s="31" t="s">
        <v>66</v>
      </c>
      <c r="C77" s="32">
        <f>SUM(C78:C80)</f>
        <v>5179.5246200000001</v>
      </c>
      <c r="D77" s="32">
        <f>SUM(D78:D80)</f>
        <v>2320.8778000000002</v>
      </c>
      <c r="E77" s="34">
        <f t="shared" si="3"/>
        <v>44.808702926872087</v>
      </c>
      <c r="F77" s="34">
        <f t="shared" si="4"/>
        <v>-2858.6468199999999</v>
      </c>
    </row>
    <row r="78" spans="1:7" ht="14.25" hidden="1" customHeight="1">
      <c r="A78" s="35" t="s">
        <v>67</v>
      </c>
      <c r="B78" s="51" t="s">
        <v>68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5" customHeight="1">
      <c r="A79" s="35" t="s">
        <v>69</v>
      </c>
      <c r="B79" s="51" t="s">
        <v>70</v>
      </c>
      <c r="C79" s="37">
        <v>97.1</v>
      </c>
      <c r="D79" s="37">
        <v>89.608580000000003</v>
      </c>
      <c r="E79" s="34">
        <f t="shared" si="3"/>
        <v>92.284840370751809</v>
      </c>
      <c r="F79" s="34">
        <f t="shared" si="4"/>
        <v>-7.4914199999999909</v>
      </c>
    </row>
    <row r="80" spans="1:7">
      <c r="A80" s="35" t="s">
        <v>71</v>
      </c>
      <c r="B80" s="39" t="s">
        <v>72</v>
      </c>
      <c r="C80" s="37">
        <v>5082.4246199999998</v>
      </c>
      <c r="D80" s="37">
        <v>2231.2692200000001</v>
      </c>
      <c r="E80" s="38">
        <f t="shared" si="3"/>
        <v>43.901668727553115</v>
      </c>
      <c r="F80" s="38">
        <f t="shared" si="4"/>
        <v>-2851.1553999999996</v>
      </c>
    </row>
    <row r="81" spans="1:6" s="6" customFormat="1">
      <c r="A81" s="30" t="s">
        <v>83</v>
      </c>
      <c r="B81" s="31" t="s">
        <v>84</v>
      </c>
      <c r="C81" s="32">
        <f>C82</f>
        <v>2135.6</v>
      </c>
      <c r="D81" s="32">
        <f>D82</f>
        <v>2032.6</v>
      </c>
      <c r="E81" s="34">
        <f>SUM(D81/C81*100)</f>
        <v>95.176999438097027</v>
      </c>
      <c r="F81" s="34">
        <f t="shared" si="4"/>
        <v>-103</v>
      </c>
    </row>
    <row r="82" spans="1:6" ht="15.75" customHeight="1">
      <c r="A82" s="35" t="s">
        <v>85</v>
      </c>
      <c r="B82" s="39" t="s">
        <v>214</v>
      </c>
      <c r="C82" s="37">
        <v>2135.6</v>
      </c>
      <c r="D82" s="37">
        <v>2032.6</v>
      </c>
      <c r="E82" s="38">
        <f>SUM(D82/C82*100)</f>
        <v>95.176999438097027</v>
      </c>
      <c r="F82" s="38">
        <f t="shared" si="4"/>
        <v>-103</v>
      </c>
    </row>
    <row r="83" spans="1:6" s="6" customFormat="1" ht="1.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92</v>
      </c>
      <c r="B88" s="31" t="s">
        <v>93</v>
      </c>
      <c r="C88" s="32">
        <f>C89+C90+C91+C92+C93</f>
        <v>2.1669999999999998</v>
      </c>
      <c r="D88" s="32">
        <f>D89+D90+D91+D92+D93</f>
        <v>2.1669999999999998</v>
      </c>
      <c r="E88" s="38">
        <f t="shared" si="3"/>
        <v>100</v>
      </c>
      <c r="F88" s="22">
        <f>F89+F90+F91+F92+F93</f>
        <v>0</v>
      </c>
    </row>
    <row r="89" spans="1:6" ht="18.75" customHeight="1">
      <c r="A89" s="35" t="s">
        <v>94</v>
      </c>
      <c r="B89" s="39" t="s">
        <v>95</v>
      </c>
      <c r="C89" s="37">
        <v>2.1669999999999998</v>
      </c>
      <c r="D89" s="37">
        <v>2.1669999999999998</v>
      </c>
      <c r="E89" s="38">
        <f t="shared" si="3"/>
        <v>100</v>
      </c>
      <c r="F89" s="38">
        <f>SUM(D89-C89)</f>
        <v>0</v>
      </c>
    </row>
    <row r="90" spans="1:6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116</v>
      </c>
      <c r="C98" s="435">
        <f>C56+C64+C66+C72+C77+C81+C83+C88+C94</f>
        <v>16014.18333</v>
      </c>
      <c r="D98" s="435">
        <f>D56+D64+D66+D72+D77+D81+D83+D88+D94</f>
        <v>11583.97874</v>
      </c>
      <c r="E98" s="34">
        <f t="shared" si="3"/>
        <v>72.33574451654539</v>
      </c>
      <c r="F98" s="34">
        <f t="shared" si="4"/>
        <v>-4430.2045899999994</v>
      </c>
      <c r="G98" s="188"/>
    </row>
    <row r="99" spans="1:7" ht="0.75" customHeight="1">
      <c r="C99" s="122"/>
      <c r="D99" s="97"/>
    </row>
    <row r="100" spans="1:7" s="65" customFormat="1" ht="16.5" customHeight="1">
      <c r="A100" s="63" t="s">
        <v>117</v>
      </c>
      <c r="B100" s="63"/>
      <c r="C100" s="173"/>
      <c r="D100" s="173"/>
    </row>
    <row r="101" spans="1:7" s="65" customFormat="1" ht="20.25" customHeight="1">
      <c r="A101" s="66" t="s">
        <v>118</v>
      </c>
      <c r="B101" s="66"/>
      <c r="C101" s="65" t="s">
        <v>119</v>
      </c>
    </row>
    <row r="102" spans="1:7" ht="13.5" customHeight="1">
      <c r="C102" s="116"/>
    </row>
    <row r="103" spans="1:7" ht="5.25" customHeight="1"/>
    <row r="143" hidden="1"/>
  </sheetData>
  <customSheetViews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1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3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4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5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6"/>
    </customSheetView>
    <customSheetView guid="{B30CE22D-C12F-4E12-8BB9-3AAE0A6991CC}" scale="70" showPageBreaks="1" hiddenRows="1" view="pageBreakPreview">
      <selection activeCell="D7" sqref="D7"/>
      <pageMargins left="0.70866141732283472" right="0.70866141732283472" top="0.74803149606299213" bottom="0.74803149606299213" header="0.31496062992125984" footer="0.31496062992125984"/>
      <pageSetup paperSize="9" scale="59" orientation="portrait" r:id="rId7"/>
    </customSheetView>
    <customSheetView guid="{1718F1EE-9F48-4DBE-9531-3B70F9C4A5DD}" scale="70" showPageBreaks="1" hiddenRows="1" view="pageBreakPreview" topLeftCell="A34">
      <selection activeCell="D89" sqref="D89"/>
      <pageMargins left="0.7" right="0.7" top="0.75" bottom="0.75" header="0.3" footer="0.3"/>
      <pageSetup paperSize="9" scale="40" orientation="portrait" r:id="rId8"/>
    </customSheetView>
    <customSheetView guid="{61528DAC-5C4C-48F4-ADE2-8A724B05A086}" scale="70" showPageBreaks="1" hiddenRows="1" view="pageBreakPreview">
      <selection activeCell="A2" sqref="A2:F2"/>
      <pageMargins left="0.70866141732283472" right="0.70866141732283472" top="0.74803149606299213" bottom="0.74803149606299213" header="0.31496062992125984" footer="0.31496062992125984"/>
      <pageSetup paperSize="9" scale="59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42"/>
  <sheetViews>
    <sheetView view="pageBreakPreview" topLeftCell="A31" zoomScale="70" zoomScaleSheetLayoutView="70" workbookViewId="0">
      <selection activeCell="D69" sqref="D69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3" t="s">
        <v>422</v>
      </c>
      <c r="B1" s="543"/>
      <c r="C1" s="543"/>
      <c r="D1" s="543"/>
      <c r="E1" s="543"/>
      <c r="F1" s="543"/>
    </row>
    <row r="2" spans="1:6">
      <c r="A2" s="543"/>
      <c r="B2" s="543"/>
      <c r="C2" s="543"/>
      <c r="D2" s="543"/>
      <c r="E2" s="543"/>
      <c r="F2" s="543"/>
    </row>
    <row r="3" spans="1:6" ht="63">
      <c r="A3" s="2" t="s">
        <v>0</v>
      </c>
      <c r="B3" s="2" t="s">
        <v>1</v>
      </c>
      <c r="C3" s="72" t="s">
        <v>382</v>
      </c>
      <c r="D3" s="168" t="s">
        <v>403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1639.9</v>
      </c>
      <c r="D4" s="5">
        <f>D5+D12+D14+D17+D20+D7</f>
        <v>1488.3656699999999</v>
      </c>
      <c r="E4" s="5">
        <f>SUM(D4/C4*100)</f>
        <v>90.759538386486966</v>
      </c>
      <c r="F4" s="5">
        <f>SUM(D4-C4)</f>
        <v>-151.53433000000018</v>
      </c>
    </row>
    <row r="5" spans="1:6" s="6" customFormat="1">
      <c r="A5" s="68">
        <v>1010000000</v>
      </c>
      <c r="B5" s="67" t="s">
        <v>5</v>
      </c>
      <c r="C5" s="5">
        <f>C6</f>
        <v>117.6</v>
      </c>
      <c r="D5" s="5">
        <f>D6</f>
        <v>125.66625000000001</v>
      </c>
      <c r="E5" s="5">
        <f t="shared" ref="E5:E51" si="0">SUM(D5/C5*100)</f>
        <v>106.85905612244899</v>
      </c>
      <c r="F5" s="5">
        <f t="shared" ref="F5:F51" si="1">SUM(D5-C5)</f>
        <v>8.0662500000000108</v>
      </c>
    </row>
    <row r="6" spans="1:6">
      <c r="A6" s="7">
        <v>1010200001</v>
      </c>
      <c r="B6" s="8" t="s">
        <v>209</v>
      </c>
      <c r="C6" s="9">
        <v>117.6</v>
      </c>
      <c r="D6" s="10">
        <v>125.66625000000001</v>
      </c>
      <c r="E6" s="9">
        <f t="shared" ref="E6:E11" si="2">SUM(D6/C6*100)</f>
        <v>106.85905612244899</v>
      </c>
      <c r="F6" s="9">
        <f t="shared" si="1"/>
        <v>8.0662500000000108</v>
      </c>
    </row>
    <row r="7" spans="1:6" ht="31.5">
      <c r="A7" s="3">
        <v>1030000000</v>
      </c>
      <c r="B7" s="13" t="s">
        <v>250</v>
      </c>
      <c r="C7" s="5">
        <f>C8+C10+C9</f>
        <v>846.30000000000007</v>
      </c>
      <c r="D7" s="5">
        <f>D8+D10+D9+D11</f>
        <v>803.65981999999997</v>
      </c>
      <c r="E7" s="5">
        <f t="shared" si="2"/>
        <v>94.961576273189166</v>
      </c>
      <c r="F7" s="5">
        <f t="shared" si="1"/>
        <v>-42.6401800000001</v>
      </c>
    </row>
    <row r="8" spans="1:6">
      <c r="A8" s="7">
        <v>1030223001</v>
      </c>
      <c r="B8" s="8" t="s">
        <v>252</v>
      </c>
      <c r="C8" s="9">
        <v>315.67</v>
      </c>
      <c r="D8" s="10">
        <v>370.67824000000002</v>
      </c>
      <c r="E8" s="9">
        <f t="shared" si="2"/>
        <v>117.42586878702443</v>
      </c>
      <c r="F8" s="9">
        <f t="shared" si="1"/>
        <v>55.008240000000001</v>
      </c>
    </row>
    <row r="9" spans="1:6">
      <c r="A9" s="7">
        <v>1030224001</v>
      </c>
      <c r="B9" s="8" t="s">
        <v>258</v>
      </c>
      <c r="C9" s="9">
        <v>3.39</v>
      </c>
      <c r="D9" s="10">
        <v>2.6513599999999999</v>
      </c>
      <c r="E9" s="9">
        <f>SUM(D9/C9*100)</f>
        <v>78.21120943952802</v>
      </c>
      <c r="F9" s="9">
        <f t="shared" si="1"/>
        <v>-0.73864000000000019</v>
      </c>
    </row>
    <row r="10" spans="1:6">
      <c r="A10" s="7">
        <v>1030225001</v>
      </c>
      <c r="B10" s="8" t="s">
        <v>251</v>
      </c>
      <c r="C10" s="9">
        <v>527.24</v>
      </c>
      <c r="D10" s="10">
        <v>498.66640999999998</v>
      </c>
      <c r="E10" s="9">
        <f t="shared" si="2"/>
        <v>94.58053448145057</v>
      </c>
      <c r="F10" s="9">
        <f t="shared" si="1"/>
        <v>-28.573590000000024</v>
      </c>
    </row>
    <row r="11" spans="1:6">
      <c r="A11" s="7">
        <v>1030226001</v>
      </c>
      <c r="B11" s="8" t="s">
        <v>260</v>
      </c>
      <c r="C11" s="9">
        <v>0</v>
      </c>
      <c r="D11" s="10">
        <v>-68.336190000000002</v>
      </c>
      <c r="E11" s="9" t="e">
        <f t="shared" si="2"/>
        <v>#DIV/0!</v>
      </c>
      <c r="F11" s="9">
        <f t="shared" si="1"/>
        <v>-68.336190000000002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67.978340000000003</v>
      </c>
      <c r="E12" s="5">
        <f t="shared" si="0"/>
        <v>226.5944666666667</v>
      </c>
      <c r="F12" s="5">
        <f t="shared" si="1"/>
        <v>37.978340000000003</v>
      </c>
    </row>
    <row r="13" spans="1:6" ht="15.75" customHeight="1">
      <c r="A13" s="7">
        <v>1050300000</v>
      </c>
      <c r="B13" s="11" t="s">
        <v>210</v>
      </c>
      <c r="C13" s="12">
        <v>30</v>
      </c>
      <c r="D13" s="10">
        <v>67.978340000000003</v>
      </c>
      <c r="E13" s="9">
        <f t="shared" si="0"/>
        <v>226.5944666666667</v>
      </c>
      <c r="F13" s="9">
        <f t="shared" si="1"/>
        <v>37.978340000000003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638</v>
      </c>
      <c r="D14" s="5">
        <f>D15+D16</f>
        <v>485.46125999999998</v>
      </c>
      <c r="E14" s="5">
        <f t="shared" si="0"/>
        <v>76.091106583072104</v>
      </c>
      <c r="F14" s="5">
        <f t="shared" si="1"/>
        <v>-152.53874000000002</v>
      </c>
    </row>
    <row r="15" spans="1:6" s="6" customFormat="1" ht="15.75" customHeight="1">
      <c r="A15" s="7">
        <v>1060100000</v>
      </c>
      <c r="B15" s="11" t="s">
        <v>8</v>
      </c>
      <c r="C15" s="9">
        <v>250</v>
      </c>
      <c r="D15" s="10">
        <v>81.477890000000002</v>
      </c>
      <c r="E15" s="9">
        <f t="shared" si="0"/>
        <v>32.591155999999998</v>
      </c>
      <c r="F15" s="9">
        <f>SUM(D15-C15)</f>
        <v>-168.52211</v>
      </c>
    </row>
    <row r="16" spans="1:6" ht="15.75" customHeight="1">
      <c r="A16" s="7">
        <v>1060600000</v>
      </c>
      <c r="B16" s="11" t="s">
        <v>7</v>
      </c>
      <c r="C16" s="9">
        <v>388</v>
      </c>
      <c r="D16" s="10">
        <v>403.98336999999998</v>
      </c>
      <c r="E16" s="9">
        <f t="shared" si="0"/>
        <v>104.11942525773195</v>
      </c>
      <c r="F16" s="9">
        <f t="shared" si="1"/>
        <v>15.983369999999979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5.6</v>
      </c>
      <c r="E17" s="5">
        <f t="shared" si="0"/>
        <v>70</v>
      </c>
      <c r="F17" s="5">
        <f t="shared" si="1"/>
        <v>-2.4000000000000004</v>
      </c>
    </row>
    <row r="18" spans="1:6" ht="17.25" customHeight="1">
      <c r="A18" s="7">
        <v>1080400001</v>
      </c>
      <c r="B18" s="8" t="s">
        <v>208</v>
      </c>
      <c r="C18" s="9">
        <v>8</v>
      </c>
      <c r="D18" s="10">
        <v>5.6</v>
      </c>
      <c r="E18" s="9">
        <f t="shared" si="0"/>
        <v>70</v>
      </c>
      <c r="F18" s="9">
        <f t="shared" si="1"/>
        <v>-2.4000000000000004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213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316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C26+C29+C32+C37+C35</f>
        <v>719.1</v>
      </c>
      <c r="D25" s="5">
        <f>D26+D29+D32+D37+D35</f>
        <v>946.03455999999994</v>
      </c>
      <c r="E25" s="5">
        <f t="shared" si="0"/>
        <v>131.55813655958838</v>
      </c>
      <c r="F25" s="5">
        <f t="shared" si="1"/>
        <v>226.93455999999992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669.1</v>
      </c>
      <c r="D26" s="5">
        <f>D27+D28</f>
        <v>844.19383999999991</v>
      </c>
      <c r="E26" s="5">
        <f t="shared" si="0"/>
        <v>126.16856075325063</v>
      </c>
      <c r="F26" s="5">
        <f t="shared" si="1"/>
        <v>175.09383999999989</v>
      </c>
    </row>
    <row r="27" spans="1:6">
      <c r="A27" s="16">
        <v>1110502510</v>
      </c>
      <c r="B27" s="17" t="s">
        <v>206</v>
      </c>
      <c r="C27" s="12">
        <v>592.1</v>
      </c>
      <c r="D27" s="10">
        <v>767.15481999999997</v>
      </c>
      <c r="E27" s="9">
        <f t="shared" si="0"/>
        <v>129.56507684512749</v>
      </c>
      <c r="F27" s="9">
        <f t="shared" si="1"/>
        <v>175.05481999999995</v>
      </c>
    </row>
    <row r="28" spans="1:6" ht="18" customHeight="1">
      <c r="A28" s="7">
        <v>1110503505</v>
      </c>
      <c r="B28" s="11" t="s">
        <v>205</v>
      </c>
      <c r="C28" s="12">
        <v>77</v>
      </c>
      <c r="D28" s="10">
        <v>77.039019999999994</v>
      </c>
      <c r="E28" s="9">
        <f t="shared" si="0"/>
        <v>100.05067532467531</v>
      </c>
      <c r="F28" s="9">
        <f t="shared" si="1"/>
        <v>3.9019999999993615E-2</v>
      </c>
    </row>
    <row r="29" spans="1:6" s="15" customFormat="1" ht="18" customHeight="1">
      <c r="A29" s="68">
        <v>1130000000</v>
      </c>
      <c r="B29" s="69" t="s">
        <v>128</v>
      </c>
      <c r="C29" s="5">
        <f>C30+C31</f>
        <v>50</v>
      </c>
      <c r="D29" s="5">
        <f>D30+D31</f>
        <v>45.147090000000006</v>
      </c>
      <c r="E29" s="5">
        <f t="shared" si="0"/>
        <v>90.294180000000011</v>
      </c>
      <c r="F29" s="5">
        <f t="shared" si="1"/>
        <v>-4.8529099999999943</v>
      </c>
    </row>
    <row r="30" spans="1:6" ht="15.75" customHeight="1">
      <c r="A30" s="7">
        <v>1130206510</v>
      </c>
      <c r="B30" s="8" t="s">
        <v>305</v>
      </c>
      <c r="C30" s="9">
        <v>50</v>
      </c>
      <c r="D30" s="197">
        <v>44.825580000000002</v>
      </c>
      <c r="E30" s="9">
        <f t="shared" si="0"/>
        <v>89.651160000000004</v>
      </c>
      <c r="F30" s="9">
        <f t="shared" si="1"/>
        <v>-5.1744199999999978</v>
      </c>
    </row>
    <row r="31" spans="1:6" ht="17.25" customHeight="1">
      <c r="A31" s="7">
        <v>1130299510</v>
      </c>
      <c r="B31" s="8" t="s">
        <v>317</v>
      </c>
      <c r="C31" s="9">
        <v>0</v>
      </c>
      <c r="D31" s="197">
        <v>0.32151000000000002</v>
      </c>
      <c r="E31" s="9" t="e">
        <f>SUM(D31/C31*100)</f>
        <v>#DIV/0!</v>
      </c>
      <c r="F31" s="9">
        <f>SUM(D31-C31)</f>
        <v>0.32151000000000002</v>
      </c>
    </row>
    <row r="32" spans="1:6" ht="18" hidden="1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hidden="1" customHeight="1">
      <c r="A33" s="16">
        <v>1140200000</v>
      </c>
      <c r="B33" s="18" t="s">
        <v>130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hidden="1" customHeight="1">
      <c r="A34" s="7">
        <v>1140600000</v>
      </c>
      <c r="B34" s="8" t="s">
        <v>203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9.5" customHeight="1">
      <c r="A35" s="3">
        <v>1160000000</v>
      </c>
      <c r="B35" s="13" t="s">
        <v>225</v>
      </c>
      <c r="C35" s="14">
        <f>C36</f>
        <v>0</v>
      </c>
      <c r="D35" s="14">
        <f>D36</f>
        <v>56.693629999999999</v>
      </c>
      <c r="E35" s="5" t="e">
        <f>SUM(D35/C35*100)</f>
        <v>#DIV/0!</v>
      </c>
      <c r="F35" s="5">
        <f>SUM(D35-C35)</f>
        <v>56.693629999999999</v>
      </c>
    </row>
    <row r="36" spans="1:7" ht="28.5" customHeight="1">
      <c r="A36" s="7">
        <v>1160700000</v>
      </c>
      <c r="B36" s="8" t="s">
        <v>397</v>
      </c>
      <c r="C36" s="9"/>
      <c r="D36" s="10">
        <v>56.693629999999999</v>
      </c>
      <c r="E36" s="9" t="e">
        <f>SUM(D36/C36*100)</f>
        <v>#DIV/0!</v>
      </c>
      <c r="F36" s="9">
        <f>SUM(D36-C36)</f>
        <v>56.693629999999999</v>
      </c>
    </row>
    <row r="37" spans="1:7" ht="15.75" customHeight="1">
      <c r="A37" s="3"/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6.5" customHeight="1">
      <c r="A38" s="7">
        <v>1170105005</v>
      </c>
      <c r="B38" s="8" t="s">
        <v>15</v>
      </c>
      <c r="C38" s="9">
        <v>0</v>
      </c>
      <c r="D38" s="9"/>
      <c r="E38" s="9" t="e">
        <f t="shared" si="0"/>
        <v>#DIV/0!</v>
      </c>
      <c r="F38" s="9">
        <f t="shared" si="1"/>
        <v>0</v>
      </c>
    </row>
    <row r="39" spans="1:7" ht="16.5" hidden="1" customHeight="1">
      <c r="A39" s="7">
        <v>1170505005</v>
      </c>
      <c r="B39" s="11" t="s">
        <v>201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16</v>
      </c>
      <c r="C40" s="123">
        <f>SUM(C4,C25)</f>
        <v>2359</v>
      </c>
      <c r="D40" s="123">
        <f>D4+D25</f>
        <v>2434.4002299999997</v>
      </c>
      <c r="E40" s="5">
        <f t="shared" si="0"/>
        <v>103.19627935565916</v>
      </c>
      <c r="F40" s="5">
        <f t="shared" si="1"/>
        <v>75.400229999999738</v>
      </c>
    </row>
    <row r="41" spans="1:7" s="6" customFormat="1">
      <c r="A41" s="3">
        <v>2000000000</v>
      </c>
      <c r="B41" s="4" t="s">
        <v>17</v>
      </c>
      <c r="C41" s="5">
        <f>C42+C43+C44+C45+C46+C48</f>
        <v>6258.6176100000002</v>
      </c>
      <c r="D41" s="216">
        <f>D42+D43+D44+D45+D46+D48+D49</f>
        <v>6213.6180000000004</v>
      </c>
      <c r="E41" s="5">
        <f t="shared" si="0"/>
        <v>99.280997613145445</v>
      </c>
      <c r="F41" s="5">
        <f t="shared" si="1"/>
        <v>-44.999609999999848</v>
      </c>
      <c r="G41" s="19"/>
    </row>
    <row r="42" spans="1:7">
      <c r="A42" s="16">
        <v>2021000000</v>
      </c>
      <c r="B42" s="17" t="s">
        <v>18</v>
      </c>
      <c r="C42" s="95">
        <v>1079.5</v>
      </c>
      <c r="D42" s="95">
        <v>1079.5</v>
      </c>
      <c r="E42" s="9">
        <f t="shared" si="0"/>
        <v>100</v>
      </c>
      <c r="F42" s="9">
        <f t="shared" si="1"/>
        <v>0</v>
      </c>
    </row>
    <row r="43" spans="1:7" ht="15.75" customHeight="1">
      <c r="A43" s="16">
        <v>2021500200</v>
      </c>
      <c r="B43" s="17" t="s">
        <v>212</v>
      </c>
      <c r="C43" s="95">
        <v>580</v>
      </c>
      <c r="D43" s="20">
        <v>580</v>
      </c>
      <c r="E43" s="9">
        <f>SUM(D43/C43*100)</f>
        <v>100</v>
      </c>
      <c r="F43" s="9">
        <f>SUM(D43-C43)</f>
        <v>0</v>
      </c>
    </row>
    <row r="44" spans="1:7">
      <c r="A44" s="16">
        <v>2022000000</v>
      </c>
      <c r="B44" s="17" t="s">
        <v>19</v>
      </c>
      <c r="C44" s="95">
        <v>3087.7260000000001</v>
      </c>
      <c r="D44" s="10">
        <v>3087.7260000000001</v>
      </c>
      <c r="E44" s="9">
        <f t="shared" si="0"/>
        <v>100</v>
      </c>
      <c r="F44" s="9">
        <f t="shared" si="1"/>
        <v>0</v>
      </c>
    </row>
    <row r="45" spans="1:7" ht="16.5" customHeight="1">
      <c r="A45" s="16">
        <v>2023000000</v>
      </c>
      <c r="B45" s="17" t="s">
        <v>20</v>
      </c>
      <c r="C45" s="12">
        <v>198.36600000000001</v>
      </c>
      <c r="D45" s="175">
        <v>198.36600000000001</v>
      </c>
      <c r="E45" s="9">
        <f t="shared" si="0"/>
        <v>100</v>
      </c>
      <c r="F45" s="9">
        <f t="shared" si="1"/>
        <v>0</v>
      </c>
    </row>
    <row r="46" spans="1:7" ht="19.5" customHeight="1">
      <c r="A46" s="16">
        <v>2020400000</v>
      </c>
      <c r="B46" s="17" t="s">
        <v>21</v>
      </c>
      <c r="C46" s="12">
        <v>1145</v>
      </c>
      <c r="D46" s="176">
        <v>1100</v>
      </c>
      <c r="E46" s="9">
        <f t="shared" si="0"/>
        <v>96.069868995633186</v>
      </c>
      <c r="F46" s="9">
        <f t="shared" si="1"/>
        <v>-45</v>
      </c>
    </row>
    <row r="47" spans="1:7" ht="19.5" customHeight="1">
      <c r="A47" s="16">
        <v>2020900000</v>
      </c>
      <c r="B47" s="18" t="s">
        <v>22</v>
      </c>
      <c r="C47" s="12">
        <v>0</v>
      </c>
      <c r="D47" s="176">
        <v>0</v>
      </c>
      <c r="E47" s="9" t="e">
        <f t="shared" si="0"/>
        <v>#DIV/0!</v>
      </c>
      <c r="F47" s="9">
        <f t="shared" si="1"/>
        <v>0</v>
      </c>
    </row>
    <row r="48" spans="1:7" ht="19.5" customHeight="1">
      <c r="A48" s="16">
        <v>2070500010</v>
      </c>
      <c r="B48" s="8" t="s">
        <v>315</v>
      </c>
      <c r="C48" s="12">
        <v>168.02561</v>
      </c>
      <c r="D48" s="176">
        <v>168.02600000000001</v>
      </c>
      <c r="E48" s="9">
        <f t="shared" si="0"/>
        <v>100.00023210747457</v>
      </c>
      <c r="F48" s="9">
        <f t="shared" si="1"/>
        <v>3.9000000001010449E-4</v>
      </c>
    </row>
    <row r="49" spans="1:8" ht="19.5" customHeight="1">
      <c r="A49" s="7">
        <v>2190500005</v>
      </c>
      <c r="B49" s="11" t="s">
        <v>23</v>
      </c>
      <c r="C49" s="12">
        <v>0</v>
      </c>
      <c r="D49" s="176">
        <v>0</v>
      </c>
      <c r="E49" s="9" t="e">
        <f t="shared" si="0"/>
        <v>#DIV/0!</v>
      </c>
      <c r="F49" s="9">
        <f t="shared" si="1"/>
        <v>0</v>
      </c>
    </row>
    <row r="50" spans="1:8" s="6" customFormat="1" ht="15" customHeight="1">
      <c r="A50" s="3">
        <v>3000000000</v>
      </c>
      <c r="B50" s="13" t="s">
        <v>24</v>
      </c>
      <c r="C50" s="179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25</v>
      </c>
      <c r="C51" s="216">
        <f>C40+C41</f>
        <v>8617.6176100000012</v>
      </c>
      <c r="D51" s="216">
        <f>D40+D41</f>
        <v>8648.0182299999997</v>
      </c>
      <c r="E51" s="90">
        <f t="shared" si="0"/>
        <v>100.35277290517881</v>
      </c>
      <c r="F51" s="90">
        <f t="shared" si="1"/>
        <v>30.400619999998526</v>
      </c>
      <c r="G51" s="188"/>
      <c r="H51" s="188"/>
    </row>
    <row r="52" spans="1:8" s="6" customFormat="1">
      <c r="A52" s="3"/>
      <c r="B52" s="21" t="s">
        <v>290</v>
      </c>
      <c r="C52" s="90">
        <f>C51-C98</f>
        <v>-742.21243999999933</v>
      </c>
      <c r="D52" s="90">
        <f>D51-D98</f>
        <v>-176.05384000000049</v>
      </c>
      <c r="E52" s="183"/>
      <c r="F52" s="183"/>
    </row>
    <row r="53" spans="1:8">
      <c r="A53" s="23"/>
      <c r="B53" s="24"/>
      <c r="C53" s="174"/>
      <c r="D53" s="174"/>
      <c r="E53" s="26"/>
      <c r="F53" s="27"/>
    </row>
    <row r="54" spans="1:8" ht="45" customHeight="1">
      <c r="A54" s="28" t="s">
        <v>0</v>
      </c>
      <c r="B54" s="28" t="s">
        <v>26</v>
      </c>
      <c r="C54" s="167" t="s">
        <v>382</v>
      </c>
      <c r="D54" s="168" t="s">
        <v>403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5">
        <v>3</v>
      </c>
      <c r="D55" s="85">
        <v>4</v>
      </c>
      <c r="E55" s="85">
        <v>5</v>
      </c>
      <c r="F55" s="85">
        <v>6</v>
      </c>
    </row>
    <row r="56" spans="1:8" s="6" customFormat="1" ht="18" customHeight="1">
      <c r="A56" s="30" t="s">
        <v>27</v>
      </c>
      <c r="B56" s="31" t="s">
        <v>28</v>
      </c>
      <c r="C56" s="32">
        <f>C57+C58+C59+C60+C61+C63+C62</f>
        <v>1182.0170000000001</v>
      </c>
      <c r="D56" s="33">
        <f>D57+D58+D59+D60+D61+D63+D62</f>
        <v>1118.4542200000001</v>
      </c>
      <c r="E56" s="34">
        <f>SUM(D56/C56*100)</f>
        <v>94.62251558141719</v>
      </c>
      <c r="F56" s="34">
        <f>SUM(D56-C56)</f>
        <v>-63.562779999999975</v>
      </c>
    </row>
    <row r="57" spans="1:8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1145.7</v>
      </c>
      <c r="D58" s="37">
        <v>1089.4542200000001</v>
      </c>
      <c r="E58" s="38">
        <f t="shared" ref="E58:E98" si="3">SUM(D58/C58*100)</f>
        <v>95.09070611853015</v>
      </c>
      <c r="F58" s="38">
        <f t="shared" ref="F58:F98" si="4">SUM(D58-C58)</f>
        <v>-56.245779999999968</v>
      </c>
    </row>
    <row r="59" spans="1:8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37</v>
      </c>
      <c r="B61" s="39" t="s">
        <v>38</v>
      </c>
      <c r="C61" s="37">
        <v>28</v>
      </c>
      <c r="D61" s="37">
        <v>28</v>
      </c>
      <c r="E61" s="38">
        <f t="shared" si="3"/>
        <v>100</v>
      </c>
      <c r="F61" s="38">
        <f t="shared" si="4"/>
        <v>0</v>
      </c>
    </row>
    <row r="62" spans="1:8" ht="18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5.75" customHeight="1">
      <c r="A63" s="35" t="s">
        <v>41</v>
      </c>
      <c r="B63" s="39" t="s">
        <v>42</v>
      </c>
      <c r="C63" s="37">
        <v>3.3170000000000002</v>
      </c>
      <c r="D63" s="37">
        <v>1</v>
      </c>
      <c r="E63" s="38">
        <f t="shared" si="3"/>
        <v>30.147723846849562</v>
      </c>
      <c r="F63" s="38">
        <f t="shared" si="4"/>
        <v>-2.3170000000000002</v>
      </c>
    </row>
    <row r="64" spans="1:8" s="6" customFormat="1">
      <c r="A64" s="41" t="s">
        <v>43</v>
      </c>
      <c r="B64" s="42" t="s">
        <v>44</v>
      </c>
      <c r="C64" s="32">
        <f>C65</f>
        <v>198.36600000000001</v>
      </c>
      <c r="D64" s="32">
        <f>D65</f>
        <v>198.36600000000001</v>
      </c>
      <c r="E64" s="34">
        <f t="shared" si="3"/>
        <v>100</v>
      </c>
      <c r="F64" s="34">
        <f t="shared" si="4"/>
        <v>0</v>
      </c>
    </row>
    <row r="65" spans="1:7">
      <c r="A65" s="43" t="s">
        <v>45</v>
      </c>
      <c r="B65" s="44" t="s">
        <v>46</v>
      </c>
      <c r="C65" s="37">
        <v>198.36600000000001</v>
      </c>
      <c r="D65" s="37">
        <v>198.36600000000001</v>
      </c>
      <c r="E65" s="38">
        <f t="shared" si="3"/>
        <v>100</v>
      </c>
      <c r="F65" s="38">
        <f t="shared" si="4"/>
        <v>0</v>
      </c>
    </row>
    <row r="66" spans="1:7" s="6" customFormat="1" ht="15" customHeight="1">
      <c r="A66" s="30" t="s">
        <v>47</v>
      </c>
      <c r="B66" s="31" t="s">
        <v>48</v>
      </c>
      <c r="C66" s="32">
        <f>C69+C70+C71</f>
        <v>5.4729999999999999</v>
      </c>
      <c r="D66" s="236">
        <f>D69+D70+D71</f>
        <v>5.3426</v>
      </c>
      <c r="E66" s="34">
        <f t="shared" si="3"/>
        <v>97.617394482002567</v>
      </c>
      <c r="F66" s="34">
        <f t="shared" si="4"/>
        <v>-0.13039999999999985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2.8696000000000002</v>
      </c>
      <c r="E69" s="34">
        <f t="shared" si="3"/>
        <v>95.653333333333336</v>
      </c>
      <c r="F69" s="34">
        <f t="shared" si="4"/>
        <v>-0.13039999999999985</v>
      </c>
    </row>
    <row r="70" spans="1:7" ht="15.75" customHeight="1">
      <c r="A70" s="46" t="s">
        <v>199</v>
      </c>
      <c r="B70" s="47" t="s">
        <v>200</v>
      </c>
      <c r="C70" s="37">
        <v>0.47299999999999998</v>
      </c>
      <c r="D70" s="37">
        <v>0.47299999999999998</v>
      </c>
      <c r="E70" s="34">
        <f t="shared" si="3"/>
        <v>100</v>
      </c>
      <c r="F70" s="34">
        <f t="shared" si="4"/>
        <v>0</v>
      </c>
    </row>
    <row r="71" spans="1:7" ht="15.75" customHeight="1">
      <c r="A71" s="46" t="s">
        <v>320</v>
      </c>
      <c r="B71" s="47" t="s">
        <v>375</v>
      </c>
      <c r="C71" s="37">
        <v>2</v>
      </c>
      <c r="D71" s="37">
        <v>2</v>
      </c>
      <c r="E71" s="34">
        <f>SUM(D71/C71*100)</f>
        <v>100</v>
      </c>
      <c r="F71" s="34">
        <f>SUM(D71-C71)</f>
        <v>0</v>
      </c>
    </row>
    <row r="72" spans="1:7" s="6" customFormat="1" ht="18.75" customHeight="1">
      <c r="A72" s="30" t="s">
        <v>55</v>
      </c>
      <c r="B72" s="31" t="s">
        <v>56</v>
      </c>
      <c r="C72" s="48">
        <f>SUM(C73:C77)</f>
        <v>4887.9149200000002</v>
      </c>
      <c r="D72" s="48">
        <f>SUM(D73:D77)</f>
        <v>4599.5129999999999</v>
      </c>
      <c r="E72" s="34">
        <f t="shared" si="3"/>
        <v>94.099694353927092</v>
      </c>
      <c r="F72" s="34">
        <f t="shared" si="4"/>
        <v>-288.40192000000025</v>
      </c>
    </row>
    <row r="73" spans="1:7" ht="1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7.25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 s="6" customFormat="1" ht="15" hidden="1" customHeight="1">
      <c r="A75" s="35" t="s">
        <v>59</v>
      </c>
      <c r="B75" s="39" t="s">
        <v>60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4807.7149200000003</v>
      </c>
      <c r="D76" s="37">
        <v>4519.6310000000003</v>
      </c>
      <c r="E76" s="38">
        <f t="shared" si="3"/>
        <v>94.007882647085069</v>
      </c>
      <c r="F76" s="38">
        <f t="shared" si="4"/>
        <v>-288.08392000000003</v>
      </c>
    </row>
    <row r="77" spans="1:7">
      <c r="A77" s="35" t="s">
        <v>63</v>
      </c>
      <c r="B77" s="39" t="s">
        <v>64</v>
      </c>
      <c r="C77" s="49">
        <v>80.2</v>
      </c>
      <c r="D77" s="37">
        <v>79.882000000000005</v>
      </c>
      <c r="E77" s="38">
        <f t="shared" si="3"/>
        <v>99.603491271820459</v>
      </c>
      <c r="F77" s="38">
        <f t="shared" si="4"/>
        <v>-0.31799999999999784</v>
      </c>
    </row>
    <row r="78" spans="1:7" s="6" customFormat="1" ht="17.25" customHeight="1">
      <c r="A78" s="30" t="s">
        <v>65</v>
      </c>
      <c r="B78" s="31" t="s">
        <v>66</v>
      </c>
      <c r="C78" s="32">
        <f>SUM(C79:C81)</f>
        <v>1944.9591300000002</v>
      </c>
      <c r="D78" s="32">
        <f>SUM(D79:D81)</f>
        <v>1775.85725</v>
      </c>
      <c r="E78" s="34">
        <f t="shared" si="3"/>
        <v>91.305633244848693</v>
      </c>
      <c r="F78" s="34">
        <f t="shared" si="4"/>
        <v>-169.10188000000016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4.25" customHeight="1">
      <c r="A80" s="35" t="s">
        <v>69</v>
      </c>
      <c r="B80" s="51" t="s">
        <v>70</v>
      </c>
      <c r="C80" s="37">
        <v>430.42585000000003</v>
      </c>
      <c r="D80" s="37">
        <v>359.17324000000002</v>
      </c>
      <c r="E80" s="38">
        <f t="shared" si="3"/>
        <v>83.446019796441135</v>
      </c>
      <c r="F80" s="38">
        <f t="shared" si="4"/>
        <v>-71.252610000000004</v>
      </c>
    </row>
    <row r="81" spans="1:6">
      <c r="A81" s="35" t="s">
        <v>71</v>
      </c>
      <c r="B81" s="39" t="s">
        <v>72</v>
      </c>
      <c r="C81" s="37">
        <v>1514.5332800000001</v>
      </c>
      <c r="D81" s="37">
        <v>1416.6840099999999</v>
      </c>
      <c r="E81" s="38">
        <f t="shared" si="3"/>
        <v>93.53931199187646</v>
      </c>
      <c r="F81" s="38">
        <f t="shared" si="4"/>
        <v>-97.849270000000161</v>
      </c>
    </row>
    <row r="82" spans="1:6" s="6" customFormat="1" ht="17.25" customHeight="1">
      <c r="A82" s="30" t="s">
        <v>83</v>
      </c>
      <c r="B82" s="31" t="s">
        <v>84</v>
      </c>
      <c r="C82" s="32">
        <f>C83</f>
        <v>1141.0999999999999</v>
      </c>
      <c r="D82" s="32">
        <f>D83</f>
        <v>1126.539</v>
      </c>
      <c r="E82" s="34">
        <f t="shared" si="3"/>
        <v>98.723950574007546</v>
      </c>
      <c r="F82" s="34">
        <f t="shared" si="4"/>
        <v>-14.560999999999922</v>
      </c>
    </row>
    <row r="83" spans="1:6" ht="21" customHeight="1">
      <c r="A83" s="35" t="s">
        <v>85</v>
      </c>
      <c r="B83" s="39" t="s">
        <v>214</v>
      </c>
      <c r="C83" s="37">
        <v>1141.0999999999999</v>
      </c>
      <c r="D83" s="37">
        <v>1126.539</v>
      </c>
      <c r="E83" s="38">
        <f t="shared" si="3"/>
        <v>98.723950574007546</v>
      </c>
      <c r="F83" s="38">
        <f t="shared" si="4"/>
        <v>-14.560999999999922</v>
      </c>
    </row>
    <row r="84" spans="1:6" s="6" customFormat="1" ht="12.75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87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6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6.5" hidden="1" customHeight="1">
      <c r="A89" s="35" t="s">
        <v>94</v>
      </c>
      <c r="B89" s="39" t="s">
        <v>95</v>
      </c>
      <c r="C89" s="37"/>
      <c r="D89" s="37">
        <v>0</v>
      </c>
      <c r="E89" s="38" t="e">
        <f t="shared" si="3"/>
        <v>#DIV/0!</v>
      </c>
      <c r="F89" s="38">
        <f>SUM(D89-C89)</f>
        <v>0</v>
      </c>
    </row>
    <row r="90" spans="1:6" ht="18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4.2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8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22.5" hidden="1" customHeight="1">
      <c r="A94" s="52">
        <v>1400</v>
      </c>
      <c r="B94" s="56" t="s">
        <v>112</v>
      </c>
      <c r="C94" s="48"/>
      <c r="D94" s="48">
        <v>0</v>
      </c>
      <c r="E94" s="34" t="e">
        <f t="shared" si="3"/>
        <v>#DIV/0!</v>
      </c>
      <c r="F94" s="34">
        <f t="shared" si="4"/>
        <v>0</v>
      </c>
    </row>
    <row r="95" spans="1:6" ht="30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customHeight="1">
      <c r="A96" s="30" t="s">
        <v>92</v>
      </c>
      <c r="B96" s="31" t="s">
        <v>93</v>
      </c>
      <c r="C96" s="48">
        <f>C97</f>
        <v>0</v>
      </c>
      <c r="D96" s="32">
        <f>D97</f>
        <v>0</v>
      </c>
      <c r="E96" s="34" t="e">
        <f t="shared" si="3"/>
        <v>#DIV/0!</v>
      </c>
      <c r="F96" s="34">
        <f t="shared" si="4"/>
        <v>0</v>
      </c>
    </row>
    <row r="97" spans="1:8" ht="18" customHeight="1">
      <c r="A97" s="35" t="s">
        <v>94</v>
      </c>
      <c r="B97" s="39" t="s">
        <v>95</v>
      </c>
      <c r="C97" s="49"/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>
      <c r="A98" s="52"/>
      <c r="B98" s="57" t="s">
        <v>116</v>
      </c>
      <c r="C98" s="452">
        <f>C56+C64+C66+C72+C78+C82+C96+C84</f>
        <v>9359.8300500000005</v>
      </c>
      <c r="D98" s="452">
        <f>D56+D64+D66+D72+D78+D82+D96+D84</f>
        <v>8824.0720700000002</v>
      </c>
      <c r="E98" s="34">
        <f t="shared" si="3"/>
        <v>94.275986026049679</v>
      </c>
      <c r="F98" s="34">
        <f t="shared" si="4"/>
        <v>-535.75798000000032</v>
      </c>
      <c r="G98" s="188"/>
      <c r="H98" s="188"/>
    </row>
    <row r="99" spans="1:8" ht="16.5" customHeight="1">
      <c r="C99" s="122"/>
      <c r="D99" s="97"/>
    </row>
    <row r="100" spans="1:8" s="65" customFormat="1" ht="20.25" customHeight="1">
      <c r="A100" s="63" t="s">
        <v>117</v>
      </c>
      <c r="B100" s="63"/>
      <c r="C100" s="112"/>
      <c r="D100" s="64" t="s">
        <v>244</v>
      </c>
    </row>
    <row r="101" spans="1:8" s="65" customFormat="1" ht="13.5" customHeight="1">
      <c r="A101" s="66" t="s">
        <v>118</v>
      </c>
      <c r="B101" s="66"/>
      <c r="C101" s="65" t="s">
        <v>119</v>
      </c>
    </row>
    <row r="103" spans="1:8" ht="5.25" customHeight="1"/>
    <row r="142" hidden="1"/>
  </sheetData>
  <customSheetViews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1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3DCB9AAA-F09C-4EA6-B992-F93E466D374A}" hiddenRows="1" topLeftCell="A20">
      <selection activeCell="C42" sqref="C42"/>
      <pageMargins left="0.7" right="0.7" top="0.75" bottom="0.75" header="0.3" footer="0.3"/>
      <pageSetup paperSize="9" scale="48" orientation="portrait" r:id="rId3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4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5"/>
    </customSheetView>
    <customSheetView guid="{B31C8DB7-3E78-4144-A6B5-8DE36DE63F0E}" showPageBreaks="1" printArea="1" hiddenRows="1" topLeftCell="A27">
      <selection activeCell="B58" sqref="B58"/>
      <pageMargins left="0.7" right="0.7" top="0.75" bottom="0.75" header="0.3" footer="0.3"/>
      <pageSetup paperSize="9" scale="48" orientation="portrait" r:id="rId6"/>
    </customSheetView>
    <customSheetView guid="{B30CE22D-C12F-4E12-8BB9-3AAE0A6991CC}" scale="70" showPageBreaks="1" printArea="1" hiddenRows="1" view="pageBreakPreview" topLeftCell="A28">
      <selection activeCell="D71" sqref="D71"/>
      <pageMargins left="0.70866141732283472" right="0.70866141732283472" top="0.74803149606299213" bottom="0.74803149606299213" header="0.31496062992125984" footer="0.31496062992125984"/>
      <pageSetup paperSize="9" scale="57" orientation="portrait" r:id="rId7"/>
    </customSheetView>
    <customSheetView guid="{1718F1EE-9F48-4DBE-9531-3B70F9C4A5DD}" scale="70" showPageBreaks="1" printArea="1" hiddenRows="1" view="pageBreakPreview" topLeftCell="A31">
      <selection activeCell="D96" sqref="D96"/>
      <pageMargins left="0.7" right="0.7" top="0.75" bottom="0.75" header="0.3" footer="0.3"/>
      <pageSetup paperSize="9" scale="41" orientation="portrait" r:id="rId8"/>
    </customSheetView>
    <customSheetView guid="{61528DAC-5C4C-48F4-ADE2-8A724B05A086}" scale="70" showPageBreaks="1" printArea="1" hiddenRows="1" view="pageBreakPreview">
      <selection activeCell="A2" sqref="A2:F2"/>
      <pageMargins left="0.70866141732283472" right="0.70866141732283472" top="0.74803149606299213" bottom="0.74803149606299213" header="0.31496062992125984" footer="0.31496062992125984"/>
      <pageSetup paperSize="9" scale="57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44"/>
  <sheetViews>
    <sheetView view="pageBreakPreview" topLeftCell="A36" zoomScale="70" zoomScaleSheetLayoutView="70" workbookViewId="0">
      <selection activeCell="D88" sqref="D88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6" style="62" customWidth="1"/>
    <col min="5" max="5" width="10.28515625" style="62" customWidth="1"/>
    <col min="6" max="6" width="9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3" t="s">
        <v>423</v>
      </c>
      <c r="B1" s="543"/>
      <c r="C1" s="543"/>
      <c r="D1" s="543"/>
      <c r="E1" s="543"/>
      <c r="F1" s="543"/>
    </row>
    <row r="2" spans="1:6">
      <c r="A2" s="543"/>
      <c r="B2" s="543"/>
      <c r="C2" s="543"/>
      <c r="D2" s="543"/>
      <c r="E2" s="543"/>
      <c r="F2" s="543"/>
    </row>
    <row r="3" spans="1:6" ht="63">
      <c r="A3" s="2" t="s">
        <v>0</v>
      </c>
      <c r="B3" s="2" t="s">
        <v>1</v>
      </c>
      <c r="C3" s="72" t="s">
        <v>382</v>
      </c>
      <c r="D3" s="73" t="s">
        <v>403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1040.5999999999999</v>
      </c>
      <c r="D4" s="5">
        <f>D5+D12+D14+D17+D7</f>
        <v>1071.6191699999999</v>
      </c>
      <c r="E4" s="5">
        <f>SUM(D4/C4*100)</f>
        <v>102.98089275418027</v>
      </c>
      <c r="F4" s="5">
        <f>SUM(D4-C4)</f>
        <v>31.019170000000031</v>
      </c>
    </row>
    <row r="5" spans="1:6" s="6" customFormat="1">
      <c r="A5" s="68">
        <v>1010000000</v>
      </c>
      <c r="B5" s="67" t="s">
        <v>5</v>
      </c>
      <c r="C5" s="5">
        <f>C6</f>
        <v>74.3</v>
      </c>
      <c r="D5" s="5">
        <f>D6</f>
        <v>60.738630000000001</v>
      </c>
      <c r="E5" s="5">
        <f t="shared" ref="E5:E51" si="0">SUM(D5/C5*100)</f>
        <v>81.747819650067299</v>
      </c>
      <c r="F5" s="5">
        <f t="shared" ref="F5:F51" si="1">SUM(D5-C5)</f>
        <v>-13.561369999999997</v>
      </c>
    </row>
    <row r="6" spans="1:6">
      <c r="A6" s="7">
        <v>1010200001</v>
      </c>
      <c r="B6" s="8" t="s">
        <v>209</v>
      </c>
      <c r="C6" s="9">
        <v>74.3</v>
      </c>
      <c r="D6" s="10">
        <v>60.738630000000001</v>
      </c>
      <c r="E6" s="9">
        <f t="shared" ref="E6:E11" si="2">SUM(D6/C6*100)</f>
        <v>81.747819650067299</v>
      </c>
      <c r="F6" s="9">
        <f t="shared" si="1"/>
        <v>-13.561369999999997</v>
      </c>
    </row>
    <row r="7" spans="1:6" ht="31.5">
      <c r="A7" s="3">
        <v>1030000000</v>
      </c>
      <c r="B7" s="13" t="s">
        <v>250</v>
      </c>
      <c r="C7" s="5">
        <f>C8+C10+C9</f>
        <v>386.3</v>
      </c>
      <c r="D7" s="216">
        <f>D8+D10+D9+D11</f>
        <v>366.83571000000006</v>
      </c>
      <c r="E7" s="5">
        <f t="shared" si="2"/>
        <v>94.961353870049209</v>
      </c>
      <c r="F7" s="5">
        <f t="shared" si="1"/>
        <v>-19.464289999999949</v>
      </c>
    </row>
    <row r="8" spans="1:6">
      <c r="A8" s="7">
        <v>1030223001</v>
      </c>
      <c r="B8" s="8" t="s">
        <v>252</v>
      </c>
      <c r="C8" s="9">
        <v>144.09</v>
      </c>
      <c r="D8" s="10">
        <v>169.19848999999999</v>
      </c>
      <c r="E8" s="9">
        <f t="shared" si="2"/>
        <v>117.42556041363036</v>
      </c>
      <c r="F8" s="9">
        <f t="shared" si="1"/>
        <v>25.108489999999989</v>
      </c>
    </row>
    <row r="9" spans="1:6">
      <c r="A9" s="7">
        <v>1030224001</v>
      </c>
      <c r="B9" s="8" t="s">
        <v>258</v>
      </c>
      <c r="C9" s="9">
        <v>1.55</v>
      </c>
      <c r="D9" s="10">
        <v>1.2102299999999999</v>
      </c>
      <c r="E9" s="9">
        <f t="shared" si="2"/>
        <v>78.079354838709662</v>
      </c>
      <c r="F9" s="9">
        <f t="shared" si="1"/>
        <v>-0.33977000000000013</v>
      </c>
    </row>
    <row r="10" spans="1:6">
      <c r="A10" s="7">
        <v>1030225001</v>
      </c>
      <c r="B10" s="8" t="s">
        <v>251</v>
      </c>
      <c r="C10" s="9">
        <v>240.66</v>
      </c>
      <c r="D10" s="10">
        <v>227.61949000000001</v>
      </c>
      <c r="E10" s="9">
        <f t="shared" si="2"/>
        <v>94.581355439208849</v>
      </c>
      <c r="F10" s="9">
        <f t="shared" si="1"/>
        <v>-13.040509999999983</v>
      </c>
    </row>
    <row r="11" spans="1:6">
      <c r="A11" s="7">
        <v>1030226001</v>
      </c>
      <c r="B11" s="8" t="s">
        <v>260</v>
      </c>
      <c r="C11" s="9">
        <v>0</v>
      </c>
      <c r="D11" s="10">
        <v>-31.192499999999999</v>
      </c>
      <c r="E11" s="9" t="e">
        <f t="shared" si="2"/>
        <v>#DIV/0!</v>
      </c>
      <c r="F11" s="9">
        <f t="shared" si="1"/>
        <v>-31.192499999999999</v>
      </c>
    </row>
    <row r="12" spans="1:6" s="6" customFormat="1">
      <c r="A12" s="68">
        <v>1050000000</v>
      </c>
      <c r="B12" s="67" t="s">
        <v>6</v>
      </c>
      <c r="C12" s="5">
        <f>SUM(C13:C13)</f>
        <v>5</v>
      </c>
      <c r="D12" s="5">
        <f>SUM(D13:D13)</f>
        <v>7.4431700000000003</v>
      </c>
      <c r="E12" s="5">
        <f t="shared" si="0"/>
        <v>148.86340000000001</v>
      </c>
      <c r="F12" s="5">
        <f t="shared" si="1"/>
        <v>2.4431700000000003</v>
      </c>
    </row>
    <row r="13" spans="1:6" ht="15.75" customHeight="1">
      <c r="A13" s="7">
        <v>1050300000</v>
      </c>
      <c r="B13" s="11" t="s">
        <v>210</v>
      </c>
      <c r="C13" s="12">
        <v>5</v>
      </c>
      <c r="D13" s="10">
        <v>7.4431700000000003</v>
      </c>
      <c r="E13" s="9">
        <f t="shared" si="0"/>
        <v>148.86340000000001</v>
      </c>
      <c r="F13" s="9">
        <f t="shared" si="1"/>
        <v>2.4431700000000003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570</v>
      </c>
      <c r="D14" s="5">
        <f>D15+D16</f>
        <v>631.90165999999999</v>
      </c>
      <c r="E14" s="5">
        <f t="shared" si="0"/>
        <v>110.85994035087718</v>
      </c>
      <c r="F14" s="5">
        <f t="shared" si="1"/>
        <v>61.901659999999993</v>
      </c>
    </row>
    <row r="15" spans="1:6" s="6" customFormat="1" ht="15.75" customHeight="1">
      <c r="A15" s="7">
        <v>1060100000</v>
      </c>
      <c r="B15" s="11" t="s">
        <v>8</v>
      </c>
      <c r="C15" s="9">
        <v>190</v>
      </c>
      <c r="D15" s="10">
        <v>247.50265999999999</v>
      </c>
      <c r="E15" s="9">
        <f t="shared" si="0"/>
        <v>130.26455789473684</v>
      </c>
      <c r="F15" s="9">
        <f>SUM(D15-C15)</f>
        <v>57.502659999999992</v>
      </c>
    </row>
    <row r="16" spans="1:6" ht="15.75" customHeight="1">
      <c r="A16" s="7">
        <v>1060600000</v>
      </c>
      <c r="B16" s="11" t="s">
        <v>7</v>
      </c>
      <c r="C16" s="9">
        <v>380</v>
      </c>
      <c r="D16" s="10">
        <v>384.399</v>
      </c>
      <c r="E16" s="9">
        <f t="shared" si="0"/>
        <v>101.15763157894737</v>
      </c>
      <c r="F16" s="9">
        <f t="shared" si="1"/>
        <v>4.3990000000000009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4.7</v>
      </c>
      <c r="E17" s="5">
        <f t="shared" si="0"/>
        <v>94</v>
      </c>
      <c r="F17" s="5">
        <f t="shared" si="1"/>
        <v>-0.29999999999999982</v>
      </c>
    </row>
    <row r="18" spans="1:6" ht="18" customHeight="1">
      <c r="A18" s="7">
        <v>1080400001</v>
      </c>
      <c r="B18" s="8" t="s">
        <v>208</v>
      </c>
      <c r="C18" s="9">
        <v>5</v>
      </c>
      <c r="D18" s="10">
        <v>4.7</v>
      </c>
      <c r="E18" s="9">
        <f t="shared" si="0"/>
        <v>94</v>
      </c>
      <c r="F18" s="9">
        <f t="shared" si="1"/>
        <v>-0.29999999999999982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7.7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77</v>
      </c>
      <c r="D25" s="5">
        <f>D26+D29+D36+D34</f>
        <v>86.184460000000001</v>
      </c>
      <c r="E25" s="5">
        <f t="shared" si="0"/>
        <v>111.92787012987013</v>
      </c>
      <c r="F25" s="5">
        <f t="shared" si="1"/>
        <v>9.1844600000000014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77</v>
      </c>
      <c r="D26" s="5">
        <f>D27</f>
        <v>81.582239999999999</v>
      </c>
      <c r="E26" s="5">
        <f t="shared" si="0"/>
        <v>105.95096103896104</v>
      </c>
      <c r="F26" s="5">
        <f t="shared" si="1"/>
        <v>4.5822399999999988</v>
      </c>
    </row>
    <row r="27" spans="1:6" ht="18" customHeight="1">
      <c r="A27" s="16">
        <v>1110502510</v>
      </c>
      <c r="B27" s="17" t="s">
        <v>206</v>
      </c>
      <c r="C27" s="12">
        <v>77</v>
      </c>
      <c r="D27" s="10">
        <v>81.582239999999999</v>
      </c>
      <c r="E27" s="9">
        <f t="shared" si="0"/>
        <v>105.95096103896104</v>
      </c>
      <c r="F27" s="9">
        <f t="shared" si="1"/>
        <v>4.5822399999999988</v>
      </c>
    </row>
    <row r="28" spans="1:6" ht="23.25" customHeight="1">
      <c r="A28" s="7">
        <v>1110503505</v>
      </c>
      <c r="B28" s="11" t="s">
        <v>205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0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27.75" customHeight="1">
      <c r="A30" s="7">
        <v>1130305005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3.25" customHeight="1">
      <c r="A31" s="70">
        <v>1140000000</v>
      </c>
      <c r="B31" s="71" t="s">
        <v>129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3.25" customHeight="1">
      <c r="A32" s="16">
        <v>1140200000</v>
      </c>
      <c r="B32" s="18" t="s">
        <v>130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23.25" customHeight="1">
      <c r="A33" s="7">
        <v>1140600000</v>
      </c>
      <c r="B33" s="8" t="s">
        <v>203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7.25" customHeight="1">
      <c r="A34" s="3">
        <v>1160000000</v>
      </c>
      <c r="B34" s="13" t="s">
        <v>393</v>
      </c>
      <c r="C34" s="9"/>
      <c r="D34" s="14">
        <f>SUM(D35)</f>
        <v>4.60222</v>
      </c>
      <c r="E34" s="9"/>
      <c r="F34" s="9"/>
    </row>
    <row r="35" spans="1:7" ht="39.75" customHeight="1">
      <c r="A35" s="7">
        <v>1160700001</v>
      </c>
      <c r="B35" s="8" t="s">
        <v>394</v>
      </c>
      <c r="C35" s="9"/>
      <c r="D35" s="10">
        <v>4.60222</v>
      </c>
      <c r="E35" s="9"/>
      <c r="F35" s="9"/>
    </row>
    <row r="36" spans="1:7" ht="18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5" customHeight="1">
      <c r="A37" s="7">
        <v>1170105005</v>
      </c>
      <c r="B37" s="8" t="s">
        <v>15</v>
      </c>
      <c r="C37" s="9">
        <v>0</v>
      </c>
      <c r="D37" s="9"/>
      <c r="E37" s="9" t="e">
        <f t="shared" si="0"/>
        <v>#DIV/0!</v>
      </c>
      <c r="F37" s="9">
        <f t="shared" si="1"/>
        <v>0</v>
      </c>
    </row>
    <row r="38" spans="1:7" ht="18" customHeight="1">
      <c r="A38" s="7">
        <v>1170505005</v>
      </c>
      <c r="B38" s="11" t="s">
        <v>201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8.75" customHeight="1">
      <c r="A39" s="3">
        <v>1000000000</v>
      </c>
      <c r="B39" s="4" t="s">
        <v>16</v>
      </c>
      <c r="C39" s="123">
        <f>SUM(C4,C25)</f>
        <v>1117.5999999999999</v>
      </c>
      <c r="D39" s="123">
        <f>D4+D25</f>
        <v>1157.8036299999999</v>
      </c>
      <c r="E39" s="5">
        <f t="shared" si="0"/>
        <v>103.59731836077309</v>
      </c>
      <c r="F39" s="5">
        <f t="shared" si="1"/>
        <v>40.203629999999976</v>
      </c>
    </row>
    <row r="40" spans="1:7" s="6" customFormat="1">
      <c r="A40" s="3">
        <v>2000000000</v>
      </c>
      <c r="B40" s="4" t="s">
        <v>17</v>
      </c>
      <c r="C40" s="5">
        <f>C41+C43+C44+C45+C46+C47</f>
        <v>4428.84998</v>
      </c>
      <c r="D40" s="5">
        <f>D41+D43+D44+D45+D47+D46</f>
        <v>4429.09339</v>
      </c>
      <c r="E40" s="5">
        <f t="shared" si="0"/>
        <v>100.00549600914684</v>
      </c>
      <c r="F40" s="5">
        <f t="shared" si="1"/>
        <v>0.24341000000003987</v>
      </c>
      <c r="G40" s="19"/>
    </row>
    <row r="41" spans="1:7" ht="14.25" customHeight="1">
      <c r="A41" s="16">
        <v>2021000000</v>
      </c>
      <c r="B41" s="17" t="s">
        <v>18</v>
      </c>
      <c r="C41" s="95">
        <v>1358.5</v>
      </c>
      <c r="D41" s="95">
        <v>1358.5</v>
      </c>
      <c r="E41" s="9">
        <f t="shared" si="0"/>
        <v>100</v>
      </c>
      <c r="F41" s="9">
        <f t="shared" si="1"/>
        <v>0</v>
      </c>
    </row>
    <row r="42" spans="1:7" ht="15.75" hidden="1" customHeight="1">
      <c r="A42" s="16">
        <v>2020100310</v>
      </c>
      <c r="B42" s="17" t="s">
        <v>212</v>
      </c>
      <c r="C42" s="95"/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2021500200</v>
      </c>
      <c r="B43" s="17" t="s">
        <v>212</v>
      </c>
      <c r="C43" s="95">
        <v>546</v>
      </c>
      <c r="D43" s="20">
        <v>546</v>
      </c>
      <c r="E43" s="9">
        <f t="shared" si="0"/>
        <v>100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95">
        <v>1905.40939</v>
      </c>
      <c r="D44" s="10">
        <v>1905.40939</v>
      </c>
      <c r="E44" s="9">
        <f t="shared" si="0"/>
        <v>100</v>
      </c>
      <c r="F44" s="9">
        <f t="shared" si="1"/>
        <v>0</v>
      </c>
    </row>
    <row r="45" spans="1:7" ht="17.25" customHeight="1">
      <c r="A45" s="16">
        <v>2023000000</v>
      </c>
      <c r="B45" s="17" t="s">
        <v>20</v>
      </c>
      <c r="C45" s="12">
        <v>99.183999999999997</v>
      </c>
      <c r="D45" s="175">
        <v>99.183999999999997</v>
      </c>
      <c r="E45" s="9">
        <f t="shared" si="0"/>
        <v>100</v>
      </c>
      <c r="F45" s="9">
        <f t="shared" si="1"/>
        <v>0</v>
      </c>
    </row>
    <row r="46" spans="1:7" ht="13.5" customHeight="1">
      <c r="A46" s="16">
        <v>2020400000</v>
      </c>
      <c r="B46" s="17" t="s">
        <v>21</v>
      </c>
      <c r="C46" s="12">
        <v>400</v>
      </c>
      <c r="D46" s="176">
        <v>400</v>
      </c>
      <c r="E46" s="9">
        <f t="shared" si="0"/>
        <v>100</v>
      </c>
      <c r="F46" s="9">
        <f t="shared" si="1"/>
        <v>0</v>
      </c>
    </row>
    <row r="47" spans="1:7" ht="14.25" customHeight="1">
      <c r="A47" s="16">
        <v>2070500010</v>
      </c>
      <c r="B47" s="8" t="s">
        <v>315</v>
      </c>
      <c r="C47" s="12">
        <v>119.75659</v>
      </c>
      <c r="D47" s="176">
        <v>120</v>
      </c>
      <c r="E47" s="9">
        <f t="shared" si="0"/>
        <v>100.20325395036716</v>
      </c>
      <c r="F47" s="9">
        <f t="shared" si="1"/>
        <v>0.24340999999999724</v>
      </c>
    </row>
    <row r="48" spans="1:7" ht="14.25" hidden="1" customHeight="1">
      <c r="A48" s="7">
        <v>2190500005</v>
      </c>
      <c r="B48" s="11" t="s">
        <v>23</v>
      </c>
      <c r="C48" s="14"/>
      <c r="D48" s="14"/>
      <c r="E48" s="5"/>
      <c r="F48" s="5">
        <f>SUM(D48-C48)</f>
        <v>0</v>
      </c>
    </row>
    <row r="49" spans="1:8" s="6" customFormat="1" ht="16.5" hidden="1" customHeight="1">
      <c r="A49" s="3">
        <v>3000000000</v>
      </c>
      <c r="B49" s="13" t="s">
        <v>24</v>
      </c>
      <c r="C49" s="179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21" hidden="1" customHeight="1">
      <c r="A50" s="3">
        <v>2190500010</v>
      </c>
      <c r="B50" s="13" t="s">
        <v>295</v>
      </c>
      <c r="C50" s="179">
        <v>0</v>
      </c>
      <c r="D50" s="14">
        <v>0</v>
      </c>
      <c r="E50" s="5"/>
      <c r="F50" s="5"/>
    </row>
    <row r="51" spans="1:8" s="6" customFormat="1" ht="16.5" customHeight="1">
      <c r="A51" s="3"/>
      <c r="B51" s="4" t="s">
        <v>25</v>
      </c>
      <c r="C51" s="445">
        <f>C39+C40</f>
        <v>5546.4499799999994</v>
      </c>
      <c r="D51" s="445">
        <f>D39+D40</f>
        <v>5586.8970200000003</v>
      </c>
      <c r="E51" s="5">
        <f t="shared" si="0"/>
        <v>100.72924195018163</v>
      </c>
      <c r="F51" s="5">
        <f t="shared" si="1"/>
        <v>40.447040000000925</v>
      </c>
      <c r="G51" s="188"/>
      <c r="H51" s="231"/>
    </row>
    <row r="52" spans="1:8" s="6" customFormat="1" ht="15.75" customHeight="1">
      <c r="A52" s="3"/>
      <c r="B52" s="21" t="s">
        <v>290</v>
      </c>
      <c r="C52" s="182">
        <f>C51-C98</f>
        <v>-517.66025000000081</v>
      </c>
      <c r="D52" s="182">
        <f>D51-D98</f>
        <v>-226.43202000000019</v>
      </c>
      <c r="E52" s="22"/>
      <c r="F52" s="22"/>
    </row>
    <row r="53" spans="1:8">
      <c r="A53" s="23"/>
      <c r="B53" s="24"/>
      <c r="C53" s="111"/>
      <c r="D53" s="25"/>
      <c r="E53" s="26"/>
      <c r="F53" s="27"/>
    </row>
    <row r="54" spans="1:8" ht="32.25" customHeight="1">
      <c r="A54" s="28" t="s">
        <v>0</v>
      </c>
      <c r="B54" s="28" t="s">
        <v>26</v>
      </c>
      <c r="C54" s="172" t="s">
        <v>382</v>
      </c>
      <c r="D54" s="73" t="s">
        <v>403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5">
        <v>3</v>
      </c>
      <c r="D55" s="85">
        <v>4</v>
      </c>
      <c r="E55" s="85">
        <v>5</v>
      </c>
      <c r="F55" s="85">
        <v>6</v>
      </c>
    </row>
    <row r="56" spans="1:8" s="6" customFormat="1" ht="16.5" customHeight="1">
      <c r="A56" s="30" t="s">
        <v>27</v>
      </c>
      <c r="B56" s="31" t="s">
        <v>28</v>
      </c>
      <c r="C56" s="32">
        <f>C57+C58+C59+C60+C61+C63+C62</f>
        <v>1172.2950000000001</v>
      </c>
      <c r="D56" s="33">
        <f>SUM(D58:D63)</f>
        <v>1134.7818600000001</v>
      </c>
      <c r="E56" s="34">
        <f>SUM(D56/C56*100)</f>
        <v>96.800025590828241</v>
      </c>
      <c r="F56" s="34">
        <f>SUM(D56-C56)</f>
        <v>-37.513140000000021</v>
      </c>
    </row>
    <row r="57" spans="1:8" s="6" customFormat="1" ht="17.2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8" ht="20.25" customHeight="1">
      <c r="A58" s="35" t="s">
        <v>31</v>
      </c>
      <c r="B58" s="39" t="s">
        <v>32</v>
      </c>
      <c r="C58" s="37">
        <v>1142.7950000000001</v>
      </c>
      <c r="D58" s="37">
        <v>1110.2818600000001</v>
      </c>
      <c r="E58" s="38">
        <f>SUM(D58/C58*100)</f>
        <v>97.154945550164285</v>
      </c>
      <c r="F58" s="38">
        <f t="shared" ref="F58:F98" si="3">SUM(D58-C58)</f>
        <v>-32.513140000000021</v>
      </c>
    </row>
    <row r="59" spans="1:8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3"/>
        <v>0</v>
      </c>
    </row>
    <row r="60" spans="1:8" ht="17.25" hidden="1" customHeight="1">
      <c r="A60" s="35" t="s">
        <v>35</v>
      </c>
      <c r="B60" s="39" t="s">
        <v>36</v>
      </c>
      <c r="C60" s="37"/>
      <c r="D60" s="37"/>
      <c r="E60" s="38" t="e">
        <f t="shared" ref="E60:E98" si="4">SUM(D60/C60*100)</f>
        <v>#DIV/0!</v>
      </c>
      <c r="F60" s="38">
        <f t="shared" si="3"/>
        <v>0</v>
      </c>
    </row>
    <row r="61" spans="1:8" ht="17.25" customHeight="1">
      <c r="A61" s="35" t="s">
        <v>37</v>
      </c>
      <c r="B61" s="39" t="s">
        <v>38</v>
      </c>
      <c r="C61" s="37">
        <v>19</v>
      </c>
      <c r="D61" s="37">
        <v>19</v>
      </c>
      <c r="E61" s="38">
        <f t="shared" si="4"/>
        <v>100</v>
      </c>
      <c r="F61" s="38">
        <f t="shared" si="3"/>
        <v>0</v>
      </c>
    </row>
    <row r="62" spans="1:8" ht="15.75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4"/>
        <v>0</v>
      </c>
      <c r="F62" s="38">
        <f t="shared" si="3"/>
        <v>-5</v>
      </c>
    </row>
    <row r="63" spans="1:8" ht="17.25" customHeight="1">
      <c r="A63" s="35" t="s">
        <v>41</v>
      </c>
      <c r="B63" s="39" t="s">
        <v>42</v>
      </c>
      <c r="C63" s="37">
        <v>5.5</v>
      </c>
      <c r="D63" s="37">
        <v>5.5</v>
      </c>
      <c r="E63" s="38">
        <f t="shared" si="4"/>
        <v>100</v>
      </c>
      <c r="F63" s="38">
        <f t="shared" si="3"/>
        <v>0</v>
      </c>
    </row>
    <row r="64" spans="1:8" s="6" customFormat="1" ht="17.850000000000001" customHeight="1">
      <c r="A64" s="41" t="s">
        <v>43</v>
      </c>
      <c r="B64" s="42" t="s">
        <v>44</v>
      </c>
      <c r="C64" s="32">
        <f>C65</f>
        <v>99.183999999999997</v>
      </c>
      <c r="D64" s="32">
        <f>D65</f>
        <v>99.183999999999997</v>
      </c>
      <c r="E64" s="34">
        <f t="shared" si="4"/>
        <v>100</v>
      </c>
      <c r="F64" s="34">
        <f t="shared" si="3"/>
        <v>0</v>
      </c>
    </row>
    <row r="65" spans="1:7" ht="17.850000000000001" customHeight="1">
      <c r="A65" s="43" t="s">
        <v>45</v>
      </c>
      <c r="B65" s="44" t="s">
        <v>46</v>
      </c>
      <c r="C65" s="37">
        <v>99.183999999999997</v>
      </c>
      <c r="D65" s="37">
        <v>99.183999999999997</v>
      </c>
      <c r="E65" s="38">
        <f t="shared" si="4"/>
        <v>100</v>
      </c>
      <c r="F65" s="38">
        <f t="shared" si="3"/>
        <v>0</v>
      </c>
    </row>
    <row r="66" spans="1:7" s="6" customFormat="1" ht="17.25" customHeight="1">
      <c r="A66" s="30" t="s">
        <v>47</v>
      </c>
      <c r="B66" s="31" t="s">
        <v>48</v>
      </c>
      <c r="C66" s="32">
        <f>C69+C70+C71</f>
        <v>7</v>
      </c>
      <c r="D66" s="32">
        <f>SUM(D69+D70+D71)</f>
        <v>6.8219099999999999</v>
      </c>
      <c r="E66" s="34">
        <f t="shared" si="4"/>
        <v>97.455857142857141</v>
      </c>
      <c r="F66" s="34">
        <f t="shared" si="3"/>
        <v>-0.17809000000000008</v>
      </c>
    </row>
    <row r="67" spans="1:7" ht="17.25" hidden="1" customHeight="1">
      <c r="A67" s="35" t="s">
        <v>49</v>
      </c>
      <c r="B67" s="39" t="s">
        <v>50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7.25" hidden="1" customHeight="1">
      <c r="A68" s="45" t="s">
        <v>51</v>
      </c>
      <c r="B68" s="39" t="s">
        <v>52</v>
      </c>
      <c r="C68" s="37"/>
      <c r="D68" s="37"/>
      <c r="E68" s="34" t="e">
        <f t="shared" si="4"/>
        <v>#DIV/0!</v>
      </c>
      <c r="F68" s="34">
        <f t="shared" si="3"/>
        <v>0</v>
      </c>
    </row>
    <row r="69" spans="1:7" ht="18" customHeight="1">
      <c r="A69" s="46" t="s">
        <v>53</v>
      </c>
      <c r="B69" s="47" t="s">
        <v>54</v>
      </c>
      <c r="C69" s="37">
        <v>3</v>
      </c>
      <c r="D69" s="37">
        <v>2.8219099999999999</v>
      </c>
      <c r="E69" s="34">
        <f t="shared" si="4"/>
        <v>94.063666666666663</v>
      </c>
      <c r="F69" s="34">
        <f t="shared" si="3"/>
        <v>-0.17809000000000008</v>
      </c>
    </row>
    <row r="70" spans="1:7" ht="18" customHeight="1">
      <c r="A70" s="46" t="s">
        <v>199</v>
      </c>
      <c r="B70" s="47" t="s">
        <v>200</v>
      </c>
      <c r="C70" s="37">
        <v>2</v>
      </c>
      <c r="D70" s="37">
        <v>2</v>
      </c>
      <c r="E70" s="38">
        <f t="shared" si="4"/>
        <v>100</v>
      </c>
      <c r="F70" s="38">
        <f t="shared" si="3"/>
        <v>0</v>
      </c>
    </row>
    <row r="71" spans="1:7" ht="18" customHeight="1">
      <c r="A71" s="46" t="s">
        <v>320</v>
      </c>
      <c r="B71" s="47" t="s">
        <v>323</v>
      </c>
      <c r="C71" s="37">
        <v>2</v>
      </c>
      <c r="D71" s="37">
        <v>2</v>
      </c>
      <c r="E71" s="38"/>
      <c r="F71" s="38"/>
    </row>
    <row r="72" spans="1:7" s="6" customFormat="1" ht="15.75" customHeight="1">
      <c r="A72" s="30" t="s">
        <v>55</v>
      </c>
      <c r="B72" s="31" t="s">
        <v>56</v>
      </c>
      <c r="C72" s="48">
        <f>SUM(C73:C76)</f>
        <v>1964.4744300000002</v>
      </c>
      <c r="D72" s="442">
        <f>D73+D74+D75+D76</f>
        <v>1777.2374500000001</v>
      </c>
      <c r="E72" s="34">
        <f t="shared" si="4"/>
        <v>90.468851254022169</v>
      </c>
      <c r="F72" s="34">
        <f t="shared" si="3"/>
        <v>-187.23698000000013</v>
      </c>
    </row>
    <row r="73" spans="1:7" ht="16.5" customHeight="1">
      <c r="A73" s="35" t="s">
        <v>57</v>
      </c>
      <c r="B73" s="39" t="s">
        <v>58</v>
      </c>
      <c r="C73" s="49"/>
      <c r="D73" s="37">
        <v>0</v>
      </c>
      <c r="E73" s="38" t="e">
        <f t="shared" si="4"/>
        <v>#DIV/0!</v>
      </c>
      <c r="F73" s="38">
        <f t="shared" si="3"/>
        <v>0</v>
      </c>
    </row>
    <row r="74" spans="1:7" s="6" customFormat="1" ht="18" customHeight="1">
      <c r="A74" s="35" t="s">
        <v>59</v>
      </c>
      <c r="B74" s="39" t="s">
        <v>60</v>
      </c>
      <c r="C74" s="49">
        <v>23.2</v>
      </c>
      <c r="D74" s="37">
        <v>23.2</v>
      </c>
      <c r="E74" s="38">
        <f t="shared" si="4"/>
        <v>100</v>
      </c>
      <c r="F74" s="38">
        <f t="shared" si="3"/>
        <v>0</v>
      </c>
      <c r="G74" s="50"/>
    </row>
    <row r="75" spans="1:7" ht="17.25" customHeight="1">
      <c r="A75" s="35" t="s">
        <v>61</v>
      </c>
      <c r="B75" s="39" t="s">
        <v>62</v>
      </c>
      <c r="C75" s="49">
        <v>1878.4694300000001</v>
      </c>
      <c r="D75" s="37">
        <v>1745.7332100000001</v>
      </c>
      <c r="E75" s="38">
        <f t="shared" si="4"/>
        <v>92.933809947601858</v>
      </c>
      <c r="F75" s="38">
        <f t="shared" si="3"/>
        <v>-132.73622</v>
      </c>
    </row>
    <row r="76" spans="1:7" ht="15.75" customHeight="1">
      <c r="A76" s="35" t="s">
        <v>63</v>
      </c>
      <c r="B76" s="39" t="s">
        <v>64</v>
      </c>
      <c r="C76" s="49">
        <v>62.805</v>
      </c>
      <c r="D76" s="37">
        <v>8.3042400000000001</v>
      </c>
      <c r="E76" s="38">
        <f t="shared" si="4"/>
        <v>13.222259374253643</v>
      </c>
      <c r="F76" s="38">
        <f t="shared" si="3"/>
        <v>-54.50076</v>
      </c>
    </row>
    <row r="77" spans="1:7" s="6" customFormat="1" ht="18" customHeight="1">
      <c r="A77" s="30" t="s">
        <v>65</v>
      </c>
      <c r="B77" s="31" t="s">
        <v>66</v>
      </c>
      <c r="C77" s="32">
        <f>SUM(C78:C80)</f>
        <v>1582.1037999999999</v>
      </c>
      <c r="D77" s="32">
        <f>SUM(D79:D80)</f>
        <v>1556.49629</v>
      </c>
      <c r="E77" s="34">
        <f t="shared" si="4"/>
        <v>98.381426680095203</v>
      </c>
      <c r="F77" s="34">
        <f t="shared" si="3"/>
        <v>-25.60750999999982</v>
      </c>
    </row>
    <row r="78" spans="1:7" ht="15.75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4"/>
        <v>#DIV/0!</v>
      </c>
      <c r="F78" s="38">
        <f t="shared" si="3"/>
        <v>0</v>
      </c>
    </row>
    <row r="79" spans="1:7" ht="17.25" customHeight="1">
      <c r="A79" s="35" t="s">
        <v>69</v>
      </c>
      <c r="B79" s="51" t="s">
        <v>70</v>
      </c>
      <c r="C79" s="37">
        <v>960.52229999999997</v>
      </c>
      <c r="D79" s="37">
        <v>960.52229</v>
      </c>
      <c r="E79" s="38">
        <f t="shared" si="4"/>
        <v>99.999998958899766</v>
      </c>
      <c r="F79" s="38">
        <f t="shared" si="3"/>
        <v>-9.9999999747524271E-6</v>
      </c>
    </row>
    <row r="80" spans="1:7" ht="17.850000000000001" customHeight="1">
      <c r="A80" s="35" t="s">
        <v>71</v>
      </c>
      <c r="B80" s="39" t="s">
        <v>72</v>
      </c>
      <c r="C80" s="37">
        <v>621.58150000000001</v>
      </c>
      <c r="D80" s="37">
        <v>595.97400000000005</v>
      </c>
      <c r="E80" s="38">
        <f t="shared" si="4"/>
        <v>95.880266706779409</v>
      </c>
      <c r="F80" s="38">
        <f t="shared" si="3"/>
        <v>-25.607499999999959</v>
      </c>
    </row>
    <row r="81" spans="1:6" s="6" customFormat="1" ht="17.850000000000001" customHeight="1">
      <c r="A81" s="30" t="s">
        <v>83</v>
      </c>
      <c r="B81" s="31" t="s">
        <v>84</v>
      </c>
      <c r="C81" s="32">
        <f>C82</f>
        <v>1237.0530000000001</v>
      </c>
      <c r="D81" s="32">
        <f>D82</f>
        <v>1236.80753</v>
      </c>
      <c r="E81" s="34">
        <f t="shared" si="4"/>
        <v>99.980156872825972</v>
      </c>
      <c r="F81" s="34">
        <f t="shared" si="3"/>
        <v>-0.24547000000006847</v>
      </c>
    </row>
    <row r="82" spans="1:6" ht="15" customHeight="1">
      <c r="A82" s="35" t="s">
        <v>85</v>
      </c>
      <c r="B82" s="39" t="s">
        <v>214</v>
      </c>
      <c r="C82" s="37">
        <v>1237.0530000000001</v>
      </c>
      <c r="D82" s="37">
        <v>1236.80753</v>
      </c>
      <c r="E82" s="38">
        <f t="shared" si="4"/>
        <v>99.980156872825972</v>
      </c>
      <c r="F82" s="38">
        <f t="shared" si="3"/>
        <v>-0.24547000000006847</v>
      </c>
    </row>
    <row r="83" spans="1:6" s="6" customFormat="1" ht="0.7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4"/>
        <v>#DIV/0!</v>
      </c>
      <c r="F83" s="34">
        <f t="shared" si="3"/>
        <v>0</v>
      </c>
    </row>
    <row r="84" spans="1:6" ht="0.75" hidden="1" customHeight="1">
      <c r="A84" s="53">
        <v>1001</v>
      </c>
      <c r="B84" s="54" t="s">
        <v>87</v>
      </c>
      <c r="C84" s="37"/>
      <c r="D84" s="37"/>
      <c r="E84" s="38" t="e">
        <f t="shared" si="4"/>
        <v>#DIV/0!</v>
      </c>
      <c r="F84" s="38">
        <f t="shared" si="3"/>
        <v>0</v>
      </c>
    </row>
    <row r="85" spans="1:6" ht="17.2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4"/>
        <v>#DIV/0!</v>
      </c>
      <c r="F85" s="38">
        <f t="shared" si="3"/>
        <v>0</v>
      </c>
    </row>
    <row r="86" spans="1:6" ht="17.25" hidden="1" customHeight="1">
      <c r="A86" s="53">
        <v>1004</v>
      </c>
      <c r="B86" s="54" t="s">
        <v>89</v>
      </c>
      <c r="C86" s="37"/>
      <c r="D86" s="55"/>
      <c r="E86" s="38" t="e">
        <f t="shared" si="4"/>
        <v>#DIV/0!</v>
      </c>
      <c r="F86" s="38">
        <f t="shared" si="3"/>
        <v>0</v>
      </c>
    </row>
    <row r="87" spans="1:6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3"/>
        <v>0</v>
      </c>
    </row>
    <row r="88" spans="1:6" ht="17.850000000000001" customHeight="1">
      <c r="A88" s="30" t="s">
        <v>92</v>
      </c>
      <c r="B88" s="31" t="s">
        <v>93</v>
      </c>
      <c r="C88" s="32">
        <f>C89+C90+C91+C92+C93</f>
        <v>2</v>
      </c>
      <c r="D88" s="32">
        <f>D89+D90+D91+D92+D93</f>
        <v>2</v>
      </c>
      <c r="E88" s="38">
        <f t="shared" si="4"/>
        <v>100</v>
      </c>
      <c r="F88" s="22">
        <f>F89+F90+F91+F92+F93</f>
        <v>0</v>
      </c>
    </row>
    <row r="89" spans="1:6" ht="17.25" customHeight="1">
      <c r="A89" s="35" t="s">
        <v>94</v>
      </c>
      <c r="B89" s="39" t="s">
        <v>95</v>
      </c>
      <c r="C89" s="37">
        <v>2</v>
      </c>
      <c r="D89" s="37">
        <v>2</v>
      </c>
      <c r="E89" s="38">
        <f t="shared" si="4"/>
        <v>100</v>
      </c>
      <c r="F89" s="38">
        <f>SUM(D89-C89)</f>
        <v>0</v>
      </c>
    </row>
    <row r="90" spans="1:6" ht="15.75" hidden="1" customHeight="1">
      <c r="A90" s="35" t="s">
        <v>96</v>
      </c>
      <c r="B90" s="39" t="s">
        <v>97</v>
      </c>
      <c r="C90" s="37"/>
      <c r="D90" s="37"/>
      <c r="E90" s="38" t="e">
        <f t="shared" si="4"/>
        <v>#DIV/0!</v>
      </c>
      <c r="F90" s="38">
        <f>SUM(D90-C90)</f>
        <v>0</v>
      </c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4"/>
        <v>#DIV/0!</v>
      </c>
      <c r="F92" s="38"/>
    </row>
    <row r="93" spans="1:6" ht="15.75" hidden="1" customHeight="1">
      <c r="A93" s="35" t="s">
        <v>102</v>
      </c>
      <c r="B93" s="39" t="s">
        <v>103</v>
      </c>
      <c r="C93" s="37"/>
      <c r="D93" s="37"/>
      <c r="E93" s="38" t="e">
        <f t="shared" si="4"/>
        <v>#DIV/0!</v>
      </c>
      <c r="F93" s="38"/>
    </row>
    <row r="94" spans="1:6" s="6" customFormat="1" ht="15.7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4"/>
        <v>#DIV/0!</v>
      </c>
      <c r="F94" s="34">
        <f t="shared" si="3"/>
        <v>0</v>
      </c>
    </row>
    <row r="95" spans="1:6" ht="15.75" hidden="1" customHeight="1">
      <c r="A95" s="53">
        <v>1401</v>
      </c>
      <c r="B95" s="54" t="s">
        <v>113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8" hidden="1" customHeight="1">
      <c r="A96" s="53">
        <v>1402</v>
      </c>
      <c r="B96" s="54" t="s">
        <v>114</v>
      </c>
      <c r="C96" s="163"/>
      <c r="D96" s="164"/>
      <c r="E96" s="38" t="e">
        <f t="shared" si="4"/>
        <v>#DIV/0!</v>
      </c>
      <c r="F96" s="38">
        <f t="shared" si="3"/>
        <v>0</v>
      </c>
    </row>
    <row r="97" spans="1:8" ht="15.75" hidden="1" customHeight="1">
      <c r="A97" s="53">
        <v>1403</v>
      </c>
      <c r="B97" s="54" t="s">
        <v>115</v>
      </c>
      <c r="C97" s="49">
        <v>0</v>
      </c>
      <c r="D97" s="37">
        <v>0</v>
      </c>
      <c r="E97" s="38" t="e">
        <f t="shared" si="4"/>
        <v>#DIV/0!</v>
      </c>
      <c r="F97" s="38">
        <f t="shared" si="3"/>
        <v>0</v>
      </c>
    </row>
    <row r="98" spans="1:8" s="6" customFormat="1" ht="16.5" customHeight="1">
      <c r="A98" s="52"/>
      <c r="B98" s="57" t="s">
        <v>116</v>
      </c>
      <c r="C98" s="452">
        <f>C56+C64+C66+C72+C77+C81+C83+C88+C94</f>
        <v>6064.1102300000002</v>
      </c>
      <c r="D98" s="440">
        <f>D56+D64+D66+D72+D77+D81+D88</f>
        <v>5813.3290400000005</v>
      </c>
      <c r="E98" s="34">
        <f t="shared" si="4"/>
        <v>95.864501460422829</v>
      </c>
      <c r="F98" s="34">
        <f t="shared" si="3"/>
        <v>-250.7811899999997</v>
      </c>
      <c r="G98" s="231"/>
      <c r="H98" s="231"/>
    </row>
    <row r="99" spans="1:8" ht="20.25" customHeight="1">
      <c r="C99" s="122"/>
      <c r="D99" s="97"/>
    </row>
    <row r="100" spans="1:8" s="65" customFormat="1" ht="13.5" customHeight="1">
      <c r="A100" s="63" t="s">
        <v>117</v>
      </c>
      <c r="B100" s="63"/>
      <c r="C100" s="112"/>
      <c r="D100" s="64"/>
    </row>
    <row r="101" spans="1:8" s="65" customFormat="1" ht="12.75">
      <c r="A101" s="66" t="s">
        <v>118</v>
      </c>
      <c r="B101" s="66"/>
      <c r="C101" s="130" t="s">
        <v>119</v>
      </c>
      <c r="D101" s="130"/>
    </row>
    <row r="102" spans="1:8" ht="5.25" customHeight="1">
      <c r="C102" s="116"/>
    </row>
    <row r="144" hidden="1"/>
  </sheetData>
  <customSheetViews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1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2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3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5"/>
    </customSheetView>
    <customSheetView guid="{B31C8DB7-3E78-4144-A6B5-8DE36DE63F0E}" hiddenRows="1" topLeftCell="A44">
      <selection activeCell="C61" sqref="C61"/>
      <pageMargins left="0.7" right="0.7" top="0.75" bottom="0.75" header="0.3" footer="0.3"/>
      <pageSetup paperSize="9" scale="60" orientation="portrait" r:id="rId6"/>
    </customSheetView>
    <customSheetView guid="{B30CE22D-C12F-4E12-8BB9-3AAE0A6991CC}" scale="70" showPageBreaks="1" hiddenRows="1" view="pageBreakPreview" topLeftCell="A16">
      <selection activeCell="C96" sqref="C96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1718F1EE-9F48-4DBE-9531-3B70F9C4A5DD}" scale="70" showPageBreaks="1" hiddenRows="1" view="pageBreakPreview" topLeftCell="A25">
      <selection activeCell="D80" sqref="D80"/>
      <pageMargins left="0.7" right="0.7" top="0.75" bottom="0.75" header="0.3" footer="0.3"/>
      <pageSetup paperSize="9" scale="42" orientation="portrait" r:id="rId8"/>
    </customSheetView>
    <customSheetView guid="{61528DAC-5C4C-48F4-ADE2-8A724B05A086}" scale="70" showPageBreaks="1" hiddenRows="1" view="pageBreakPreview">
      <selection activeCell="C89" sqref="C89"/>
      <pageMargins left="0.70866141732283472" right="0.70866141732283472" top="0.74803149606299213" bottom="0.74803149606299213" header="0.31496062992125984" footer="0.31496062992125984"/>
      <pageSetup paperSize="9" scale="56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42"/>
  <sheetViews>
    <sheetView view="pageBreakPreview" topLeftCell="A3" zoomScale="70" zoomScaleSheetLayoutView="70" workbookViewId="0">
      <selection activeCell="D17" sqref="D17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42578125" style="1" bestFit="1" customWidth="1"/>
    <col min="8" max="8" width="14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3" t="s">
        <v>424</v>
      </c>
      <c r="B1" s="543"/>
      <c r="C1" s="543"/>
      <c r="D1" s="543"/>
      <c r="E1" s="543"/>
      <c r="F1" s="543"/>
    </row>
    <row r="2" spans="1:6">
      <c r="A2" s="543"/>
      <c r="B2" s="543"/>
      <c r="C2" s="543"/>
      <c r="D2" s="543"/>
      <c r="E2" s="543"/>
      <c r="F2" s="543"/>
    </row>
    <row r="3" spans="1:6" ht="63">
      <c r="A3" s="2" t="s">
        <v>0</v>
      </c>
      <c r="B3" s="2" t="s">
        <v>1</v>
      </c>
      <c r="C3" s="72" t="s">
        <v>382</v>
      </c>
      <c r="D3" s="168" t="s">
        <v>403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C5+C12+C17+C7+C14</f>
        <v>1130.482</v>
      </c>
      <c r="D4" s="5">
        <f>D5+D12+D14+D17+D20+D7</f>
        <v>1064.66382</v>
      </c>
      <c r="E4" s="5">
        <f>SUM(D4/C4*100)</f>
        <v>94.177865724531657</v>
      </c>
      <c r="F4" s="5">
        <f>SUM(D4-C4)</f>
        <v>-65.818179999999984</v>
      </c>
    </row>
    <row r="5" spans="1:6" s="6" customFormat="1">
      <c r="A5" s="68">
        <v>1010000000</v>
      </c>
      <c r="B5" s="67" t="s">
        <v>5</v>
      </c>
      <c r="C5" s="5">
        <f>C6</f>
        <v>106.5</v>
      </c>
      <c r="D5" s="5">
        <f>D6</f>
        <v>103.511</v>
      </c>
      <c r="E5" s="5">
        <f t="shared" ref="E5:E51" si="0">SUM(D5/C5*100)</f>
        <v>97.19342723004695</v>
      </c>
      <c r="F5" s="5">
        <f t="shared" ref="F5:F51" si="1">SUM(D5-C5)</f>
        <v>-2.9890000000000043</v>
      </c>
    </row>
    <row r="6" spans="1:6">
      <c r="A6" s="7">
        <v>1010200001</v>
      </c>
      <c r="B6" s="8" t="s">
        <v>209</v>
      </c>
      <c r="C6" s="9">
        <v>106.5</v>
      </c>
      <c r="D6" s="10">
        <v>103.511</v>
      </c>
      <c r="E6" s="9">
        <f t="shared" ref="E6:E11" si="2">SUM(D6/C6*100)</f>
        <v>97.19342723004695</v>
      </c>
      <c r="F6" s="9">
        <f t="shared" si="1"/>
        <v>-2.9890000000000043</v>
      </c>
    </row>
    <row r="7" spans="1:6" ht="31.5">
      <c r="A7" s="3">
        <v>1030000000</v>
      </c>
      <c r="B7" s="13" t="s">
        <v>250</v>
      </c>
      <c r="C7" s="5">
        <f>C8+C10+C9</f>
        <v>368.5</v>
      </c>
      <c r="D7" s="5">
        <f>D8+D10+D9+D11</f>
        <v>349.94198</v>
      </c>
      <c r="E7" s="9">
        <f t="shared" si="2"/>
        <v>94.963902306648578</v>
      </c>
      <c r="F7" s="9">
        <f t="shared" si="1"/>
        <v>-18.558019999999999</v>
      </c>
    </row>
    <row r="8" spans="1:6">
      <c r="A8" s="7">
        <v>1030223001</v>
      </c>
      <c r="B8" s="8" t="s">
        <v>252</v>
      </c>
      <c r="C8" s="9">
        <v>137.44999999999999</v>
      </c>
      <c r="D8" s="10">
        <v>161.40642</v>
      </c>
      <c r="E8" s="9">
        <f t="shared" si="2"/>
        <v>117.42918879592581</v>
      </c>
      <c r="F8" s="9">
        <f t="shared" si="1"/>
        <v>23.956420000000008</v>
      </c>
    </row>
    <row r="9" spans="1:6">
      <c r="A9" s="7">
        <v>1030224001</v>
      </c>
      <c r="B9" s="8" t="s">
        <v>258</v>
      </c>
      <c r="C9" s="9">
        <v>1.47</v>
      </c>
      <c r="D9" s="10">
        <v>1.1545099999999999</v>
      </c>
      <c r="E9" s="9">
        <f t="shared" si="2"/>
        <v>78.538095238095224</v>
      </c>
      <c r="F9" s="9">
        <f t="shared" si="1"/>
        <v>-0.31549000000000005</v>
      </c>
    </row>
    <row r="10" spans="1:6">
      <c r="A10" s="7">
        <v>1030225001</v>
      </c>
      <c r="B10" s="8" t="s">
        <v>251</v>
      </c>
      <c r="C10" s="9">
        <v>229.58</v>
      </c>
      <c r="D10" s="10">
        <v>217.13703000000001</v>
      </c>
      <c r="E10" s="9">
        <f t="shared" si="2"/>
        <v>94.580115863751203</v>
      </c>
      <c r="F10" s="9">
        <f t="shared" si="1"/>
        <v>-12.442970000000003</v>
      </c>
    </row>
    <row r="11" spans="1:6">
      <c r="A11" s="7">
        <v>1030226001</v>
      </c>
      <c r="B11" s="8" t="s">
        <v>260</v>
      </c>
      <c r="C11" s="9">
        <v>0</v>
      </c>
      <c r="D11" s="10">
        <v>-29.755980000000001</v>
      </c>
      <c r="E11" s="9" t="e">
        <f t="shared" si="2"/>
        <v>#DIV/0!</v>
      </c>
      <c r="F11" s="9">
        <f t="shared" si="1"/>
        <v>-29.755980000000001</v>
      </c>
    </row>
    <row r="12" spans="1:6" s="6" customFormat="1">
      <c r="A12" s="68">
        <v>1050000000</v>
      </c>
      <c r="B12" s="67" t="s">
        <v>6</v>
      </c>
      <c r="C12" s="5">
        <f>SUM(C13:C13)</f>
        <v>70</v>
      </c>
      <c r="D12" s="5">
        <f>SUM(D13:D13)</f>
        <v>46.557000000000002</v>
      </c>
      <c r="E12" s="5">
        <f t="shared" si="0"/>
        <v>66.510000000000005</v>
      </c>
      <c r="F12" s="5">
        <f t="shared" si="1"/>
        <v>-23.442999999999998</v>
      </c>
    </row>
    <row r="13" spans="1:6" ht="15.75" customHeight="1">
      <c r="A13" s="7">
        <v>1050300000</v>
      </c>
      <c r="B13" s="11" t="s">
        <v>210</v>
      </c>
      <c r="C13" s="12">
        <v>70</v>
      </c>
      <c r="D13" s="10">
        <v>46.557000000000002</v>
      </c>
      <c r="E13" s="9">
        <f t="shared" si="0"/>
        <v>66.510000000000005</v>
      </c>
      <c r="F13" s="9">
        <f t="shared" si="1"/>
        <v>-23.442999999999998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580.48199999999997</v>
      </c>
      <c r="D14" s="5">
        <f>D15+D16</f>
        <v>561.00383999999997</v>
      </c>
      <c r="E14" s="9">
        <f t="shared" si="0"/>
        <v>96.644485100313176</v>
      </c>
      <c r="F14" s="9">
        <f t="shared" si="1"/>
        <v>-19.478160000000003</v>
      </c>
    </row>
    <row r="15" spans="1:6" s="6" customFormat="1" ht="15.75" customHeight="1">
      <c r="A15" s="7">
        <v>1060100000</v>
      </c>
      <c r="B15" s="11" t="s">
        <v>8</v>
      </c>
      <c r="C15" s="180">
        <v>95</v>
      </c>
      <c r="D15" s="10">
        <v>90.895899999999997</v>
      </c>
      <c r="E15" s="9">
        <f>SUM(D15/C15*100)</f>
        <v>95.679894736842101</v>
      </c>
      <c r="F15" s="9">
        <f>SUM(D15-C14)</f>
        <v>-489.58609999999999</v>
      </c>
    </row>
    <row r="16" spans="1:6" ht="15.75" customHeight="1">
      <c r="A16" s="7">
        <v>1060600000</v>
      </c>
      <c r="B16" s="11" t="s">
        <v>7</v>
      </c>
      <c r="C16" s="9">
        <v>485.48200000000003</v>
      </c>
      <c r="D16" s="10">
        <v>470.10793999999999</v>
      </c>
      <c r="E16" s="9">
        <f t="shared" si="0"/>
        <v>96.833237895534737</v>
      </c>
      <c r="F16" s="9">
        <f t="shared" si="1"/>
        <v>-15.374060000000043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3.65</v>
      </c>
      <c r="E17" s="5">
        <f t="shared" si="0"/>
        <v>73</v>
      </c>
      <c r="F17" s="5">
        <f t="shared" si="1"/>
        <v>-1.35</v>
      </c>
    </row>
    <row r="18" spans="1:6" ht="18.75" customHeight="1">
      <c r="A18" s="7">
        <v>1080400001</v>
      </c>
      <c r="B18" s="8" t="s">
        <v>208</v>
      </c>
      <c r="C18" s="9">
        <v>5</v>
      </c>
      <c r="D18" s="10">
        <v>3.65</v>
      </c>
      <c r="E18" s="9">
        <f t="shared" si="0"/>
        <v>73</v>
      </c>
      <c r="F18" s="9">
        <f t="shared" si="1"/>
        <v>-1.35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0.75" hidden="1" customHeight="1">
      <c r="A20" s="68">
        <v>1090000000</v>
      </c>
      <c r="B20" s="69" t="s">
        <v>211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hidden="1" customHeight="1">
      <c r="A22" s="7">
        <v>1090400000</v>
      </c>
      <c r="B22" s="8" t="s">
        <v>213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120.6</v>
      </c>
      <c r="D25" s="5">
        <f>D26+D29+D31+D37+D34</f>
        <v>132.16422</v>
      </c>
      <c r="E25" s="5">
        <f t="shared" si="0"/>
        <v>109.58890547263682</v>
      </c>
      <c r="F25" s="5">
        <f t="shared" si="1"/>
        <v>11.564220000000006</v>
      </c>
    </row>
    <row r="26" spans="1:6" s="6" customFormat="1" ht="15.75" customHeight="1">
      <c r="A26" s="68">
        <v>1110000000</v>
      </c>
      <c r="B26" s="69" t="s">
        <v>126</v>
      </c>
      <c r="C26" s="5">
        <f>C27+C28</f>
        <v>85.6</v>
      </c>
      <c r="D26" s="5">
        <f>D27+D28</f>
        <v>85.628799999999998</v>
      </c>
      <c r="E26" s="5">
        <f t="shared" si="0"/>
        <v>100.03364485981309</v>
      </c>
      <c r="F26" s="5">
        <f t="shared" si="1"/>
        <v>2.8800000000003934E-2</v>
      </c>
    </row>
    <row r="27" spans="1:6" ht="15.75" customHeight="1">
      <c r="A27" s="16">
        <v>1110502510</v>
      </c>
      <c r="B27" s="17" t="s">
        <v>206</v>
      </c>
      <c r="C27" s="12">
        <v>85.6</v>
      </c>
      <c r="D27" s="10">
        <v>85.628799999999998</v>
      </c>
      <c r="E27" s="9">
        <f t="shared" si="0"/>
        <v>100.03364485981309</v>
      </c>
      <c r="F27" s="9">
        <f t="shared" si="1"/>
        <v>2.8800000000003934E-2</v>
      </c>
    </row>
    <row r="28" spans="1:6" ht="17.25" customHeight="1">
      <c r="A28" s="7">
        <v>1110503505</v>
      </c>
      <c r="B28" s="11" t="s">
        <v>205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128</v>
      </c>
      <c r="C29" s="5">
        <f>C30</f>
        <v>35</v>
      </c>
      <c r="D29" s="5">
        <f>D30</f>
        <v>25.648710000000001</v>
      </c>
      <c r="E29" s="5">
        <f t="shared" si="0"/>
        <v>73.282028571428569</v>
      </c>
      <c r="F29" s="5">
        <f t="shared" si="1"/>
        <v>-9.3512899999999988</v>
      </c>
    </row>
    <row r="30" spans="1:6" ht="17.25" customHeight="1">
      <c r="A30" s="7">
        <v>1130206005</v>
      </c>
      <c r="B30" s="8" t="s">
        <v>204</v>
      </c>
      <c r="C30" s="9">
        <v>35</v>
      </c>
      <c r="D30" s="10">
        <v>25.648710000000001</v>
      </c>
      <c r="E30" s="9">
        <f t="shared" si="0"/>
        <v>73.282028571428569</v>
      </c>
      <c r="F30" s="9">
        <f t="shared" si="1"/>
        <v>-9.3512899999999988</v>
      </c>
    </row>
    <row r="31" spans="1:6" ht="22.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hidden="1" customHeight="1">
      <c r="A32" s="16">
        <v>1140200000</v>
      </c>
      <c r="B32" s="18" t="s">
        <v>202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203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9.5" customHeight="1">
      <c r="A34" s="3">
        <v>1160000000</v>
      </c>
      <c r="B34" s="13" t="s">
        <v>225</v>
      </c>
      <c r="C34" s="14">
        <f>C35</f>
        <v>0</v>
      </c>
      <c r="D34" s="14">
        <f>D35+D36</f>
        <v>20.886710000000001</v>
      </c>
      <c r="E34" s="14" t="e">
        <f>E35</f>
        <v>#DIV/0!</v>
      </c>
      <c r="F34" s="14">
        <f>F35</f>
        <v>0</v>
      </c>
    </row>
    <row r="35" spans="1:7" ht="37.5" customHeight="1">
      <c r="A35" s="7">
        <v>1160701000</v>
      </c>
      <c r="B35" s="8" t="s">
        <v>397</v>
      </c>
      <c r="C35" s="9">
        <v>0</v>
      </c>
      <c r="D35" s="10">
        <v>20.886710000000001</v>
      </c>
      <c r="E35" s="10" t="e">
        <f>E37</f>
        <v>#DIV/0!</v>
      </c>
      <c r="F35" s="10">
        <f>F37</f>
        <v>0</v>
      </c>
    </row>
    <row r="36" spans="1:7" ht="17.25" customHeight="1">
      <c r="A36" s="7">
        <v>1169005010</v>
      </c>
      <c r="B36" s="8"/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201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16</v>
      </c>
      <c r="C40" s="123">
        <f>SUM(C4,C25)</f>
        <v>1251.0819999999999</v>
      </c>
      <c r="D40" s="123">
        <f>D4+D25</f>
        <v>1196.8280399999999</v>
      </c>
      <c r="E40" s="5">
        <f t="shared" si="0"/>
        <v>95.663436928994258</v>
      </c>
      <c r="F40" s="5">
        <f t="shared" si="1"/>
        <v>-54.253960000000006</v>
      </c>
    </row>
    <row r="41" spans="1:7" s="6" customFormat="1">
      <c r="A41" s="3">
        <v>2000000000</v>
      </c>
      <c r="B41" s="4" t="s">
        <v>17</v>
      </c>
      <c r="C41" s="216">
        <f>C42+C44+C45+C46+C47+C48+C43+C50</f>
        <v>8679.1323200000024</v>
      </c>
      <c r="D41" s="5">
        <f>D42+D44+D45+D46+D47+D48+D43+D50</f>
        <v>6005.5221800000008</v>
      </c>
      <c r="E41" s="5">
        <f t="shared" si="0"/>
        <v>69.194960493470148</v>
      </c>
      <c r="F41" s="5">
        <f t="shared" si="1"/>
        <v>-2673.6101400000016</v>
      </c>
      <c r="G41" s="19"/>
    </row>
    <row r="42" spans="1:7" ht="16.5" customHeight="1">
      <c r="A42" s="16">
        <v>2021000000</v>
      </c>
      <c r="B42" s="17" t="s">
        <v>18</v>
      </c>
      <c r="C42" s="12">
        <v>2064.4</v>
      </c>
      <c r="D42" s="12">
        <v>2064.4</v>
      </c>
      <c r="E42" s="9">
        <f t="shared" si="0"/>
        <v>100</v>
      </c>
      <c r="F42" s="9">
        <f t="shared" si="1"/>
        <v>0</v>
      </c>
    </row>
    <row r="43" spans="1:7" ht="17.25" customHeight="1">
      <c r="A43" s="16">
        <v>2021500200</v>
      </c>
      <c r="B43" s="17" t="s">
        <v>212</v>
      </c>
      <c r="C43" s="12">
        <v>200</v>
      </c>
      <c r="D43" s="20">
        <v>200</v>
      </c>
      <c r="E43" s="9">
        <f t="shared" si="0"/>
        <v>100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5581.0651200000002</v>
      </c>
      <c r="D44" s="10">
        <v>2890.33718</v>
      </c>
      <c r="E44" s="9">
        <f>SUM(D44/C44*100)</f>
        <v>51.788271913229345</v>
      </c>
      <c r="F44" s="9">
        <f t="shared" si="1"/>
        <v>-2690.7279400000002</v>
      </c>
    </row>
    <row r="45" spans="1:7" ht="15" customHeight="1">
      <c r="A45" s="16">
        <v>2023000000</v>
      </c>
      <c r="B45" s="17" t="s">
        <v>20</v>
      </c>
      <c r="C45" s="12">
        <v>99.185000000000002</v>
      </c>
      <c r="D45" s="175">
        <v>99.185000000000002</v>
      </c>
      <c r="E45" s="9">
        <f t="shared" si="0"/>
        <v>100</v>
      </c>
      <c r="F45" s="9">
        <f t="shared" si="1"/>
        <v>0</v>
      </c>
    </row>
    <row r="46" spans="1:7" ht="20.25" customHeight="1">
      <c r="A46" s="16">
        <v>2020400000</v>
      </c>
      <c r="B46" s="17" t="s">
        <v>21</v>
      </c>
      <c r="C46" s="12">
        <v>700</v>
      </c>
      <c r="D46" s="176">
        <v>700</v>
      </c>
      <c r="E46" s="9">
        <f t="shared" si="0"/>
        <v>100</v>
      </c>
      <c r="F46" s="9">
        <f t="shared" si="1"/>
        <v>0</v>
      </c>
    </row>
    <row r="47" spans="1:7" ht="27" customHeight="1">
      <c r="A47" s="16">
        <v>2020900000</v>
      </c>
      <c r="B47" s="18" t="s">
        <v>22</v>
      </c>
      <c r="C47" s="12"/>
      <c r="D47" s="176"/>
      <c r="E47" s="9" t="e">
        <f t="shared" si="0"/>
        <v>#DIV/0!</v>
      </c>
      <c r="F47" s="9">
        <f t="shared" si="1"/>
        <v>0</v>
      </c>
    </row>
    <row r="48" spans="1:7" ht="20.25" customHeight="1">
      <c r="A48" s="7">
        <v>2190500005</v>
      </c>
      <c r="B48" s="11" t="s">
        <v>23</v>
      </c>
      <c r="C48" s="14"/>
      <c r="D48" s="14"/>
      <c r="E48" s="5"/>
      <c r="F48" s="5">
        <f>SUM(D48-C48)</f>
        <v>0</v>
      </c>
    </row>
    <row r="49" spans="1:8" s="6" customFormat="1" ht="26.25" customHeight="1">
      <c r="A49" s="3">
        <v>3000000000</v>
      </c>
      <c r="B49" s="13" t="s">
        <v>24</v>
      </c>
      <c r="C49" s="179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22.5" customHeight="1">
      <c r="A50" s="7">
        <v>2070500010</v>
      </c>
      <c r="B50" s="8" t="s">
        <v>315</v>
      </c>
      <c r="C50" s="12">
        <v>34.482199999999999</v>
      </c>
      <c r="D50" s="10">
        <v>51.6</v>
      </c>
      <c r="E50" s="9">
        <f t="shared" si="0"/>
        <v>149.64242420727217</v>
      </c>
      <c r="F50" s="9">
        <f t="shared" si="1"/>
        <v>17.117800000000003</v>
      </c>
    </row>
    <row r="51" spans="1:8" s="6" customFormat="1" ht="19.5" customHeight="1">
      <c r="A51" s="3"/>
      <c r="B51" s="4" t="s">
        <v>25</v>
      </c>
      <c r="C51" s="447">
        <f>C40+C41</f>
        <v>9930.2143200000028</v>
      </c>
      <c r="D51" s="446">
        <f>D40+D41</f>
        <v>7202.3502200000003</v>
      </c>
      <c r="E51" s="90">
        <f t="shared" si="0"/>
        <v>72.529655331749154</v>
      </c>
      <c r="F51" s="90">
        <f t="shared" si="1"/>
        <v>-2727.8641000000025</v>
      </c>
      <c r="G51" s="188"/>
      <c r="H51" s="188"/>
    </row>
    <row r="52" spans="1:8" s="6" customFormat="1">
      <c r="A52" s="3"/>
      <c r="B52" s="21" t="s">
        <v>290</v>
      </c>
      <c r="C52" s="90">
        <f>C51-C98</f>
        <v>-423.57075999999688</v>
      </c>
      <c r="D52" s="90">
        <f>D51-D98</f>
        <v>-395.57970999999907</v>
      </c>
      <c r="E52" s="22"/>
      <c r="F52" s="22"/>
    </row>
    <row r="53" spans="1:8">
      <c r="A53" s="23"/>
      <c r="B53" s="24"/>
      <c r="C53" s="174"/>
      <c r="D53" s="174"/>
      <c r="E53" s="26"/>
      <c r="F53" s="27"/>
    </row>
    <row r="54" spans="1:8" ht="46.5" customHeight="1">
      <c r="A54" s="28" t="s">
        <v>0</v>
      </c>
      <c r="B54" s="28" t="s">
        <v>26</v>
      </c>
      <c r="C54" s="167" t="s">
        <v>382</v>
      </c>
      <c r="D54" s="168" t="s">
        <v>403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5">
        <v>3</v>
      </c>
      <c r="D55" s="85">
        <v>4</v>
      </c>
      <c r="E55" s="85">
        <v>5</v>
      </c>
      <c r="F55" s="85">
        <v>6</v>
      </c>
    </row>
    <row r="56" spans="1:8" s="6" customFormat="1" ht="29.25" customHeight="1">
      <c r="A56" s="30" t="s">
        <v>27</v>
      </c>
      <c r="B56" s="31" t="s">
        <v>28</v>
      </c>
      <c r="C56" s="170">
        <f>C57+C58+C59+C60+C61+C63+C62</f>
        <v>1453.0350000000001</v>
      </c>
      <c r="D56" s="440">
        <f>D57+D58+D59+D60+D61+D63+D62</f>
        <v>1446.8967700000001</v>
      </c>
      <c r="E56" s="34">
        <f>SUM(D56/C56*100)</f>
        <v>99.577558007893813</v>
      </c>
      <c r="F56" s="34">
        <f>SUM(D56-C56)</f>
        <v>-6.1382300000000214</v>
      </c>
    </row>
    <row r="57" spans="1:8" s="6" customFormat="1" ht="31.5" hidden="1">
      <c r="A57" s="35" t="s">
        <v>29</v>
      </c>
      <c r="B57" s="36" t="s">
        <v>30</v>
      </c>
      <c r="C57" s="37"/>
      <c r="D57" s="132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1404.0350000000001</v>
      </c>
      <c r="D58" s="37">
        <v>1398.8967700000001</v>
      </c>
      <c r="E58" s="38">
        <f t="shared" ref="E58:E98" si="3">SUM(D58/C58*100)</f>
        <v>99.634038325255432</v>
      </c>
      <c r="F58" s="38">
        <f t="shared" ref="F58:F98" si="4">SUM(D58-C58)</f>
        <v>-5.1382300000000214</v>
      </c>
    </row>
    <row r="59" spans="1:8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37</v>
      </c>
      <c r="B61" s="39" t="s">
        <v>38</v>
      </c>
      <c r="C61" s="37">
        <v>27</v>
      </c>
      <c r="D61" s="37">
        <v>27</v>
      </c>
      <c r="E61" s="38">
        <f t="shared" si="3"/>
        <v>100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40">
        <v>1</v>
      </c>
      <c r="D62" s="40">
        <v>0</v>
      </c>
      <c r="E62" s="38">
        <f t="shared" si="3"/>
        <v>0</v>
      </c>
      <c r="F62" s="38">
        <f t="shared" si="4"/>
        <v>-1</v>
      </c>
    </row>
    <row r="63" spans="1:8" ht="18" customHeight="1">
      <c r="A63" s="35" t="s">
        <v>41</v>
      </c>
      <c r="B63" s="39" t="s">
        <v>42</v>
      </c>
      <c r="C63" s="37">
        <v>21</v>
      </c>
      <c r="D63" s="37">
        <v>21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43</v>
      </c>
      <c r="B64" s="42" t="s">
        <v>44</v>
      </c>
      <c r="C64" s="32">
        <f>C65</f>
        <v>99.185000000000002</v>
      </c>
      <c r="D64" s="236">
        <f>D65</f>
        <v>99.185000000000002</v>
      </c>
      <c r="E64" s="34">
        <f t="shared" si="3"/>
        <v>100</v>
      </c>
      <c r="F64" s="34">
        <f t="shared" si="4"/>
        <v>0</v>
      </c>
    </row>
    <row r="65" spans="1:7">
      <c r="A65" s="43" t="s">
        <v>45</v>
      </c>
      <c r="B65" s="44" t="s">
        <v>46</v>
      </c>
      <c r="C65" s="37">
        <v>99.185000000000002</v>
      </c>
      <c r="D65" s="37">
        <v>99.185000000000002</v>
      </c>
      <c r="E65" s="38">
        <f t="shared" si="3"/>
        <v>100</v>
      </c>
      <c r="F65" s="38">
        <f t="shared" si="4"/>
        <v>0</v>
      </c>
    </row>
    <row r="66" spans="1:7" s="6" customFormat="1" ht="18.75" customHeight="1">
      <c r="A66" s="30" t="s">
        <v>47</v>
      </c>
      <c r="B66" s="31" t="s">
        <v>48</v>
      </c>
      <c r="C66" s="32">
        <f>C69+C70+C71</f>
        <v>7.4</v>
      </c>
      <c r="D66" s="236">
        <f>SUM(D69+D70+D71)</f>
        <v>7.2219099999999994</v>
      </c>
      <c r="E66" s="34">
        <f t="shared" si="3"/>
        <v>97.593378378378375</v>
      </c>
      <c r="F66" s="34">
        <f t="shared" si="4"/>
        <v>-0.17809000000000097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53</v>
      </c>
      <c r="B69" s="47" t="s">
        <v>54</v>
      </c>
      <c r="C69" s="94">
        <v>3</v>
      </c>
      <c r="D69" s="37">
        <v>2.8219099999999999</v>
      </c>
      <c r="E69" s="38">
        <f t="shared" si="3"/>
        <v>94.063666666666663</v>
      </c>
      <c r="F69" s="38">
        <f t="shared" si="4"/>
        <v>-0.17809000000000008</v>
      </c>
    </row>
    <row r="70" spans="1:7" ht="15.75" customHeight="1">
      <c r="A70" s="46" t="s">
        <v>199</v>
      </c>
      <c r="B70" s="47" t="s">
        <v>200</v>
      </c>
      <c r="C70" s="37">
        <v>2.4</v>
      </c>
      <c r="D70" s="37">
        <v>2.4</v>
      </c>
      <c r="E70" s="38">
        <f t="shared" si="3"/>
        <v>100</v>
      </c>
      <c r="F70" s="38">
        <f t="shared" si="4"/>
        <v>0</v>
      </c>
    </row>
    <row r="71" spans="1:7" ht="15.75" customHeight="1">
      <c r="A71" s="46" t="s">
        <v>320</v>
      </c>
      <c r="B71" s="47" t="s">
        <v>375</v>
      </c>
      <c r="C71" s="37">
        <v>2</v>
      </c>
      <c r="D71" s="37">
        <v>2</v>
      </c>
      <c r="E71" s="38">
        <f>SUM(D71/C71*100)</f>
        <v>100</v>
      </c>
      <c r="F71" s="38">
        <f>SUM(D71-C71)</f>
        <v>0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2937.9258799999998</v>
      </c>
      <c r="D72" s="442">
        <f>SUM(D73:D76)</f>
        <v>2936.5503399999998</v>
      </c>
      <c r="E72" s="34">
        <f t="shared" si="3"/>
        <v>99.953179894381819</v>
      </c>
      <c r="F72" s="34">
        <f t="shared" si="4"/>
        <v>-1.3755400000000009</v>
      </c>
    </row>
    <row r="73" spans="1:7" ht="15.75" customHeight="1">
      <c r="A73" s="35" t="s">
        <v>57</v>
      </c>
      <c r="B73" s="39" t="s">
        <v>58</v>
      </c>
      <c r="C73" s="49"/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9.5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2882.4258799999998</v>
      </c>
      <c r="D75" s="37">
        <v>2881.0503399999998</v>
      </c>
      <c r="E75" s="38">
        <f t="shared" si="3"/>
        <v>99.952278391283386</v>
      </c>
      <c r="F75" s="38">
        <f t="shared" si="4"/>
        <v>-1.3755400000000009</v>
      </c>
    </row>
    <row r="76" spans="1:7" ht="16.5" customHeight="1">
      <c r="A76" s="35" t="s">
        <v>63</v>
      </c>
      <c r="B76" s="39" t="s">
        <v>64</v>
      </c>
      <c r="C76" s="49">
        <v>55.5</v>
      </c>
      <c r="D76" s="37">
        <v>55.5</v>
      </c>
      <c r="E76" s="38">
        <f t="shared" si="3"/>
        <v>100</v>
      </c>
      <c r="F76" s="38">
        <f t="shared" si="4"/>
        <v>0</v>
      </c>
    </row>
    <row r="77" spans="1:7" s="6" customFormat="1" ht="19.5" customHeight="1">
      <c r="A77" s="30" t="s">
        <v>65</v>
      </c>
      <c r="B77" s="31" t="s">
        <v>66</v>
      </c>
      <c r="C77" s="32">
        <f>SUM(C78:C80)</f>
        <v>4830.5191999999997</v>
      </c>
      <c r="D77" s="441">
        <f>SUM(D78:D80)</f>
        <v>2082.3559100000002</v>
      </c>
      <c r="E77" s="34">
        <f t="shared" si="3"/>
        <v>43.108324877375509</v>
      </c>
      <c r="F77" s="34">
        <f t="shared" si="4"/>
        <v>-2748.1632899999995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5.75" customHeight="1">
      <c r="A79" s="35" t="s">
        <v>69</v>
      </c>
      <c r="B79" s="51" t="s">
        <v>70</v>
      </c>
      <c r="C79" s="37">
        <v>870.49699999999996</v>
      </c>
      <c r="D79" s="37">
        <v>844.85230000000001</v>
      </c>
      <c r="E79" s="38">
        <f t="shared" si="3"/>
        <v>97.054016268867102</v>
      </c>
      <c r="F79" s="38">
        <f t="shared" si="4"/>
        <v>-25.644699999999943</v>
      </c>
    </row>
    <row r="80" spans="1:7">
      <c r="A80" s="35" t="s">
        <v>71</v>
      </c>
      <c r="B80" s="39" t="s">
        <v>72</v>
      </c>
      <c r="C80" s="37">
        <v>3960.0221999999999</v>
      </c>
      <c r="D80" s="37">
        <v>1237.50361</v>
      </c>
      <c r="E80" s="38">
        <f t="shared" si="3"/>
        <v>31.249915972693287</v>
      </c>
      <c r="F80" s="38">
        <f t="shared" si="4"/>
        <v>-2722.5185899999997</v>
      </c>
    </row>
    <row r="81" spans="1:7" s="6" customFormat="1">
      <c r="A81" s="30" t="s">
        <v>83</v>
      </c>
      <c r="B81" s="31" t="s">
        <v>84</v>
      </c>
      <c r="C81" s="32">
        <f>C82</f>
        <v>1022.4</v>
      </c>
      <c r="D81" s="441">
        <f>SUM(D82)</f>
        <v>1022.4</v>
      </c>
      <c r="E81" s="34">
        <f t="shared" si="3"/>
        <v>100</v>
      </c>
      <c r="F81" s="34">
        <f t="shared" si="4"/>
        <v>0</v>
      </c>
    </row>
    <row r="82" spans="1:7" ht="17.25" customHeight="1">
      <c r="A82" s="35" t="s">
        <v>85</v>
      </c>
      <c r="B82" s="39" t="s">
        <v>214</v>
      </c>
      <c r="C82" s="37">
        <v>1022.4</v>
      </c>
      <c r="D82" s="37">
        <v>1022.4</v>
      </c>
      <c r="E82" s="38">
        <f t="shared" si="3"/>
        <v>100</v>
      </c>
      <c r="F82" s="38">
        <f t="shared" si="4"/>
        <v>0</v>
      </c>
    </row>
    <row r="83" spans="1:7" s="6" customFormat="1" ht="21.7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92</v>
      </c>
      <c r="B88" s="31" t="s">
        <v>93</v>
      </c>
      <c r="C88" s="32">
        <f>C89+C90+C91+C92+C93</f>
        <v>3.32</v>
      </c>
      <c r="D88" s="32">
        <f>D89</f>
        <v>3.32</v>
      </c>
      <c r="E88" s="38">
        <f t="shared" si="3"/>
        <v>100</v>
      </c>
      <c r="F88" s="22">
        <f>F89+F90+F91+F92+F93</f>
        <v>0</v>
      </c>
    </row>
    <row r="89" spans="1:7" ht="19.5" customHeight="1">
      <c r="A89" s="35" t="s">
        <v>94</v>
      </c>
      <c r="B89" s="39" t="s">
        <v>95</v>
      </c>
      <c r="C89" s="37">
        <v>3.32</v>
      </c>
      <c r="D89" s="37">
        <v>3.32</v>
      </c>
      <c r="E89" s="38">
        <f t="shared" si="3"/>
        <v>100</v>
      </c>
      <c r="F89" s="38">
        <f>SUM(D89-C89)</f>
        <v>0</v>
      </c>
      <c r="G89" s="229"/>
    </row>
    <row r="90" spans="1:7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98</v>
      </c>
      <c r="B91" s="39" t="s">
        <v>99</v>
      </c>
      <c r="C91" s="37"/>
      <c r="D91" s="37" t="s">
        <v>306</v>
      </c>
      <c r="E91" s="38" t="e">
        <f t="shared" si="3"/>
        <v>#VALUE!</v>
      </c>
      <c r="F91" s="38"/>
    </row>
    <row r="92" spans="1:7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115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116</v>
      </c>
      <c r="C98" s="435">
        <f>C56+C64+C66+C72+C77+C81+C83+C88+C94</f>
        <v>10353.78508</v>
      </c>
      <c r="D98" s="435">
        <f>D56+D64+D66+D72+D77+D81+D83+D88+D94</f>
        <v>7597.9299299999993</v>
      </c>
      <c r="E98" s="34">
        <f t="shared" si="3"/>
        <v>73.383114206964009</v>
      </c>
      <c r="F98" s="34">
        <f t="shared" si="4"/>
        <v>-2755.8551500000003</v>
      </c>
      <c r="G98" s="188"/>
      <c r="H98" s="188"/>
    </row>
    <row r="99" spans="1:8">
      <c r="C99" s="122"/>
      <c r="D99" s="97"/>
    </row>
    <row r="100" spans="1:8" s="65" customFormat="1" ht="16.5" customHeight="1">
      <c r="A100" s="63" t="s">
        <v>117</v>
      </c>
      <c r="B100" s="63"/>
      <c r="C100" s="173"/>
      <c r="D100" s="173"/>
      <c r="E100" s="230"/>
    </row>
    <row r="101" spans="1:8" s="65" customFormat="1" ht="20.25" customHeight="1">
      <c r="A101" s="66" t="s">
        <v>118</v>
      </c>
      <c r="B101" s="66"/>
      <c r="C101" s="65" t="s">
        <v>119</v>
      </c>
    </row>
    <row r="102" spans="1:8" ht="13.5" customHeight="1">
      <c r="C102" s="116"/>
    </row>
    <row r="104" spans="1:8" ht="5.25" customHeight="1"/>
    <row r="142" hidden="1"/>
  </sheetData>
  <customSheetViews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1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2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3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5"/>
    </customSheetView>
    <customSheetView guid="{B31C8DB7-3E78-4144-A6B5-8DE36DE63F0E}" hiddenRows="1" topLeftCell="A46">
      <selection activeCell="D89" sqref="D89"/>
      <pageMargins left="0.7" right="0.7" top="0.75" bottom="0.75" header="0.3" footer="0.3"/>
      <pageSetup paperSize="9" scale="52" orientation="portrait" r:id="rId6"/>
    </customSheetView>
    <customSheetView guid="{B30CE22D-C12F-4E12-8BB9-3AAE0A6991CC}" scale="70" showPageBreaks="1" printArea="1" hiddenRows="1" view="pageBreakPreview" topLeftCell="A28">
      <selection activeCell="C65" sqref="C65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1718F1EE-9F48-4DBE-9531-3B70F9C4A5DD}" scale="70" showPageBreaks="1" hiddenRows="1" view="pageBreakPreview" topLeftCell="A28">
      <selection activeCell="D98" sqref="D98"/>
      <pageMargins left="0.7" right="0.7" top="0.75" bottom="0.75" header="0.3" footer="0.3"/>
      <pageSetup paperSize="9" scale="39" orientation="portrait" r:id="rId8"/>
    </customSheetView>
    <customSheetView guid="{61528DAC-5C4C-48F4-ADE2-8A724B05A086}" scale="70" showPageBreaks="1" hiddenRows="1" view="pageBreakPreview" topLeftCell="A28">
      <selection activeCell="D89" sqref="D89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2"/>
  <sheetViews>
    <sheetView view="pageBreakPreview" topLeftCell="A37" zoomScale="70" zoomScaleSheetLayoutView="70" workbookViewId="0">
      <selection activeCell="C81" sqref="C81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44" t="s">
        <v>425</v>
      </c>
      <c r="B1" s="544"/>
      <c r="C1" s="544"/>
      <c r="D1" s="544"/>
      <c r="E1" s="544"/>
      <c r="F1" s="544"/>
    </row>
    <row r="2" spans="1:6">
      <c r="A2" s="543"/>
      <c r="B2" s="543"/>
      <c r="C2" s="543"/>
      <c r="D2" s="543"/>
      <c r="E2" s="543"/>
      <c r="F2" s="543"/>
    </row>
    <row r="3" spans="1:6" ht="63">
      <c r="A3" s="2" t="s">
        <v>0</v>
      </c>
      <c r="B3" s="2" t="s">
        <v>1</v>
      </c>
      <c r="C3" s="72" t="s">
        <v>382</v>
      </c>
      <c r="D3" s="73" t="s">
        <v>403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812.43000000000006</v>
      </c>
      <c r="D4" s="5">
        <f>D5+D12+D14+D17+D7</f>
        <v>777.80751999999995</v>
      </c>
      <c r="E4" s="5">
        <f>SUM(D4/C4*100)</f>
        <v>95.738404539468007</v>
      </c>
      <c r="F4" s="5">
        <f>SUM(D4-C4)</f>
        <v>-34.62248000000011</v>
      </c>
    </row>
    <row r="5" spans="1:6" s="6" customFormat="1">
      <c r="A5" s="68">
        <v>1010000000</v>
      </c>
      <c r="B5" s="67" t="s">
        <v>5</v>
      </c>
      <c r="C5" s="5">
        <f>C6</f>
        <v>44.3</v>
      </c>
      <c r="D5" s="5">
        <f>D6</f>
        <v>55.305799999999998</v>
      </c>
      <c r="E5" s="5">
        <f t="shared" ref="E5:E51" si="0">SUM(D5/C5*100)</f>
        <v>124.84379232505644</v>
      </c>
      <c r="F5" s="5">
        <f t="shared" ref="F5:F51" si="1">SUM(D5-C5)</f>
        <v>11.005800000000001</v>
      </c>
    </row>
    <row r="6" spans="1:6">
      <c r="A6" s="7">
        <v>1010200001</v>
      </c>
      <c r="B6" s="8" t="s">
        <v>209</v>
      </c>
      <c r="C6" s="9">
        <v>44.3</v>
      </c>
      <c r="D6" s="10">
        <v>55.305799999999998</v>
      </c>
      <c r="E6" s="9">
        <f t="shared" ref="E6:E11" si="2">SUM(D6/C6*100)</f>
        <v>124.84379232505644</v>
      </c>
      <c r="F6" s="9">
        <f t="shared" si="1"/>
        <v>11.005800000000001</v>
      </c>
    </row>
    <row r="7" spans="1:6" ht="31.5">
      <c r="A7" s="3">
        <v>1030000000</v>
      </c>
      <c r="B7" s="13" t="s">
        <v>250</v>
      </c>
      <c r="C7" s="5">
        <f>C8+C10+C9</f>
        <v>376.13</v>
      </c>
      <c r="D7" s="5">
        <f>D8+D10+D9+D11</f>
        <v>357.18216999999999</v>
      </c>
      <c r="E7" s="5">
        <f t="shared" si="2"/>
        <v>94.962425225321027</v>
      </c>
      <c r="F7" s="5">
        <f t="shared" si="1"/>
        <v>-18.94783000000001</v>
      </c>
    </row>
    <row r="8" spans="1:6">
      <c r="A8" s="7">
        <v>1030223001</v>
      </c>
      <c r="B8" s="8" t="s">
        <v>252</v>
      </c>
      <c r="C8" s="9">
        <v>140.30000000000001</v>
      </c>
      <c r="D8" s="10">
        <v>164.74589</v>
      </c>
      <c r="E8" s="9">
        <f t="shared" si="2"/>
        <v>117.42401282965074</v>
      </c>
      <c r="F8" s="9">
        <f t="shared" si="1"/>
        <v>24.445889999999991</v>
      </c>
    </row>
    <row r="9" spans="1:6">
      <c r="A9" s="7">
        <v>1030224001</v>
      </c>
      <c r="B9" s="8" t="s">
        <v>258</v>
      </c>
      <c r="C9" s="9">
        <v>1.5</v>
      </c>
      <c r="D9" s="10">
        <v>1.17839</v>
      </c>
      <c r="E9" s="9">
        <f t="shared" si="2"/>
        <v>78.559333333333342</v>
      </c>
      <c r="F9" s="9">
        <f t="shared" si="1"/>
        <v>-0.32160999999999995</v>
      </c>
    </row>
    <row r="10" spans="1:6">
      <c r="A10" s="7">
        <v>1030225001</v>
      </c>
      <c r="B10" s="8" t="s">
        <v>251</v>
      </c>
      <c r="C10" s="9">
        <v>234.33</v>
      </c>
      <c r="D10" s="10">
        <v>221.62951000000001</v>
      </c>
      <c r="E10" s="9">
        <f t="shared" si="2"/>
        <v>94.580083642726066</v>
      </c>
      <c r="F10" s="9">
        <f t="shared" si="1"/>
        <v>-12.700490000000002</v>
      </c>
    </row>
    <row r="11" spans="1:6">
      <c r="A11" s="7">
        <v>1030226001</v>
      </c>
      <c r="B11" s="8" t="s">
        <v>260</v>
      </c>
      <c r="C11" s="9">
        <v>0</v>
      </c>
      <c r="D11" s="10">
        <v>-30.37162</v>
      </c>
      <c r="E11" s="9" t="e">
        <f t="shared" si="2"/>
        <v>#DIV/0!</v>
      </c>
      <c r="F11" s="9">
        <f t="shared" si="1"/>
        <v>-30.37162</v>
      </c>
    </row>
    <row r="12" spans="1:6" s="6" customFormat="1">
      <c r="A12" s="68">
        <v>1050000000</v>
      </c>
      <c r="B12" s="67" t="s">
        <v>6</v>
      </c>
      <c r="C12" s="5">
        <f>SUM(C13:C13)</f>
        <v>50</v>
      </c>
      <c r="D12" s="5">
        <f>SUM(D13:D13)</f>
        <v>20.873100000000001</v>
      </c>
      <c r="E12" s="5">
        <f t="shared" si="0"/>
        <v>41.746200000000002</v>
      </c>
      <c r="F12" s="5">
        <f t="shared" si="1"/>
        <v>-29.126899999999999</v>
      </c>
    </row>
    <row r="13" spans="1:6" ht="15.75" customHeight="1">
      <c r="A13" s="7">
        <v>1050300000</v>
      </c>
      <c r="B13" s="11" t="s">
        <v>210</v>
      </c>
      <c r="C13" s="12">
        <v>50</v>
      </c>
      <c r="D13" s="10">
        <v>20.873100000000001</v>
      </c>
      <c r="E13" s="9">
        <f t="shared" si="0"/>
        <v>41.746200000000002</v>
      </c>
      <c r="F13" s="9">
        <f t="shared" si="1"/>
        <v>-29.126899999999999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339</v>
      </c>
      <c r="D14" s="5">
        <f>D15+D16</f>
        <v>341.29644999999999</v>
      </c>
      <c r="E14" s="5">
        <f t="shared" si="0"/>
        <v>100.67741887905603</v>
      </c>
      <c r="F14" s="5">
        <f t="shared" si="1"/>
        <v>2.296449999999993</v>
      </c>
    </row>
    <row r="15" spans="1:6" s="6" customFormat="1" ht="15.75" customHeight="1">
      <c r="A15" s="7">
        <v>1060100000</v>
      </c>
      <c r="B15" s="11" t="s">
        <v>8</v>
      </c>
      <c r="C15" s="9">
        <v>65</v>
      </c>
      <c r="D15" s="10">
        <v>57.193449999999999</v>
      </c>
      <c r="E15" s="9">
        <f t="shared" si="0"/>
        <v>87.989923076923077</v>
      </c>
      <c r="F15" s="9">
        <f>SUM(D15-C15)</f>
        <v>-7.8065500000000014</v>
      </c>
    </row>
    <row r="16" spans="1:6" ht="15.75" customHeight="1">
      <c r="A16" s="7">
        <v>1060600000</v>
      </c>
      <c r="B16" s="11" t="s">
        <v>7</v>
      </c>
      <c r="C16" s="9">
        <v>274</v>
      </c>
      <c r="D16" s="10">
        <v>284.10300000000001</v>
      </c>
      <c r="E16" s="9">
        <f t="shared" si="0"/>
        <v>103.68722627737226</v>
      </c>
      <c r="F16" s="9">
        <f t="shared" si="1"/>
        <v>10.103000000000009</v>
      </c>
    </row>
    <row r="17" spans="1:6" s="6" customFormat="1">
      <c r="A17" s="3">
        <v>1080000000</v>
      </c>
      <c r="B17" s="4" t="s">
        <v>10</v>
      </c>
      <c r="C17" s="5">
        <f>C18</f>
        <v>3</v>
      </c>
      <c r="D17" s="5">
        <f>D18</f>
        <v>3.15</v>
      </c>
      <c r="E17" s="5">
        <f t="shared" si="0"/>
        <v>105</v>
      </c>
      <c r="F17" s="5">
        <f t="shared" si="1"/>
        <v>0.14999999999999991</v>
      </c>
    </row>
    <row r="18" spans="1:6" ht="16.5" customHeight="1">
      <c r="A18" s="7">
        <v>1080400001</v>
      </c>
      <c r="B18" s="8" t="s">
        <v>208</v>
      </c>
      <c r="C18" s="9">
        <v>3</v>
      </c>
      <c r="D18" s="10">
        <v>3.15</v>
      </c>
      <c r="E18" s="9">
        <f t="shared" si="0"/>
        <v>105</v>
      </c>
      <c r="F18" s="9">
        <f t="shared" si="1"/>
        <v>0.14999999999999991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213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12</v>
      </c>
      <c r="C25" s="5">
        <f>C26+C29+C31+C37+C34</f>
        <v>199</v>
      </c>
      <c r="D25" s="5">
        <f>D26+D29+D31+D37+D34</f>
        <v>172.79757000000001</v>
      </c>
      <c r="E25" s="5">
        <f t="shared" si="0"/>
        <v>86.832949748743729</v>
      </c>
      <c r="F25" s="5">
        <f t="shared" si="1"/>
        <v>-26.202429999999993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179</v>
      </c>
      <c r="D26" s="5">
        <f>D27+D28</f>
        <v>144.48804999999999</v>
      </c>
      <c r="E26" s="5">
        <f t="shared" si="0"/>
        <v>80.719581005586576</v>
      </c>
      <c r="F26" s="5">
        <f t="shared" si="1"/>
        <v>-34.511950000000013</v>
      </c>
    </row>
    <row r="27" spans="1:6">
      <c r="A27" s="16">
        <v>1110502510</v>
      </c>
      <c r="B27" s="17" t="s">
        <v>206</v>
      </c>
      <c r="C27" s="12">
        <v>153</v>
      </c>
      <c r="D27" s="10">
        <v>118.47685</v>
      </c>
      <c r="E27" s="9">
        <f t="shared" si="0"/>
        <v>77.435849673202611</v>
      </c>
      <c r="F27" s="9">
        <f t="shared" si="1"/>
        <v>-34.523150000000001</v>
      </c>
    </row>
    <row r="28" spans="1:6" ht="18.75" customHeight="1">
      <c r="A28" s="7">
        <v>1110503505</v>
      </c>
      <c r="B28" s="11" t="s">
        <v>205</v>
      </c>
      <c r="C28" s="12">
        <v>26</v>
      </c>
      <c r="D28" s="10">
        <v>26.011199999999999</v>
      </c>
      <c r="E28" s="9">
        <f t="shared" si="0"/>
        <v>100.04307692307692</v>
      </c>
      <c r="F28" s="9">
        <f t="shared" si="1"/>
        <v>1.1199999999998766E-2</v>
      </c>
    </row>
    <row r="29" spans="1:6" s="15" customFormat="1" ht="37.5" customHeight="1">
      <c r="A29" s="68">
        <v>1130000000</v>
      </c>
      <c r="B29" s="69" t="s">
        <v>128</v>
      </c>
      <c r="C29" s="5">
        <f>C30</f>
        <v>20</v>
      </c>
      <c r="D29" s="5">
        <f>D30</f>
        <v>14.50432</v>
      </c>
      <c r="E29" s="5">
        <f t="shared" si="0"/>
        <v>72.521599999999992</v>
      </c>
      <c r="F29" s="5">
        <f t="shared" si="1"/>
        <v>-5.4956800000000001</v>
      </c>
    </row>
    <row r="30" spans="1:6" ht="14.25" customHeight="1">
      <c r="A30" s="7">
        <v>1130206005</v>
      </c>
      <c r="B30" s="8" t="s">
        <v>204</v>
      </c>
      <c r="C30" s="9">
        <v>20</v>
      </c>
      <c r="D30" s="10">
        <v>14.50432</v>
      </c>
      <c r="E30" s="9">
        <f t="shared" si="0"/>
        <v>72.521599999999992</v>
      </c>
      <c r="F30" s="9">
        <f t="shared" si="1"/>
        <v>-5.4956800000000001</v>
      </c>
    </row>
    <row r="31" spans="1:6" ht="27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202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1" hidden="1" customHeight="1">
      <c r="A33" s="7">
        <v>1140600000</v>
      </c>
      <c r="B33" s="8" t="s">
        <v>203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2.75" customHeight="1">
      <c r="A34" s="3">
        <v>1160000000</v>
      </c>
      <c r="B34" s="13" t="s">
        <v>225</v>
      </c>
      <c r="C34" s="14">
        <f>C35+C36</f>
        <v>0</v>
      </c>
      <c r="D34" s="14">
        <f>D35+D36</f>
        <v>13.805199999999999</v>
      </c>
      <c r="E34" s="5" t="e">
        <f t="shared" si="0"/>
        <v>#DIV/0!</v>
      </c>
      <c r="F34" s="5">
        <f t="shared" si="1"/>
        <v>13.805199999999999</v>
      </c>
    </row>
    <row r="35" spans="1:7" ht="44.25" hidden="1" customHeight="1">
      <c r="A35" s="7">
        <v>1163305010</v>
      </c>
      <c r="B35" s="8"/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32.25" customHeight="1">
      <c r="A36" s="7">
        <v>11607000010</v>
      </c>
      <c r="B36" s="8" t="s">
        <v>426</v>
      </c>
      <c r="C36" s="9">
        <v>0</v>
      </c>
      <c r="D36" s="10">
        <v>13.805199999999999</v>
      </c>
      <c r="E36" s="9" t="e">
        <f>SUM(D36/C36*100)</f>
        <v>#DIV/0!</v>
      </c>
      <c r="F36" s="9">
        <f>SUM(D36-C36)</f>
        <v>13.805199999999999</v>
      </c>
    </row>
    <row r="37" spans="1:7" ht="21" customHeight="1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7.2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1170505005</v>
      </c>
      <c r="B39" s="11" t="s">
        <v>201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>
      <c r="A40" s="3">
        <v>1000000000</v>
      </c>
      <c r="B40" s="4" t="s">
        <v>16</v>
      </c>
      <c r="C40" s="123">
        <f>SUM(C4,C25)</f>
        <v>1011.4300000000001</v>
      </c>
      <c r="D40" s="123">
        <f>D4+D25</f>
        <v>950.60509000000002</v>
      </c>
      <c r="E40" s="5">
        <f t="shared" si="0"/>
        <v>93.986246205866948</v>
      </c>
      <c r="F40" s="5">
        <f t="shared" si="1"/>
        <v>-60.824910000000045</v>
      </c>
    </row>
    <row r="41" spans="1:7" s="6" customFormat="1">
      <c r="A41" s="3">
        <v>2000000000</v>
      </c>
      <c r="B41" s="4" t="s">
        <v>17</v>
      </c>
      <c r="C41" s="5">
        <f>C42+C43+C44+C45+C46+C47+C50</f>
        <v>5718.045900000001</v>
      </c>
      <c r="D41" s="443">
        <f>D42+D43+D44+D45+D46+D47+D50</f>
        <v>5061.0291800000005</v>
      </c>
      <c r="E41" s="5">
        <f t="shared" si="0"/>
        <v>88.509768345860934</v>
      </c>
      <c r="F41" s="5">
        <f t="shared" si="1"/>
        <v>-657.01672000000053</v>
      </c>
      <c r="G41" s="19"/>
    </row>
    <row r="42" spans="1:7" ht="16.5" customHeight="1">
      <c r="A42" s="16">
        <v>2021000000</v>
      </c>
      <c r="B42" s="17" t="s">
        <v>18</v>
      </c>
      <c r="C42" s="12">
        <v>1263.2</v>
      </c>
      <c r="D42" s="12">
        <v>1263.2</v>
      </c>
      <c r="E42" s="9">
        <f t="shared" si="0"/>
        <v>100</v>
      </c>
      <c r="F42" s="9">
        <f t="shared" si="1"/>
        <v>0</v>
      </c>
    </row>
    <row r="43" spans="1:7" ht="15.75" customHeight="1">
      <c r="A43" s="16">
        <v>2021500200</v>
      </c>
      <c r="B43" s="17" t="s">
        <v>212</v>
      </c>
      <c r="C43" s="12">
        <v>700</v>
      </c>
      <c r="D43" s="20">
        <v>700</v>
      </c>
      <c r="E43" s="9">
        <f t="shared" si="0"/>
        <v>100</v>
      </c>
      <c r="F43" s="9">
        <f t="shared" si="1"/>
        <v>0</v>
      </c>
    </row>
    <row r="44" spans="1:7" ht="18" customHeight="1">
      <c r="A44" s="16">
        <v>2022000000</v>
      </c>
      <c r="B44" s="17" t="s">
        <v>19</v>
      </c>
      <c r="C44" s="12">
        <v>2173.6509000000001</v>
      </c>
      <c r="D44" s="10">
        <v>1466.5441800000001</v>
      </c>
      <c r="E44" s="9">
        <f t="shared" si="0"/>
        <v>67.469168117106577</v>
      </c>
      <c r="F44" s="9">
        <f t="shared" si="1"/>
        <v>-707.10672</v>
      </c>
    </row>
    <row r="45" spans="1:7" ht="13.5" customHeight="1">
      <c r="A45" s="16">
        <v>2023000000</v>
      </c>
      <c r="B45" s="17" t="s">
        <v>20</v>
      </c>
      <c r="C45" s="12">
        <v>99.185000000000002</v>
      </c>
      <c r="D45" s="175">
        <v>99.185000000000002</v>
      </c>
      <c r="E45" s="9">
        <f t="shared" si="0"/>
        <v>100</v>
      </c>
      <c r="F45" s="9">
        <f t="shared" si="1"/>
        <v>0</v>
      </c>
    </row>
    <row r="46" spans="1:7" ht="27.75" customHeight="1">
      <c r="A46" s="16">
        <v>2024000000</v>
      </c>
      <c r="B46" s="17" t="s">
        <v>21</v>
      </c>
      <c r="C46" s="12">
        <v>1400</v>
      </c>
      <c r="D46" s="176">
        <v>1399.5</v>
      </c>
      <c r="E46" s="9">
        <f t="shared" si="0"/>
        <v>99.964285714285722</v>
      </c>
      <c r="F46" s="9">
        <f t="shared" si="1"/>
        <v>-0.5</v>
      </c>
    </row>
    <row r="47" spans="1:7" ht="25.5" customHeight="1">
      <c r="A47" s="16">
        <v>2020900000</v>
      </c>
      <c r="B47" s="18" t="s">
        <v>22</v>
      </c>
      <c r="C47" s="12"/>
      <c r="D47" s="176"/>
      <c r="E47" s="9" t="e">
        <f t="shared" si="0"/>
        <v>#DIV/0!</v>
      </c>
      <c r="F47" s="9">
        <f t="shared" si="1"/>
        <v>0</v>
      </c>
    </row>
    <row r="48" spans="1:7" ht="31.5" customHeight="1">
      <c r="A48" s="16">
        <v>2080500010</v>
      </c>
      <c r="B48" s="18" t="s">
        <v>229</v>
      </c>
      <c r="C48" s="12"/>
      <c r="D48" s="176"/>
      <c r="E48" s="9"/>
      <c r="F48" s="9"/>
    </row>
    <row r="49" spans="1:8" s="6" customFormat="1" ht="33.75" customHeight="1">
      <c r="A49" s="3">
        <v>3000000000</v>
      </c>
      <c r="B49" s="13" t="s">
        <v>24</v>
      </c>
      <c r="C49" s="179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7.25" customHeight="1">
      <c r="A50" s="16">
        <v>2027000000</v>
      </c>
      <c r="B50" s="8" t="s">
        <v>315</v>
      </c>
      <c r="C50" s="12">
        <v>82.01</v>
      </c>
      <c r="D50" s="10">
        <v>132.6</v>
      </c>
      <c r="E50" s="9">
        <f t="shared" si="0"/>
        <v>161.68759907328374</v>
      </c>
      <c r="F50" s="9">
        <f t="shared" si="1"/>
        <v>50.589999999999989</v>
      </c>
    </row>
    <row r="51" spans="1:8" s="6" customFormat="1" ht="17.25" customHeight="1">
      <c r="A51" s="7">
        <v>2070500010</v>
      </c>
      <c r="B51" s="4" t="s">
        <v>25</v>
      </c>
      <c r="C51" s="445">
        <f>C40+C41</f>
        <v>6729.4759000000013</v>
      </c>
      <c r="D51" s="444">
        <f>D40+D41</f>
        <v>6011.6342700000005</v>
      </c>
      <c r="E51" s="90">
        <f t="shared" si="0"/>
        <v>89.332874644814453</v>
      </c>
      <c r="F51" s="90">
        <f t="shared" si="1"/>
        <v>-717.84163000000081</v>
      </c>
      <c r="G51" s="91"/>
      <c r="H51" s="231"/>
    </row>
    <row r="52" spans="1:8" s="6" customFormat="1" ht="16.5" customHeight="1">
      <c r="A52" s="7"/>
      <c r="B52" s="21" t="s">
        <v>291</v>
      </c>
      <c r="C52" s="182">
        <f>C51-C98</f>
        <v>-440.19766999999774</v>
      </c>
      <c r="D52" s="182">
        <f>D51-D98</f>
        <v>-234.32858999999917</v>
      </c>
      <c r="E52" s="183"/>
      <c r="F52" s="183"/>
    </row>
    <row r="53" spans="1:8">
      <c r="A53" s="3"/>
      <c r="B53" s="24"/>
      <c r="C53" s="200"/>
      <c r="D53" s="200"/>
      <c r="E53" s="26"/>
      <c r="F53" s="27"/>
    </row>
    <row r="54" spans="1:8" ht="32.25" customHeight="1">
      <c r="A54" s="23"/>
      <c r="B54" s="28" t="s">
        <v>26</v>
      </c>
      <c r="C54" s="172" t="s">
        <v>382</v>
      </c>
      <c r="D54" s="73" t="s">
        <v>403</v>
      </c>
      <c r="E54" s="72" t="s">
        <v>2</v>
      </c>
      <c r="F54" s="74" t="s">
        <v>3</v>
      </c>
    </row>
    <row r="55" spans="1:8" ht="47.25" customHeight="1">
      <c r="A55" s="28" t="s">
        <v>0</v>
      </c>
      <c r="B55" s="28">
        <v>2</v>
      </c>
      <c r="C55" s="85">
        <v>3</v>
      </c>
      <c r="D55" s="85">
        <v>4</v>
      </c>
      <c r="E55" s="85">
        <v>5</v>
      </c>
      <c r="F55" s="85">
        <v>6</v>
      </c>
    </row>
    <row r="56" spans="1:8" s="6" customFormat="1">
      <c r="A56" s="29">
        <v>1</v>
      </c>
      <c r="B56" s="31" t="s">
        <v>28</v>
      </c>
      <c r="C56" s="33">
        <f>C57+C58+C59+C60+C61+C63+C62</f>
        <v>1802.2170000000001</v>
      </c>
      <c r="D56" s="453">
        <f>D57+D58+D59+D60+D61+D63+D62</f>
        <v>1783.7812000000001</v>
      </c>
      <c r="E56" s="34">
        <f>SUM(D56/C56*100)</f>
        <v>98.977048823754302</v>
      </c>
      <c r="F56" s="34">
        <f>SUM(D56-C56)</f>
        <v>-18.435799999999972</v>
      </c>
    </row>
    <row r="57" spans="1:8" s="6" customFormat="1" ht="15.75" hidden="1" customHeight="1">
      <c r="A57" s="30" t="s">
        <v>27</v>
      </c>
      <c r="B57" s="36" t="s">
        <v>30</v>
      </c>
      <c r="C57" s="184"/>
      <c r="D57" s="184"/>
      <c r="E57" s="38"/>
      <c r="F57" s="38"/>
    </row>
    <row r="58" spans="1:8" ht="17.25" customHeight="1">
      <c r="A58" s="35" t="s">
        <v>31</v>
      </c>
      <c r="B58" s="39" t="s">
        <v>32</v>
      </c>
      <c r="C58" s="184">
        <v>1755.7</v>
      </c>
      <c r="D58" s="184">
        <v>1742.2642000000001</v>
      </c>
      <c r="E58" s="38">
        <f t="shared" ref="E58:E98" si="3">SUM(D58/C58*100)</f>
        <v>99.234732585293614</v>
      </c>
      <c r="F58" s="38">
        <f t="shared" ref="F58:F98" si="4">SUM(D58-C58)</f>
        <v>-13.435799999999972</v>
      </c>
    </row>
    <row r="59" spans="1:8" ht="17.25" hidden="1" customHeight="1">
      <c r="A59" s="35" t="s">
        <v>31</v>
      </c>
      <c r="B59" s="39" t="s">
        <v>34</v>
      </c>
      <c r="C59" s="184"/>
      <c r="D59" s="184"/>
      <c r="E59" s="38"/>
      <c r="F59" s="38">
        <f t="shared" si="4"/>
        <v>0</v>
      </c>
    </row>
    <row r="60" spans="1:8" ht="15.75" hidden="1" customHeight="1">
      <c r="A60" s="35" t="s">
        <v>33</v>
      </c>
      <c r="B60" s="39" t="s">
        <v>36</v>
      </c>
      <c r="C60" s="184"/>
      <c r="D60" s="184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37</v>
      </c>
      <c r="B61" s="39" t="s">
        <v>38</v>
      </c>
      <c r="C61" s="184">
        <v>20.516999999999999</v>
      </c>
      <c r="D61" s="184">
        <v>20.516999999999999</v>
      </c>
      <c r="E61" s="38">
        <f t="shared" si="3"/>
        <v>100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185">
        <v>5</v>
      </c>
      <c r="D62" s="185">
        <v>0</v>
      </c>
      <c r="E62" s="38">
        <f t="shared" si="3"/>
        <v>0</v>
      </c>
      <c r="F62" s="38">
        <f t="shared" si="4"/>
        <v>-5</v>
      </c>
    </row>
    <row r="63" spans="1:8" ht="19.5" customHeight="1">
      <c r="A63" s="35" t="s">
        <v>41</v>
      </c>
      <c r="B63" s="39" t="s">
        <v>42</v>
      </c>
      <c r="C63" s="184">
        <v>21</v>
      </c>
      <c r="D63" s="184">
        <v>21</v>
      </c>
      <c r="E63" s="38">
        <f t="shared" si="3"/>
        <v>100</v>
      </c>
      <c r="F63" s="38">
        <f t="shared" si="4"/>
        <v>0</v>
      </c>
    </row>
    <row r="64" spans="1:8" s="6" customFormat="1">
      <c r="A64" s="30" t="s">
        <v>43</v>
      </c>
      <c r="B64" s="42" t="s">
        <v>44</v>
      </c>
      <c r="C64" s="33">
        <f>C65</f>
        <v>99.185000000000002</v>
      </c>
      <c r="D64" s="33">
        <f>D65</f>
        <v>99.185000000000002</v>
      </c>
      <c r="E64" s="34">
        <f t="shared" si="3"/>
        <v>100</v>
      </c>
      <c r="F64" s="34">
        <f t="shared" si="4"/>
        <v>0</v>
      </c>
    </row>
    <row r="65" spans="1:9">
      <c r="A65" s="410" t="s">
        <v>45</v>
      </c>
      <c r="B65" s="44" t="s">
        <v>46</v>
      </c>
      <c r="C65" s="184">
        <v>99.185000000000002</v>
      </c>
      <c r="D65" s="184">
        <v>99.185000000000002</v>
      </c>
      <c r="E65" s="38">
        <f t="shared" si="3"/>
        <v>100</v>
      </c>
      <c r="F65" s="38">
        <f t="shared" si="4"/>
        <v>0</v>
      </c>
    </row>
    <row r="66" spans="1:9" s="6" customFormat="1" ht="18" customHeight="1">
      <c r="A66" s="43" t="s">
        <v>47</v>
      </c>
      <c r="B66" s="31" t="s">
        <v>48</v>
      </c>
      <c r="C66" s="33">
        <f>C69+C70+C71</f>
        <v>5.87</v>
      </c>
      <c r="D66" s="33">
        <f>D69+D70+D71</f>
        <v>5.8696000000000002</v>
      </c>
      <c r="E66" s="34">
        <f t="shared" si="3"/>
        <v>99.993185689948888</v>
      </c>
      <c r="F66" s="34">
        <f t="shared" si="4"/>
        <v>-3.9999999999995595E-4</v>
      </c>
    </row>
    <row r="67" spans="1:9" ht="1.5" hidden="1" customHeight="1">
      <c r="A67" s="30" t="s">
        <v>47</v>
      </c>
      <c r="B67" s="39" t="s">
        <v>50</v>
      </c>
      <c r="C67" s="184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hidden="1" customHeight="1">
      <c r="A68" s="35" t="s">
        <v>49</v>
      </c>
      <c r="B68" s="39" t="s">
        <v>52</v>
      </c>
      <c r="C68" s="184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5" t="s">
        <v>53</v>
      </c>
      <c r="B69" s="47" t="s">
        <v>54</v>
      </c>
      <c r="C69" s="186">
        <v>2.87</v>
      </c>
      <c r="D69" s="184">
        <v>2.8696000000000002</v>
      </c>
      <c r="E69" s="34">
        <f t="shared" si="3"/>
        <v>99.986062717770039</v>
      </c>
      <c r="F69" s="34">
        <f t="shared" si="4"/>
        <v>-3.9999999999995595E-4</v>
      </c>
    </row>
    <row r="70" spans="1:9">
      <c r="A70" s="46" t="s">
        <v>199</v>
      </c>
      <c r="B70" s="47" t="s">
        <v>200</v>
      </c>
      <c r="C70" s="184">
        <v>1</v>
      </c>
      <c r="D70" s="184">
        <v>1</v>
      </c>
      <c r="E70" s="34">
        <f t="shared" si="3"/>
        <v>100</v>
      </c>
      <c r="F70" s="34">
        <f t="shared" si="4"/>
        <v>0</v>
      </c>
    </row>
    <row r="71" spans="1:9">
      <c r="A71" s="46" t="s">
        <v>320</v>
      </c>
      <c r="B71" s="47" t="s">
        <v>375</v>
      </c>
      <c r="C71" s="184">
        <v>2</v>
      </c>
      <c r="D71" s="184">
        <v>2</v>
      </c>
      <c r="E71" s="34">
        <f>SUM(D71/C71*100)</f>
        <v>100</v>
      </c>
      <c r="F71" s="34">
        <f>SUM(D71-C71)</f>
        <v>0</v>
      </c>
    </row>
    <row r="72" spans="1:9" s="6" customFormat="1" ht="17.25" customHeight="1">
      <c r="A72" s="411" t="s">
        <v>55</v>
      </c>
      <c r="B72" s="31" t="s">
        <v>56</v>
      </c>
      <c r="C72" s="33">
        <f>SUM(C73+C75+C76)</f>
        <v>3147.5885699999999</v>
      </c>
      <c r="D72" s="33">
        <f>SUM(D73:D76)</f>
        <v>2247.2812699999999</v>
      </c>
      <c r="E72" s="34">
        <f t="shared" si="3"/>
        <v>71.396919261274348</v>
      </c>
      <c r="F72" s="34">
        <f t="shared" si="4"/>
        <v>-900.30729999999994</v>
      </c>
      <c r="I72" s="104"/>
    </row>
    <row r="73" spans="1:9" ht="15.75" customHeight="1">
      <c r="A73" s="35" t="s">
        <v>57</v>
      </c>
      <c r="B73" s="39" t="s">
        <v>58</v>
      </c>
      <c r="C73" s="184"/>
      <c r="D73" s="184">
        <v>0</v>
      </c>
      <c r="E73" s="38" t="e">
        <f t="shared" si="3"/>
        <v>#DIV/0!</v>
      </c>
      <c r="F73" s="38">
        <f t="shared" si="4"/>
        <v>0</v>
      </c>
    </row>
    <row r="74" spans="1:9" s="6" customFormat="1" ht="19.5" customHeight="1">
      <c r="A74" s="35" t="s">
        <v>59</v>
      </c>
      <c r="B74" s="39" t="s">
        <v>60</v>
      </c>
      <c r="C74" s="184">
        <v>0</v>
      </c>
      <c r="D74" s="184">
        <v>0</v>
      </c>
      <c r="E74" s="38" t="e">
        <f t="shared" si="3"/>
        <v>#DIV/0!</v>
      </c>
      <c r="F74" s="38">
        <f t="shared" si="4"/>
        <v>0</v>
      </c>
      <c r="G74" s="50"/>
    </row>
    <row r="75" spans="1:9">
      <c r="A75" s="35" t="s">
        <v>61</v>
      </c>
      <c r="B75" s="39" t="s">
        <v>62</v>
      </c>
      <c r="C75" s="184">
        <v>3071.98857</v>
      </c>
      <c r="D75" s="184">
        <v>2171.68127</v>
      </c>
      <c r="E75" s="38">
        <f t="shared" si="3"/>
        <v>70.693012702192448</v>
      </c>
      <c r="F75" s="38">
        <f t="shared" si="4"/>
        <v>-900.30729999999994</v>
      </c>
    </row>
    <row r="76" spans="1:9">
      <c r="A76" s="35" t="s">
        <v>63</v>
      </c>
      <c r="B76" s="39" t="s">
        <v>64</v>
      </c>
      <c r="C76" s="184">
        <v>75.599999999999994</v>
      </c>
      <c r="D76" s="184">
        <v>75.599999999999994</v>
      </c>
      <c r="E76" s="38">
        <f t="shared" si="3"/>
        <v>100</v>
      </c>
      <c r="F76" s="38">
        <f t="shared" si="4"/>
        <v>0</v>
      </c>
    </row>
    <row r="77" spans="1:9" s="6" customFormat="1" ht="18" customHeight="1">
      <c r="A77" s="30" t="s">
        <v>65</v>
      </c>
      <c r="B77" s="31" t="s">
        <v>66</v>
      </c>
      <c r="C77" s="33">
        <f>SUM(C78:C80)</f>
        <v>1280.413</v>
      </c>
      <c r="D77" s="33">
        <f>SUM(D78:D80)</f>
        <v>1277.44579</v>
      </c>
      <c r="E77" s="34">
        <f t="shared" si="3"/>
        <v>99.768261490628404</v>
      </c>
      <c r="F77" s="34">
        <f t="shared" si="4"/>
        <v>-2.9672100000000228</v>
      </c>
    </row>
    <row r="78" spans="1:9" ht="15" hidden="1" customHeight="1">
      <c r="A78" s="30" t="s">
        <v>65</v>
      </c>
      <c r="B78" s="51" t="s">
        <v>68</v>
      </c>
      <c r="C78" s="184"/>
      <c r="D78" s="184"/>
      <c r="E78" s="38" t="e">
        <f t="shared" si="3"/>
        <v>#DIV/0!</v>
      </c>
      <c r="F78" s="38">
        <f t="shared" si="4"/>
        <v>0</v>
      </c>
    </row>
    <row r="79" spans="1:9" ht="15.75" customHeight="1">
      <c r="A79" s="35" t="s">
        <v>69</v>
      </c>
      <c r="B79" s="51" t="s">
        <v>70</v>
      </c>
      <c r="C79" s="184">
        <v>186.56100000000001</v>
      </c>
      <c r="D79" s="184">
        <v>183.6</v>
      </c>
      <c r="E79" s="38">
        <f t="shared" si="3"/>
        <v>98.41285156061555</v>
      </c>
      <c r="F79" s="38">
        <f t="shared" si="4"/>
        <v>-2.9610000000000127</v>
      </c>
    </row>
    <row r="80" spans="1:9">
      <c r="A80" s="35" t="s">
        <v>71</v>
      </c>
      <c r="B80" s="39" t="s">
        <v>72</v>
      </c>
      <c r="C80" s="184">
        <v>1093.8520000000001</v>
      </c>
      <c r="D80" s="184">
        <v>1093.8457900000001</v>
      </c>
      <c r="E80" s="38">
        <f t="shared" si="3"/>
        <v>99.999432281515226</v>
      </c>
      <c r="F80" s="38">
        <f t="shared" si="4"/>
        <v>-6.2100000000100408E-3</v>
      </c>
    </row>
    <row r="81" spans="1:12" s="6" customFormat="1">
      <c r="A81" s="30" t="s">
        <v>83</v>
      </c>
      <c r="B81" s="31" t="s">
        <v>84</v>
      </c>
      <c r="C81" s="33">
        <f>C82</f>
        <v>832.4</v>
      </c>
      <c r="D81" s="33">
        <f>SUM(D82)</f>
        <v>832.4</v>
      </c>
      <c r="E81" s="34">
        <f t="shared" si="3"/>
        <v>100</v>
      </c>
      <c r="F81" s="34">
        <f t="shared" si="4"/>
        <v>0</v>
      </c>
    </row>
    <row r="82" spans="1:12" ht="15.75" customHeight="1">
      <c r="A82" s="35" t="s">
        <v>85</v>
      </c>
      <c r="B82" s="39" t="s">
        <v>214</v>
      </c>
      <c r="C82" s="184">
        <v>832.4</v>
      </c>
      <c r="D82" s="184">
        <v>832.4</v>
      </c>
      <c r="E82" s="38">
        <f t="shared" si="3"/>
        <v>100</v>
      </c>
      <c r="F82" s="38">
        <f t="shared" si="4"/>
        <v>0</v>
      </c>
      <c r="L82" s="103"/>
    </row>
    <row r="83" spans="1:12" s="6" customFormat="1">
      <c r="A83" s="35" t="s">
        <v>198</v>
      </c>
      <c r="B83" s="31" t="s">
        <v>86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2">
        <v>1000</v>
      </c>
      <c r="B84" s="54" t="s">
        <v>87</v>
      </c>
      <c r="C84" s="184"/>
      <c r="D84" s="184"/>
      <c r="E84" s="226" t="e">
        <f>SUM(D84/C84*100)</f>
        <v>#DIV/0!</v>
      </c>
      <c r="F84" s="226">
        <f>SUM(D84-C84)</f>
        <v>0</v>
      </c>
    </row>
    <row r="85" spans="1:12" hidden="1">
      <c r="A85" s="53">
        <v>1001</v>
      </c>
      <c r="B85" s="54" t="s">
        <v>88</v>
      </c>
      <c r="C85" s="184"/>
      <c r="D85" s="184"/>
      <c r="E85" s="226" t="e">
        <f>SUM(D85/C85*100)</f>
        <v>#DIV/0!</v>
      </c>
      <c r="F85" s="226">
        <f>SUM(D85-C85)</f>
        <v>0</v>
      </c>
    </row>
    <row r="86" spans="1:12" hidden="1">
      <c r="A86" s="53">
        <v>1003</v>
      </c>
      <c r="B86" s="54" t="s">
        <v>89</v>
      </c>
      <c r="C86" s="184"/>
      <c r="D86" s="187"/>
      <c r="E86" s="226" t="e">
        <f>SUM(D86/C86*100)</f>
        <v>#DIV/0!</v>
      </c>
      <c r="F86" s="226">
        <f>SUM(D86-C86)</f>
        <v>0</v>
      </c>
    </row>
    <row r="87" spans="1:12" ht="15" customHeight="1">
      <c r="A87" s="53">
        <v>1004</v>
      </c>
      <c r="B87" s="39" t="s">
        <v>91</v>
      </c>
      <c r="C87" s="184">
        <v>0</v>
      </c>
      <c r="D87" s="184">
        <v>0</v>
      </c>
      <c r="E87" s="226" t="e">
        <f>SUM(D87/C87*100)</f>
        <v>#DIV/0!</v>
      </c>
      <c r="F87" s="226">
        <f>SUM(D87-C87)</f>
        <v>0</v>
      </c>
    </row>
    <row r="88" spans="1:12" ht="19.5" customHeight="1">
      <c r="A88" s="30" t="s">
        <v>92</v>
      </c>
      <c r="B88" s="31" t="s">
        <v>93</v>
      </c>
      <c r="C88" s="33">
        <f>C89+C90+C91+C92+C93</f>
        <v>2</v>
      </c>
      <c r="D88" s="33">
        <f>D89+D90+D91+D92+D93</f>
        <v>0</v>
      </c>
      <c r="E88" s="38">
        <f t="shared" si="3"/>
        <v>0</v>
      </c>
      <c r="F88" s="22">
        <f>F89+F90+F91+F92+F93</f>
        <v>-2</v>
      </c>
    </row>
    <row r="89" spans="1:12" ht="15.75" customHeight="1">
      <c r="A89" s="35" t="s">
        <v>94</v>
      </c>
      <c r="B89" s="39" t="s">
        <v>95</v>
      </c>
      <c r="C89" s="184">
        <v>2</v>
      </c>
      <c r="D89" s="184">
        <v>0</v>
      </c>
      <c r="E89" s="38">
        <f t="shared" si="3"/>
        <v>0</v>
      </c>
      <c r="F89" s="38">
        <f>SUM(D89-C89)</f>
        <v>-2</v>
      </c>
    </row>
    <row r="90" spans="1:12" ht="0.75" hidden="1" customHeight="1">
      <c r="A90" s="35" t="s">
        <v>94</v>
      </c>
      <c r="B90" s="39" t="s">
        <v>97</v>
      </c>
      <c r="C90" s="184"/>
      <c r="D90" s="184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96</v>
      </c>
      <c r="B91" s="39" t="s">
        <v>99</v>
      </c>
      <c r="C91" s="184"/>
      <c r="D91" s="184"/>
      <c r="E91" s="38" t="e">
        <f t="shared" si="3"/>
        <v>#DIV/0!</v>
      </c>
      <c r="F91" s="38"/>
    </row>
    <row r="92" spans="1:12" ht="3" hidden="1" customHeight="1">
      <c r="A92" s="35" t="s">
        <v>98</v>
      </c>
      <c r="B92" s="39" t="s">
        <v>101</v>
      </c>
      <c r="C92" s="184"/>
      <c r="D92" s="184"/>
      <c r="E92" s="38" t="e">
        <f t="shared" si="3"/>
        <v>#DIV/0!</v>
      </c>
      <c r="F92" s="38"/>
    </row>
    <row r="93" spans="1:12" ht="15" hidden="1" customHeight="1">
      <c r="A93" s="35" t="s">
        <v>100</v>
      </c>
      <c r="B93" s="39" t="s">
        <v>103</v>
      </c>
      <c r="C93" s="184"/>
      <c r="D93" s="184"/>
      <c r="E93" s="38" t="e">
        <f t="shared" si="3"/>
        <v>#DIV/0!</v>
      </c>
      <c r="F93" s="38"/>
    </row>
    <row r="94" spans="1:12" s="6" customFormat="1" ht="12" hidden="1" customHeight="1">
      <c r="A94" s="35" t="s">
        <v>102</v>
      </c>
      <c r="B94" s="56" t="s">
        <v>112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2">
        <v>1400</v>
      </c>
      <c r="B95" s="54" t="s">
        <v>113</v>
      </c>
      <c r="C95" s="184"/>
      <c r="D95" s="184"/>
      <c r="E95" s="38" t="e">
        <f t="shared" si="3"/>
        <v>#DIV/0!</v>
      </c>
      <c r="F95" s="38">
        <f t="shared" si="4"/>
        <v>0</v>
      </c>
    </row>
    <row r="96" spans="1:12" hidden="1">
      <c r="A96" s="53">
        <v>1401</v>
      </c>
      <c r="B96" s="54" t="s">
        <v>114</v>
      </c>
      <c r="C96" s="184"/>
      <c r="D96" s="184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1402</v>
      </c>
      <c r="B97" s="54" t="s">
        <v>115</v>
      </c>
      <c r="C97" s="184"/>
      <c r="D97" s="184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3"/>
      <c r="B98" s="57" t="s">
        <v>116</v>
      </c>
      <c r="C98" s="440">
        <f>C56+C64+C66+C72+C77+C81+C88+C83</f>
        <v>7169.673569999999</v>
      </c>
      <c r="D98" s="440">
        <f>D56+D64+D66+D72+D77+D81+D88+D83</f>
        <v>6245.9628599999996</v>
      </c>
      <c r="E98" s="34">
        <f t="shared" si="3"/>
        <v>87.116418885999579</v>
      </c>
      <c r="F98" s="34">
        <f t="shared" si="4"/>
        <v>-923.71070999999938</v>
      </c>
      <c r="G98" s="139"/>
      <c r="H98" s="242"/>
    </row>
    <row r="99" spans="1:8" ht="20.25" customHeight="1">
      <c r="A99" s="52"/>
      <c r="C99" s="122"/>
      <c r="D99" s="97"/>
    </row>
    <row r="100" spans="1:8" s="65" customFormat="1" ht="13.5" customHeight="1">
      <c r="A100" s="58"/>
      <c r="B100" s="63"/>
      <c r="C100" s="112"/>
      <c r="D100" s="64"/>
      <c r="E100" s="64"/>
    </row>
    <row r="101" spans="1:8" s="65" customFormat="1" ht="12.75">
      <c r="A101" s="63" t="s">
        <v>117</v>
      </c>
      <c r="B101" s="66"/>
      <c r="C101" s="130" t="s">
        <v>119</v>
      </c>
      <c r="D101" s="130"/>
    </row>
    <row r="102" spans="1:8">
      <c r="A102" s="66" t="s">
        <v>118</v>
      </c>
      <c r="C102" s="116"/>
    </row>
    <row r="104" spans="1:8" ht="5.25" customHeight="1"/>
    <row r="142" hidden="1"/>
  </sheetData>
  <customSheetViews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1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3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4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5"/>
    </customSheetView>
    <customSheetView guid="{B31C8DB7-3E78-4144-A6B5-8DE36DE63F0E}" hiddenRows="1" topLeftCell="A50">
      <selection activeCell="C66" sqref="C66:D66"/>
      <pageMargins left="0.7" right="0.7" top="0.75" bottom="0.75" header="0.3" footer="0.3"/>
      <pageSetup paperSize="9" scale="54" orientation="portrait" r:id="rId6"/>
    </customSheetView>
    <customSheetView guid="{B30CE22D-C12F-4E12-8BB9-3AAE0A6991CC}" scale="70" showPageBreaks="1" hiddenRows="1" view="pageBreakPreview" topLeftCell="A46">
      <selection activeCell="D83" sqref="D83"/>
      <pageMargins left="0.70866141732283472" right="0.70866141732283472" top="0.74803149606299213" bottom="0.74803149606299213" header="0.31496062992125984" footer="0.31496062992125984"/>
      <pageSetup paperSize="9" scale="53" orientation="portrait" r:id="rId7"/>
    </customSheetView>
    <customSheetView guid="{1718F1EE-9F48-4DBE-9531-3B70F9C4A5DD}" scale="70" showPageBreaks="1" hiddenRows="1" view="pageBreakPreview" topLeftCell="A32">
      <selection activeCell="D76" sqref="D76"/>
      <pageMargins left="0.7" right="0.7" top="0.75" bottom="0.75" header="0.3" footer="0.3"/>
      <pageSetup paperSize="9" scale="39" orientation="portrait" r:id="rId8"/>
    </customSheetView>
    <customSheetView guid="{61528DAC-5C4C-48F4-ADE2-8A724B05A086}" scale="70" showPageBreaks="1" hiddenRows="1" view="pageBreakPreview" topLeftCell="A34">
      <selection activeCell="C89" sqref="C89"/>
      <pageMargins left="0.70866141732283472" right="0.70866141732283472" top="0.74803149606299213" bottom="0.74803149606299213" header="0.31496062992125984" footer="0.31496062992125984"/>
      <pageSetup paperSize="9" scale="53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42"/>
  <sheetViews>
    <sheetView view="pageBreakPreview" topLeftCell="A34" zoomScale="70" zoomScaleSheetLayoutView="70" workbookViewId="0">
      <selection activeCell="C97" sqref="C97:D97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43" t="s">
        <v>427</v>
      </c>
      <c r="B1" s="543"/>
      <c r="C1" s="543"/>
      <c r="D1" s="543"/>
      <c r="E1" s="543"/>
      <c r="F1" s="543"/>
    </row>
    <row r="2" spans="1:6">
      <c r="A2" s="543"/>
      <c r="B2" s="543"/>
      <c r="C2" s="543"/>
      <c r="D2" s="543"/>
      <c r="E2" s="543"/>
      <c r="F2" s="543"/>
    </row>
    <row r="3" spans="1:6" ht="43.5" customHeight="1">
      <c r="A3" s="2" t="s">
        <v>0</v>
      </c>
      <c r="B3" s="2" t="s">
        <v>1</v>
      </c>
      <c r="C3" s="72" t="s">
        <v>382</v>
      </c>
      <c r="D3" s="168" t="s">
        <v>403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3023.3519999999999</v>
      </c>
      <c r="D4" s="5">
        <f>D5+D12+D14+D17+D7</f>
        <v>2979.5733100000002</v>
      </c>
      <c r="E4" s="5">
        <f>SUM(D4/C4*100)</f>
        <v>98.551981707720444</v>
      </c>
      <c r="F4" s="5">
        <f>SUM(D4-C4)</f>
        <v>-43.778689999999642</v>
      </c>
    </row>
    <row r="5" spans="1:6" s="6" customFormat="1">
      <c r="A5" s="68">
        <v>1010000000</v>
      </c>
      <c r="B5" s="67" t="s">
        <v>5</v>
      </c>
      <c r="C5" s="5">
        <f>C6</f>
        <v>115.4</v>
      </c>
      <c r="D5" s="5">
        <f>D6</f>
        <v>127.20422000000001</v>
      </c>
      <c r="E5" s="5">
        <f t="shared" ref="E5:E50" si="0">SUM(D5/C5*100)</f>
        <v>110.22896013864818</v>
      </c>
      <c r="F5" s="5">
        <f t="shared" ref="F5:F50" si="1">SUM(D5-C5)</f>
        <v>11.804220000000001</v>
      </c>
    </row>
    <row r="6" spans="1:6">
      <c r="A6" s="7">
        <v>1010200001</v>
      </c>
      <c r="B6" s="8" t="s">
        <v>209</v>
      </c>
      <c r="C6" s="9">
        <v>115.4</v>
      </c>
      <c r="D6" s="10">
        <v>127.20422000000001</v>
      </c>
      <c r="E6" s="9">
        <f t="shared" ref="E6:E11" si="2">SUM(D6/C6*100)</f>
        <v>110.22896013864818</v>
      </c>
      <c r="F6" s="9">
        <f t="shared" si="1"/>
        <v>11.804220000000001</v>
      </c>
    </row>
    <row r="7" spans="1:6" ht="31.5">
      <c r="A7" s="3">
        <v>1030000000</v>
      </c>
      <c r="B7" s="13" t="s">
        <v>250</v>
      </c>
      <c r="C7" s="5">
        <f>C8+C10+C9</f>
        <v>609.93999999999994</v>
      </c>
      <c r="D7" s="216">
        <f>D8+D10+D9+D11</f>
        <v>579.21430000000009</v>
      </c>
      <c r="E7" s="5">
        <f t="shared" si="2"/>
        <v>94.962504508640222</v>
      </c>
      <c r="F7" s="5">
        <f t="shared" si="1"/>
        <v>-30.725699999999847</v>
      </c>
    </row>
    <row r="8" spans="1:6">
      <c r="A8" s="7">
        <v>1030223001</v>
      </c>
      <c r="B8" s="8" t="s">
        <v>252</v>
      </c>
      <c r="C8" s="9">
        <v>227.51</v>
      </c>
      <c r="D8" s="10">
        <v>267.15550999999999</v>
      </c>
      <c r="E8" s="9">
        <f t="shared" si="2"/>
        <v>117.42583183156785</v>
      </c>
      <c r="F8" s="9">
        <f t="shared" si="1"/>
        <v>39.645510000000002</v>
      </c>
    </row>
    <row r="9" spans="1:6">
      <c r="A9" s="7">
        <v>1030224001</v>
      </c>
      <c r="B9" s="8" t="s">
        <v>258</v>
      </c>
      <c r="C9" s="9">
        <v>2.4300000000000002</v>
      </c>
      <c r="D9" s="10">
        <v>1.91089</v>
      </c>
      <c r="E9" s="9">
        <f t="shared" si="2"/>
        <v>78.637448559670773</v>
      </c>
      <c r="F9" s="9">
        <f t="shared" si="1"/>
        <v>-0.51911000000000018</v>
      </c>
    </row>
    <row r="10" spans="1:6">
      <c r="A10" s="7">
        <v>1030225001</v>
      </c>
      <c r="B10" s="8" t="s">
        <v>251</v>
      </c>
      <c r="C10" s="9">
        <v>380</v>
      </c>
      <c r="D10" s="10">
        <v>359.39922000000001</v>
      </c>
      <c r="E10" s="9">
        <f t="shared" si="2"/>
        <v>94.57874210526316</v>
      </c>
      <c r="F10" s="9">
        <f t="shared" si="1"/>
        <v>-20.600779999999986</v>
      </c>
    </row>
    <row r="11" spans="1:6">
      <c r="A11" s="7">
        <v>1030226001</v>
      </c>
      <c r="B11" s="8" t="s">
        <v>260</v>
      </c>
      <c r="C11" s="9">
        <v>0</v>
      </c>
      <c r="D11" s="10">
        <v>-49.25132</v>
      </c>
      <c r="E11" s="9" t="e">
        <f t="shared" si="2"/>
        <v>#DIV/0!</v>
      </c>
      <c r="F11" s="9">
        <f t="shared" si="1"/>
        <v>-49.25132</v>
      </c>
    </row>
    <row r="12" spans="1:6" s="6" customFormat="1">
      <c r="A12" s="68">
        <v>1050000000</v>
      </c>
      <c r="B12" s="67" t="s">
        <v>6</v>
      </c>
      <c r="C12" s="5">
        <f>SUM(C13:C13)</f>
        <v>49.012</v>
      </c>
      <c r="D12" s="5">
        <f>SUM(D13:D13)</f>
        <v>179.7432</v>
      </c>
      <c r="E12" s="5">
        <f t="shared" si="0"/>
        <v>366.73304496857912</v>
      </c>
      <c r="F12" s="5">
        <f t="shared" si="1"/>
        <v>130.7312</v>
      </c>
    </row>
    <row r="13" spans="1:6" ht="15.75" customHeight="1">
      <c r="A13" s="7">
        <v>1050300000</v>
      </c>
      <c r="B13" s="11" t="s">
        <v>210</v>
      </c>
      <c r="C13" s="12">
        <v>49.012</v>
      </c>
      <c r="D13" s="10">
        <v>179.7432</v>
      </c>
      <c r="E13" s="9">
        <f t="shared" si="0"/>
        <v>366.73304496857912</v>
      </c>
      <c r="F13" s="9">
        <f t="shared" si="1"/>
        <v>130.7312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2239</v>
      </c>
      <c r="D14" s="5">
        <f>D15+D16</f>
        <v>2090.3115900000003</v>
      </c>
      <c r="E14" s="5">
        <f t="shared" si="0"/>
        <v>93.359159892809302</v>
      </c>
      <c r="F14" s="5">
        <f t="shared" si="1"/>
        <v>-148.68840999999975</v>
      </c>
    </row>
    <row r="15" spans="1:6" s="6" customFormat="1" ht="15.75" customHeight="1">
      <c r="A15" s="7">
        <v>1060100000</v>
      </c>
      <c r="B15" s="11" t="s">
        <v>8</v>
      </c>
      <c r="C15" s="9">
        <v>260</v>
      </c>
      <c r="D15" s="10">
        <v>247.78458000000001</v>
      </c>
      <c r="E15" s="9">
        <f t="shared" si="0"/>
        <v>95.301761538461534</v>
      </c>
      <c r="F15" s="9">
        <f>SUM(D15-C15)</f>
        <v>-12.215419999999995</v>
      </c>
    </row>
    <row r="16" spans="1:6" ht="15.75" customHeight="1">
      <c r="A16" s="7">
        <v>1060600000</v>
      </c>
      <c r="B16" s="11" t="s">
        <v>7</v>
      </c>
      <c r="C16" s="9">
        <v>1979</v>
      </c>
      <c r="D16" s="10">
        <v>1842.52701</v>
      </c>
      <c r="E16" s="9">
        <f t="shared" si="0"/>
        <v>93.103941889843355</v>
      </c>
      <c r="F16" s="9">
        <f t="shared" si="1"/>
        <v>-136.47298999999998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3.1</v>
      </c>
      <c r="E17" s="5">
        <f t="shared" si="0"/>
        <v>31</v>
      </c>
      <c r="F17" s="5">
        <f t="shared" si="1"/>
        <v>-6.9</v>
      </c>
    </row>
    <row r="18" spans="1:6" ht="15" customHeight="1">
      <c r="A18" s="7">
        <v>1080400001</v>
      </c>
      <c r="B18" s="8" t="s">
        <v>208</v>
      </c>
      <c r="C18" s="9">
        <v>10</v>
      </c>
      <c r="D18" s="10">
        <v>3.1</v>
      </c>
      <c r="E18" s="9">
        <f t="shared" si="0"/>
        <v>31</v>
      </c>
      <c r="F18" s="9">
        <f t="shared" si="1"/>
        <v>-6.9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213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472.8</v>
      </c>
      <c r="D25" s="5">
        <f>D26+D29+D31+D34+D36</f>
        <v>913.14018999999996</v>
      </c>
      <c r="E25" s="5">
        <f t="shared" si="0"/>
        <v>193.13455795262266</v>
      </c>
      <c r="F25" s="5">
        <f t="shared" si="1"/>
        <v>440.34018999999995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432.8</v>
      </c>
      <c r="D26" s="5">
        <f>D27+D28</f>
        <v>868.74847</v>
      </c>
      <c r="E26" s="5">
        <f t="shared" si="0"/>
        <v>200.72746534195934</v>
      </c>
      <c r="F26" s="5">
        <f t="shared" si="1"/>
        <v>435.94846999999999</v>
      </c>
    </row>
    <row r="27" spans="1:6">
      <c r="A27" s="16">
        <v>1110502510</v>
      </c>
      <c r="B27" s="17" t="s">
        <v>206</v>
      </c>
      <c r="C27" s="12">
        <v>353.3</v>
      </c>
      <c r="D27" s="10">
        <v>833.79245000000003</v>
      </c>
      <c r="E27" s="9">
        <f t="shared" si="0"/>
        <v>236.00125955278801</v>
      </c>
      <c r="F27" s="9">
        <f t="shared" si="1"/>
        <v>480.49245000000002</v>
      </c>
    </row>
    <row r="28" spans="1:6">
      <c r="A28" s="7">
        <v>1110503510</v>
      </c>
      <c r="B28" s="11" t="s">
        <v>205</v>
      </c>
      <c r="C28" s="12">
        <v>79.5</v>
      </c>
      <c r="D28" s="10">
        <v>34.956020000000002</v>
      </c>
      <c r="E28" s="9">
        <f t="shared" si="0"/>
        <v>43.969836477987421</v>
      </c>
      <c r="F28" s="9">
        <f t="shared" si="1"/>
        <v>-44.543979999999998</v>
      </c>
    </row>
    <row r="29" spans="1:6" s="15" customFormat="1" ht="19.5" customHeight="1">
      <c r="A29" s="68">
        <v>1130000000</v>
      </c>
      <c r="B29" s="69" t="s">
        <v>128</v>
      </c>
      <c r="C29" s="5">
        <f>C30</f>
        <v>40</v>
      </c>
      <c r="D29" s="5">
        <f>D30</f>
        <v>36.642240000000001</v>
      </c>
      <c r="E29" s="5">
        <f t="shared" si="0"/>
        <v>91.605599999999995</v>
      </c>
      <c r="F29" s="5">
        <f t="shared" si="1"/>
        <v>-3.357759999999999</v>
      </c>
    </row>
    <row r="30" spans="1:6" ht="21" customHeight="1">
      <c r="A30" s="7">
        <v>1130206510</v>
      </c>
      <c r="B30" s="8" t="s">
        <v>14</v>
      </c>
      <c r="C30" s="9">
        <v>40</v>
      </c>
      <c r="D30" s="10">
        <v>36.642240000000001</v>
      </c>
      <c r="E30" s="9">
        <f t="shared" si="0"/>
        <v>91.605599999999995</v>
      </c>
      <c r="F30" s="9">
        <f t="shared" si="1"/>
        <v>-3.357759999999999</v>
      </c>
    </row>
    <row r="31" spans="1:6" ht="25.5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3.5" customHeight="1">
      <c r="A32" s="16">
        <v>1140200000</v>
      </c>
      <c r="B32" s="18" t="s">
        <v>202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.75" customHeight="1">
      <c r="A33" s="7">
        <v>1140600000</v>
      </c>
      <c r="B33" s="8" t="s">
        <v>203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225</v>
      </c>
      <c r="C34" s="9">
        <f>C35</f>
        <v>0</v>
      </c>
      <c r="D34" s="14">
        <f>D35</f>
        <v>7.7494800000000001</v>
      </c>
      <c r="E34" s="9" t="e">
        <f t="shared" si="0"/>
        <v>#DIV/0!</v>
      </c>
      <c r="F34" s="9">
        <f t="shared" si="1"/>
        <v>7.7494800000000001</v>
      </c>
    </row>
    <row r="35" spans="1:7" ht="78.75">
      <c r="A35" s="7">
        <v>1160700000</v>
      </c>
      <c r="B35" s="8" t="s">
        <v>383</v>
      </c>
      <c r="C35" s="9"/>
      <c r="D35" s="10">
        <v>7.7494800000000001</v>
      </c>
      <c r="E35" s="9" t="e">
        <f t="shared" si="0"/>
        <v>#DIV/0!</v>
      </c>
      <c r="F35" s="9">
        <f t="shared" si="1"/>
        <v>7.7494800000000001</v>
      </c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9" t="e">
        <f t="shared" si="0"/>
        <v>#DIV/0!</v>
      </c>
      <c r="F36" s="5">
        <f t="shared" si="1"/>
        <v>0</v>
      </c>
    </row>
    <row r="37" spans="1:7" ht="18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hidden="1" customHeight="1">
      <c r="A38" s="7">
        <v>1170505005</v>
      </c>
      <c r="B38" s="11" t="s">
        <v>201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16</v>
      </c>
      <c r="C39" s="123">
        <f>SUM(C4,C25)</f>
        <v>3496.152</v>
      </c>
      <c r="D39" s="123">
        <f>SUM(D4,D25)</f>
        <v>3892.7135000000003</v>
      </c>
      <c r="E39" s="5">
        <f t="shared" si="0"/>
        <v>111.34279916891485</v>
      </c>
      <c r="F39" s="5">
        <f t="shared" si="1"/>
        <v>396.56150000000025</v>
      </c>
    </row>
    <row r="40" spans="1:7" s="6" customFormat="1">
      <c r="A40" s="3">
        <v>2000000000</v>
      </c>
      <c r="B40" s="4" t="s">
        <v>17</v>
      </c>
      <c r="C40" s="216">
        <f>C41+C43+C44+C45+C46+C47+C48+C42</f>
        <v>5207.5140000000001</v>
      </c>
      <c r="D40" s="216">
        <f>SUM(D41:D48)</f>
        <v>5397.6930000000002</v>
      </c>
      <c r="E40" s="5">
        <f t="shared" si="0"/>
        <v>103.65201130520245</v>
      </c>
      <c r="F40" s="5">
        <f t="shared" si="1"/>
        <v>190.17900000000009</v>
      </c>
      <c r="G40" s="19"/>
    </row>
    <row r="41" spans="1:7" ht="15" customHeight="1">
      <c r="A41" s="16">
        <v>2021000000</v>
      </c>
      <c r="B41" s="17" t="s">
        <v>18</v>
      </c>
      <c r="C41" s="12">
        <v>415.4</v>
      </c>
      <c r="D41" s="237">
        <v>415.4</v>
      </c>
      <c r="E41" s="9">
        <f t="shared" si="0"/>
        <v>100</v>
      </c>
      <c r="F41" s="9">
        <f t="shared" si="1"/>
        <v>0</v>
      </c>
    </row>
    <row r="42" spans="1:7" ht="15" customHeight="1">
      <c r="A42" s="16">
        <v>2021500200</v>
      </c>
      <c r="B42" s="17" t="s">
        <v>212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3686.98</v>
      </c>
      <c r="D43" s="10">
        <v>3684.5590000000002</v>
      </c>
      <c r="E43" s="9">
        <f t="shared" si="0"/>
        <v>99.934336503045856</v>
      </c>
      <c r="F43" s="9">
        <f t="shared" si="1"/>
        <v>-2.4209999999998217</v>
      </c>
    </row>
    <row r="44" spans="1:7" ht="18.75" customHeight="1">
      <c r="A44" s="16">
        <v>2023000000</v>
      </c>
      <c r="B44" s="17" t="s">
        <v>20</v>
      </c>
      <c r="C44" s="12">
        <v>99.183999999999997</v>
      </c>
      <c r="D44" s="175">
        <v>99.183999999999997</v>
      </c>
      <c r="E44" s="9">
        <f t="shared" si="0"/>
        <v>100</v>
      </c>
      <c r="F44" s="9">
        <f t="shared" si="1"/>
        <v>0</v>
      </c>
    </row>
    <row r="45" spans="1:7" ht="17.25" customHeight="1">
      <c r="A45" s="16">
        <v>2024000000</v>
      </c>
      <c r="B45" s="17" t="s">
        <v>21</v>
      </c>
      <c r="C45" s="12">
        <v>1005.95</v>
      </c>
      <c r="D45" s="176">
        <v>1005.95</v>
      </c>
      <c r="E45" s="9">
        <f t="shared" si="0"/>
        <v>100</v>
      </c>
      <c r="F45" s="9">
        <f t="shared" si="1"/>
        <v>0</v>
      </c>
    </row>
    <row r="46" spans="1:7" ht="16.5" hidden="1" customHeight="1">
      <c r="A46" s="16">
        <v>2020900000</v>
      </c>
      <c r="B46" s="18" t="s">
        <v>22</v>
      </c>
      <c r="C46" s="12"/>
      <c r="D46" s="176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23</v>
      </c>
      <c r="C47" s="10">
        <v>0</v>
      </c>
      <c r="D47" s="239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272</v>
      </c>
      <c r="C48" s="10"/>
      <c r="D48" s="10">
        <v>192.6</v>
      </c>
      <c r="E48" s="9" t="e">
        <f>SUM(D48/C48*100)</f>
        <v>#DIV/0!</v>
      </c>
      <c r="F48" s="9">
        <f>SUM(D48-C48)</f>
        <v>192.6</v>
      </c>
    </row>
    <row r="49" spans="1:8" s="6" customFormat="1" ht="16.5" customHeight="1">
      <c r="A49" s="227">
        <v>2190000010</v>
      </c>
      <c r="B49" s="228" t="s">
        <v>23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25</v>
      </c>
      <c r="C50" s="447">
        <f>C39+C40</f>
        <v>8703.6660000000011</v>
      </c>
      <c r="D50" s="446">
        <f>D39+D40</f>
        <v>9290.406500000001</v>
      </c>
      <c r="E50" s="5">
        <f t="shared" si="0"/>
        <v>106.74130303253824</v>
      </c>
      <c r="F50" s="5">
        <f t="shared" si="1"/>
        <v>586.74049999999988</v>
      </c>
      <c r="G50" s="91"/>
      <c r="H50" s="241"/>
    </row>
    <row r="51" spans="1:8" s="6" customFormat="1">
      <c r="A51" s="3"/>
      <c r="B51" s="21" t="s">
        <v>290</v>
      </c>
      <c r="C51" s="90">
        <f>C50-C97</f>
        <v>-337.53988999999819</v>
      </c>
      <c r="D51" s="90">
        <f>D50-D97</f>
        <v>572.51568000000043</v>
      </c>
      <c r="E51" s="22"/>
      <c r="F51" s="22"/>
    </row>
    <row r="52" spans="1:8">
      <c r="A52" s="23"/>
      <c r="B52" s="24"/>
      <c r="C52" s="224"/>
      <c r="D52" s="224" t="s">
        <v>304</v>
      </c>
      <c r="E52" s="26"/>
      <c r="F52" s="89"/>
    </row>
    <row r="53" spans="1:8" ht="42.75" customHeight="1">
      <c r="A53" s="28" t="s">
        <v>0</v>
      </c>
      <c r="B53" s="28" t="s">
        <v>26</v>
      </c>
      <c r="C53" s="167" t="s">
        <v>382</v>
      </c>
      <c r="D53" s="168" t="s">
        <v>403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5">
        <v>3</v>
      </c>
      <c r="D54" s="85">
        <v>4</v>
      </c>
      <c r="E54" s="85">
        <v>5</v>
      </c>
      <c r="F54" s="85">
        <v>6</v>
      </c>
    </row>
    <row r="55" spans="1:8" s="6" customFormat="1" ht="22.5" customHeight="1">
      <c r="A55" s="30" t="s">
        <v>27</v>
      </c>
      <c r="B55" s="31" t="s">
        <v>28</v>
      </c>
      <c r="C55" s="170">
        <f>C56+C57+C58+C59+C60+C62+C61</f>
        <v>1535.4959999999999</v>
      </c>
      <c r="D55" s="32">
        <f>D56+D57+D58+D59+D60+D62+D61</f>
        <v>1406.07395</v>
      </c>
      <c r="E55" s="34">
        <f>SUM(D55/C55*100)</f>
        <v>91.57131962571053</v>
      </c>
      <c r="F55" s="34">
        <f>SUM(D55-C55)</f>
        <v>-129.4220499999999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4" t="e">
        <f>SUM(D56/C56*100)</f>
        <v>#DIV/0!</v>
      </c>
      <c r="F56" s="38"/>
    </row>
    <row r="57" spans="1:8" ht="15" customHeight="1">
      <c r="A57" s="35" t="s">
        <v>31</v>
      </c>
      <c r="B57" s="39" t="s">
        <v>32</v>
      </c>
      <c r="C57" s="37">
        <v>1477.8679999999999</v>
      </c>
      <c r="D57" s="37">
        <v>1369.07395</v>
      </c>
      <c r="E57" s="34">
        <f>SUM(D57/C57*100)</f>
        <v>92.63844605878198</v>
      </c>
      <c r="F57" s="38">
        <f t="shared" ref="F57:F97" si="3">SUM(D57-C57)</f>
        <v>-108.79404999999997</v>
      </c>
    </row>
    <row r="58" spans="1:8" ht="16.5" hidden="1" customHeight="1">
      <c r="A58" s="35" t="s">
        <v>33</v>
      </c>
      <c r="B58" s="39" t="s">
        <v>34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 ht="15" customHeight="1">
      <c r="A60" s="35" t="s">
        <v>37</v>
      </c>
      <c r="B60" s="39" t="s">
        <v>38</v>
      </c>
      <c r="C60" s="37">
        <v>30</v>
      </c>
      <c r="D60" s="37">
        <v>30</v>
      </c>
      <c r="E60" s="38">
        <f t="shared" ref="E60:E97" si="4">SUM(D60/C60*100)</f>
        <v>100</v>
      </c>
      <c r="F60" s="38">
        <f t="shared" si="3"/>
        <v>0</v>
      </c>
    </row>
    <row r="61" spans="1:8">
      <c r="A61" s="35" t="s">
        <v>39</v>
      </c>
      <c r="B61" s="39" t="s">
        <v>40</v>
      </c>
      <c r="C61" s="40">
        <v>5</v>
      </c>
      <c r="D61" s="40">
        <v>0</v>
      </c>
      <c r="E61" s="38">
        <f t="shared" si="4"/>
        <v>0</v>
      </c>
      <c r="F61" s="38">
        <f t="shared" si="3"/>
        <v>-5</v>
      </c>
    </row>
    <row r="62" spans="1:8" ht="19.5" customHeight="1">
      <c r="A62" s="35" t="s">
        <v>41</v>
      </c>
      <c r="B62" s="39" t="s">
        <v>42</v>
      </c>
      <c r="C62" s="37">
        <v>22.628</v>
      </c>
      <c r="D62" s="37">
        <v>7</v>
      </c>
      <c r="E62" s="38">
        <f t="shared" si="4"/>
        <v>30.935124624359201</v>
      </c>
      <c r="F62" s="38">
        <f t="shared" si="3"/>
        <v>-15.628</v>
      </c>
    </row>
    <row r="63" spans="1:8" s="6" customFormat="1">
      <c r="A63" s="41" t="s">
        <v>43</v>
      </c>
      <c r="B63" s="42" t="s">
        <v>44</v>
      </c>
      <c r="C63" s="32">
        <f>C64</f>
        <v>99.183999999999997</v>
      </c>
      <c r="D63" s="32">
        <f>D64</f>
        <v>99.183999999999997</v>
      </c>
      <c r="E63" s="34">
        <f t="shared" si="4"/>
        <v>100</v>
      </c>
      <c r="F63" s="34">
        <f t="shared" si="3"/>
        <v>0</v>
      </c>
    </row>
    <row r="64" spans="1:8">
      <c r="A64" s="43" t="s">
        <v>45</v>
      </c>
      <c r="B64" s="44" t="s">
        <v>46</v>
      </c>
      <c r="C64" s="37">
        <v>99.183999999999997</v>
      </c>
      <c r="D64" s="37">
        <v>99.183999999999997</v>
      </c>
      <c r="E64" s="38">
        <f t="shared" si="4"/>
        <v>100</v>
      </c>
      <c r="F64" s="38">
        <f t="shared" si="3"/>
        <v>0</v>
      </c>
    </row>
    <row r="65" spans="1:7" s="6" customFormat="1" ht="21" customHeight="1">
      <c r="A65" s="30" t="s">
        <v>47</v>
      </c>
      <c r="B65" s="31" t="s">
        <v>48</v>
      </c>
      <c r="C65" s="32">
        <f>C68+C69+C70</f>
        <v>61.57</v>
      </c>
      <c r="D65" s="32">
        <f>SUM(D68+D69+D70)</f>
        <v>55.133420000000001</v>
      </c>
      <c r="E65" s="34">
        <f t="shared" si="4"/>
        <v>89.545915218450546</v>
      </c>
      <c r="F65" s="34">
        <f t="shared" si="3"/>
        <v>-6.4365799999999993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9.5" customHeight="1">
      <c r="A68" s="46" t="s">
        <v>53</v>
      </c>
      <c r="B68" s="47" t="s">
        <v>54</v>
      </c>
      <c r="C68" s="37">
        <v>30.222000000000001</v>
      </c>
      <c r="D68" s="37">
        <v>30.221910000000001</v>
      </c>
      <c r="E68" s="34">
        <f t="shared" si="4"/>
        <v>99.999702203692678</v>
      </c>
      <c r="F68" s="34">
        <f t="shared" si="3"/>
        <v>-9.0000000000145519E-5</v>
      </c>
    </row>
    <row r="69" spans="1:7">
      <c r="A69" s="46" t="s">
        <v>199</v>
      </c>
      <c r="B69" s="47" t="s">
        <v>200</v>
      </c>
      <c r="C69" s="37">
        <v>29.347999999999999</v>
      </c>
      <c r="D69" s="37">
        <v>22.91151</v>
      </c>
      <c r="E69" s="34">
        <f t="shared" si="4"/>
        <v>78.068386261414744</v>
      </c>
      <c r="F69" s="34">
        <f t="shared" si="3"/>
        <v>-6.4364899999999992</v>
      </c>
    </row>
    <row r="70" spans="1:7">
      <c r="A70" s="46" t="s">
        <v>320</v>
      </c>
      <c r="B70" s="47" t="s">
        <v>375</v>
      </c>
      <c r="C70" s="37">
        <v>2</v>
      </c>
      <c r="D70" s="37">
        <v>2</v>
      </c>
      <c r="E70" s="34"/>
      <c r="F70" s="34"/>
    </row>
    <row r="71" spans="1:7" s="6" customFormat="1" ht="17.25" customHeight="1">
      <c r="A71" s="30" t="s">
        <v>55</v>
      </c>
      <c r="B71" s="31" t="s">
        <v>56</v>
      </c>
      <c r="C71" s="48">
        <f>SUM(C72:C75)</f>
        <v>1712.37789</v>
      </c>
      <c r="D71" s="48">
        <f>SUM(D72:D75)</f>
        <v>1635.8781300000001</v>
      </c>
      <c r="E71" s="34">
        <f t="shared" si="4"/>
        <v>95.532542177357826</v>
      </c>
      <c r="F71" s="34">
        <f t="shared" si="3"/>
        <v>-76.499759999999924</v>
      </c>
    </row>
    <row r="72" spans="1:7">
      <c r="A72" s="35" t="s">
        <v>57</v>
      </c>
      <c r="B72" s="39" t="s">
        <v>58</v>
      </c>
      <c r="C72" s="49"/>
      <c r="D72" s="37">
        <v>0</v>
      </c>
      <c r="E72" s="38" t="e">
        <f t="shared" si="4"/>
        <v>#DIV/0!</v>
      </c>
      <c r="F72" s="38">
        <f t="shared" si="3"/>
        <v>0</v>
      </c>
    </row>
    <row r="73" spans="1:7" s="6" customFormat="1">
      <c r="A73" s="35" t="s">
        <v>59</v>
      </c>
      <c r="B73" s="39" t="s">
        <v>60</v>
      </c>
      <c r="C73" s="49">
        <v>0</v>
      </c>
      <c r="D73" s="37">
        <v>0</v>
      </c>
      <c r="E73" s="38" t="e">
        <f t="shared" si="4"/>
        <v>#DIV/0!</v>
      </c>
      <c r="F73" s="38">
        <f t="shared" si="3"/>
        <v>0</v>
      </c>
      <c r="G73" s="50"/>
    </row>
    <row r="74" spans="1:7">
      <c r="A74" s="35" t="s">
        <v>61</v>
      </c>
      <c r="B74" s="39" t="s">
        <v>62</v>
      </c>
      <c r="C74" s="49">
        <v>1627.1778899999999</v>
      </c>
      <c r="D74" s="37">
        <v>1558.72813</v>
      </c>
      <c r="E74" s="38">
        <f t="shared" si="4"/>
        <v>95.793345004214629</v>
      </c>
      <c r="F74" s="38">
        <f t="shared" si="3"/>
        <v>-68.449759999999969</v>
      </c>
    </row>
    <row r="75" spans="1:7">
      <c r="A75" s="35" t="s">
        <v>63</v>
      </c>
      <c r="B75" s="39" t="s">
        <v>64</v>
      </c>
      <c r="C75" s="49">
        <v>85.2</v>
      </c>
      <c r="D75" s="37">
        <v>77.150000000000006</v>
      </c>
      <c r="E75" s="38">
        <f t="shared" si="4"/>
        <v>90.551643192488257</v>
      </c>
      <c r="F75" s="38">
        <f t="shared" si="3"/>
        <v>-8.0499999999999972</v>
      </c>
    </row>
    <row r="76" spans="1:7" s="6" customFormat="1" ht="16.5" customHeight="1">
      <c r="A76" s="30" t="s">
        <v>65</v>
      </c>
      <c r="B76" s="31" t="s">
        <v>66</v>
      </c>
      <c r="C76" s="32">
        <f>SUM(C77:C79)</f>
        <v>4570.8459999999995</v>
      </c>
      <c r="D76" s="32">
        <f>SUM(D77:D79)</f>
        <v>4460.4213199999995</v>
      </c>
      <c r="E76" s="34">
        <f t="shared" si="4"/>
        <v>97.58415225540304</v>
      </c>
      <c r="F76" s="34">
        <f t="shared" si="3"/>
        <v>-110.42468000000008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4.25" customHeight="1">
      <c r="A78" s="35" t="s">
        <v>69</v>
      </c>
      <c r="B78" s="51" t="s">
        <v>70</v>
      </c>
      <c r="C78" s="37">
        <v>3437.5360000000001</v>
      </c>
      <c r="D78" s="37">
        <v>3411.2023199999999</v>
      </c>
      <c r="E78" s="38">
        <f t="shared" si="4"/>
        <v>99.23393733185631</v>
      </c>
      <c r="F78" s="38">
        <f t="shared" si="3"/>
        <v>-26.333680000000186</v>
      </c>
    </row>
    <row r="79" spans="1:7">
      <c r="A79" s="35" t="s">
        <v>71</v>
      </c>
      <c r="B79" s="39" t="s">
        <v>72</v>
      </c>
      <c r="C79" s="37">
        <v>1133.31</v>
      </c>
      <c r="D79" s="37">
        <v>1049.2190000000001</v>
      </c>
      <c r="E79" s="38">
        <f t="shared" si="4"/>
        <v>92.580053118740693</v>
      </c>
      <c r="F79" s="38">
        <f t="shared" si="3"/>
        <v>-84.090999999999894</v>
      </c>
    </row>
    <row r="80" spans="1:7" s="6" customFormat="1">
      <c r="A80" s="30" t="s">
        <v>83</v>
      </c>
      <c r="B80" s="31" t="s">
        <v>84</v>
      </c>
      <c r="C80" s="32">
        <f>C81</f>
        <v>1059.732</v>
      </c>
      <c r="D80" s="32">
        <f>SUM(D81)</f>
        <v>1059.2</v>
      </c>
      <c r="E80" s="34">
        <f t="shared" si="4"/>
        <v>99.949798628332459</v>
      </c>
      <c r="F80" s="34">
        <f t="shared" si="3"/>
        <v>-0.53199999999992542</v>
      </c>
    </row>
    <row r="81" spans="1:6" ht="15.75" customHeight="1">
      <c r="A81" s="35" t="s">
        <v>85</v>
      </c>
      <c r="B81" s="39" t="s">
        <v>214</v>
      </c>
      <c r="C81" s="37">
        <v>1059.732</v>
      </c>
      <c r="D81" s="37">
        <v>1059.2</v>
      </c>
      <c r="E81" s="38">
        <f t="shared" si="4"/>
        <v>99.949798628332459</v>
      </c>
      <c r="F81" s="38">
        <f t="shared" si="3"/>
        <v>-0.53199999999992542</v>
      </c>
    </row>
    <row r="82" spans="1:6" s="6" customFormat="1" ht="0.7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87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89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90</v>
      </c>
      <c r="B86" s="39" t="s">
        <v>91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92</v>
      </c>
      <c r="B87" s="31" t="s">
        <v>93</v>
      </c>
      <c r="C87" s="32">
        <f>C88+C89+C90+C91+C92</f>
        <v>2</v>
      </c>
      <c r="D87" s="32">
        <f>D88+D89+D90+D91+D92</f>
        <v>2</v>
      </c>
      <c r="E87" s="38">
        <f t="shared" si="4"/>
        <v>100</v>
      </c>
      <c r="F87" s="22">
        <f>F88+F89+F90+F91+F92</f>
        <v>0</v>
      </c>
    </row>
    <row r="88" spans="1:6" ht="17.25" customHeight="1">
      <c r="A88" s="35" t="s">
        <v>94</v>
      </c>
      <c r="B88" s="39" t="s">
        <v>95</v>
      </c>
      <c r="C88" s="37">
        <v>2</v>
      </c>
      <c r="D88" s="37">
        <v>2</v>
      </c>
      <c r="E88" s="38">
        <f t="shared" si="4"/>
        <v>100</v>
      </c>
      <c r="F88" s="38">
        <f>SUM(D88-C88)</f>
        <v>0</v>
      </c>
    </row>
    <row r="89" spans="1:6" ht="15.75" hidden="1" customHeight="1">
      <c r="A89" s="35" t="s">
        <v>96</v>
      </c>
      <c r="B89" s="39" t="s">
        <v>97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98</v>
      </c>
      <c r="B90" s="39" t="s">
        <v>99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100</v>
      </c>
      <c r="B91" s="39" t="s">
        <v>101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102</v>
      </c>
      <c r="B92" s="39" t="s">
        <v>103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113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114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115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116</v>
      </c>
      <c r="C97" s="435">
        <f>C55+C63+C71+C76+C80+C82+C87+C65+C93</f>
        <v>9041.2058899999993</v>
      </c>
      <c r="D97" s="435">
        <f>D55+D63+D71+D76+D80+D82+D87+D65+D93</f>
        <v>8717.8908200000005</v>
      </c>
      <c r="E97" s="34">
        <f t="shared" si="4"/>
        <v>96.423982885318424</v>
      </c>
      <c r="F97" s="34">
        <f t="shared" si="3"/>
        <v>-323.31506999999874</v>
      </c>
      <c r="G97" s="188"/>
      <c r="H97" s="188"/>
    </row>
    <row r="98" spans="1:8">
      <c r="C98" s="122"/>
      <c r="D98" s="97"/>
    </row>
    <row r="99" spans="1:8" s="65" customFormat="1" ht="16.5" customHeight="1">
      <c r="A99" s="63" t="s">
        <v>117</v>
      </c>
      <c r="B99" s="63"/>
      <c r="C99" s="173"/>
      <c r="D99" s="173"/>
      <c r="E99" s="64"/>
    </row>
    <row r="100" spans="1:8" s="65" customFormat="1" ht="20.25" customHeight="1">
      <c r="A100" s="66" t="s">
        <v>118</v>
      </c>
      <c r="B100" s="66"/>
      <c r="C100" s="65" t="s">
        <v>119</v>
      </c>
    </row>
    <row r="101" spans="1:8" ht="13.5" customHeight="1">
      <c r="C101" s="116"/>
    </row>
    <row r="103" spans="1:8" ht="5.25" customHeight="1"/>
    <row r="142" hidden="1"/>
  </sheetData>
  <customSheetViews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1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7" orientation="portrait" r:id="rId3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5"/>
    </customSheetView>
    <customSheetView guid="{B31C8DB7-3E78-4144-A6B5-8DE36DE63F0E}" showPageBreaks="1" printArea="1" hiddenRows="1" topLeftCell="A25">
      <selection activeCell="B39" sqref="B39"/>
      <pageMargins left="0.7" right="0.7" top="0.75" bottom="0.75" header="0.3" footer="0.3"/>
      <pageSetup paperSize="9" scale="57" orientation="portrait" r:id="rId6"/>
    </customSheetView>
    <customSheetView guid="{B30CE22D-C12F-4E12-8BB9-3AAE0A6991CC}" scale="70" showPageBreaks="1" printArea="1" hiddenRows="1" view="pageBreakPreview" topLeftCell="A43">
      <selection activeCell="D69" sqref="D69"/>
      <pageMargins left="0.70866141732283472" right="0.70866141732283472" top="0.74803149606299213" bottom="0.74803149606299213" header="0.31496062992125984" footer="0.31496062992125984"/>
      <pageSetup paperSize="9" scale="56" orientation="portrait" r:id="rId7"/>
    </customSheetView>
    <customSheetView guid="{1718F1EE-9F48-4DBE-9531-3B70F9C4A5DD}" scale="70" showPageBreaks="1" printArea="1" hiddenRows="1" view="pageBreakPreview" topLeftCell="A37">
      <selection activeCell="D97" sqref="D97"/>
      <pageMargins left="0.7" right="0.7" top="0.75" bottom="0.75" header="0.3" footer="0.3"/>
      <pageSetup paperSize="9" scale="43" orientation="portrait" r:id="rId8"/>
    </customSheetView>
    <customSheetView guid="{61528DAC-5C4C-48F4-ADE2-8A724B05A086}" scale="70" showPageBreaks="1" printArea="1" hiddenRows="1" view="pageBreakPreview" topLeftCell="A47">
      <selection activeCell="C88" sqref="C88"/>
      <pageMargins left="0.70866141732283472" right="0.70866141732283472" top="0.74803149606299213" bottom="0.74803149606299213" header="0.31496062992125984" footer="0.31496062992125984"/>
      <pageSetup paperSize="9" scale="57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44"/>
  <sheetViews>
    <sheetView view="pageBreakPreview" topLeftCell="A34" zoomScale="70" zoomScaleSheetLayoutView="70" workbookViewId="0">
      <selection activeCell="C101" sqref="C101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12.7109375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3" t="s">
        <v>429</v>
      </c>
      <c r="B1" s="543"/>
      <c r="C1" s="543"/>
      <c r="D1" s="543"/>
      <c r="E1" s="543"/>
      <c r="F1" s="543"/>
    </row>
    <row r="2" spans="1:6">
      <c r="A2" s="543"/>
      <c r="B2" s="543"/>
      <c r="C2" s="543"/>
      <c r="D2" s="543"/>
      <c r="E2" s="543"/>
      <c r="F2" s="543"/>
    </row>
    <row r="3" spans="1:6" ht="63">
      <c r="A3" s="2" t="s">
        <v>0</v>
      </c>
      <c r="B3" s="2" t="s">
        <v>1</v>
      </c>
      <c r="C3" s="72" t="s">
        <v>382</v>
      </c>
      <c r="D3" s="73" t="s">
        <v>428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1147.43</v>
      </c>
      <c r="D4" s="5">
        <f>D5+D12+D14+D17+D7</f>
        <v>1121.8089300000001</v>
      </c>
      <c r="E4" s="5">
        <f>SUM(D4/C4*100)</f>
        <v>97.767090802924798</v>
      </c>
      <c r="F4" s="5">
        <f>SUM(D4-C4)</f>
        <v>-25.621069999999918</v>
      </c>
    </row>
    <row r="5" spans="1:6" s="6" customFormat="1">
      <c r="A5" s="68">
        <v>1010000000</v>
      </c>
      <c r="B5" s="67" t="s">
        <v>5</v>
      </c>
      <c r="C5" s="5">
        <f>C6</f>
        <v>146.4</v>
      </c>
      <c r="D5" s="5">
        <f>D6</f>
        <v>152.79718</v>
      </c>
      <c r="E5" s="5">
        <f t="shared" ref="E5:E54" si="0">SUM(D5/C5*100)</f>
        <v>104.36965846994535</v>
      </c>
      <c r="F5" s="5">
        <f t="shared" ref="F5:F54" si="1">SUM(D5-C5)</f>
        <v>6.3971799999999917</v>
      </c>
    </row>
    <row r="6" spans="1:6">
      <c r="A6" s="7">
        <v>1010200001</v>
      </c>
      <c r="B6" s="8" t="s">
        <v>209</v>
      </c>
      <c r="C6" s="9">
        <v>146.4</v>
      </c>
      <c r="D6" s="10">
        <v>152.79718</v>
      </c>
      <c r="E6" s="9">
        <f t="shared" ref="E6:E11" si="2">SUM(D6/C6*100)</f>
        <v>104.36965846994535</v>
      </c>
      <c r="F6" s="9">
        <f t="shared" si="1"/>
        <v>6.3971799999999917</v>
      </c>
    </row>
    <row r="7" spans="1:6" ht="31.5">
      <c r="A7" s="3">
        <v>1030000000</v>
      </c>
      <c r="B7" s="13" t="s">
        <v>250</v>
      </c>
      <c r="C7" s="5">
        <f>C8+C10+C9</f>
        <v>554.03000000000009</v>
      </c>
      <c r="D7" s="5">
        <f>D8+D10+D9+D11</f>
        <v>526.11967000000004</v>
      </c>
      <c r="E7" s="5">
        <f t="shared" si="2"/>
        <v>94.962307095283634</v>
      </c>
      <c r="F7" s="5">
        <f t="shared" si="1"/>
        <v>-27.910330000000044</v>
      </c>
    </row>
    <row r="8" spans="1:6">
      <c r="A8" s="7">
        <v>1030223001</v>
      </c>
      <c r="B8" s="8" t="s">
        <v>252</v>
      </c>
      <c r="C8" s="9">
        <v>206.65</v>
      </c>
      <c r="D8" s="10">
        <v>242.66624999999999</v>
      </c>
      <c r="E8" s="9">
        <f t="shared" si="2"/>
        <v>117.42862327607064</v>
      </c>
      <c r="F8" s="9">
        <f t="shared" si="1"/>
        <v>36.016249999999985</v>
      </c>
    </row>
    <row r="9" spans="1:6">
      <c r="A9" s="7">
        <v>1030224001</v>
      </c>
      <c r="B9" s="8" t="s">
        <v>258</v>
      </c>
      <c r="C9" s="9">
        <v>2.2200000000000002</v>
      </c>
      <c r="D9" s="10">
        <v>1.73573</v>
      </c>
      <c r="E9" s="9">
        <f t="shared" si="2"/>
        <v>78.186036036036029</v>
      </c>
      <c r="F9" s="9">
        <f t="shared" si="1"/>
        <v>-0.4842700000000002</v>
      </c>
    </row>
    <row r="10" spans="1:6">
      <c r="A10" s="7">
        <v>1030225001</v>
      </c>
      <c r="B10" s="8" t="s">
        <v>251</v>
      </c>
      <c r="C10" s="9">
        <v>345.16</v>
      </c>
      <c r="D10" s="10">
        <v>326.45429000000001</v>
      </c>
      <c r="E10" s="9">
        <f t="shared" si="2"/>
        <v>94.580568432031527</v>
      </c>
      <c r="F10" s="9">
        <f t="shared" si="1"/>
        <v>-18.70571000000001</v>
      </c>
    </row>
    <row r="11" spans="1:6">
      <c r="A11" s="7">
        <v>1030226001</v>
      </c>
      <c r="B11" s="8" t="s">
        <v>260</v>
      </c>
      <c r="C11" s="9">
        <v>0</v>
      </c>
      <c r="D11" s="10">
        <v>-44.736600000000003</v>
      </c>
      <c r="E11" s="9" t="e">
        <f t="shared" si="2"/>
        <v>#DIV/0!</v>
      </c>
      <c r="F11" s="9">
        <f t="shared" si="1"/>
        <v>-44.736600000000003</v>
      </c>
    </row>
    <row r="12" spans="1:6" s="6" customFormat="1">
      <c r="A12" s="68">
        <v>1050000000</v>
      </c>
      <c r="B12" s="67" t="s">
        <v>6</v>
      </c>
      <c r="C12" s="5">
        <f>SUM(C13:C13)</f>
        <v>5</v>
      </c>
      <c r="D12" s="5">
        <f>SUM(D13:D13)</f>
        <v>-4.1900000000000001E-3</v>
      </c>
      <c r="E12" s="5">
        <f t="shared" si="0"/>
        <v>-8.3799999999999999E-2</v>
      </c>
      <c r="F12" s="5">
        <f t="shared" si="1"/>
        <v>-5.0041900000000004</v>
      </c>
    </row>
    <row r="13" spans="1:6" ht="15.75" customHeight="1">
      <c r="A13" s="7">
        <v>1050300000</v>
      </c>
      <c r="B13" s="11" t="s">
        <v>210</v>
      </c>
      <c r="C13" s="12">
        <v>5</v>
      </c>
      <c r="D13" s="10">
        <v>-4.1900000000000001E-3</v>
      </c>
      <c r="E13" s="9">
        <f t="shared" si="0"/>
        <v>-8.3799999999999999E-2</v>
      </c>
      <c r="F13" s="9">
        <f t="shared" si="1"/>
        <v>-5.0041900000000004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432</v>
      </c>
      <c r="D14" s="5">
        <f>D15+D16</f>
        <v>439.39627000000002</v>
      </c>
      <c r="E14" s="5">
        <f t="shared" si="0"/>
        <v>101.71209953703703</v>
      </c>
      <c r="F14" s="5">
        <f t="shared" si="1"/>
        <v>7.3962700000000154</v>
      </c>
    </row>
    <row r="15" spans="1:6" s="6" customFormat="1" ht="15.75" customHeight="1">
      <c r="A15" s="7">
        <v>1060100000</v>
      </c>
      <c r="B15" s="11" t="s">
        <v>8</v>
      </c>
      <c r="C15" s="9">
        <v>120</v>
      </c>
      <c r="D15" s="10">
        <v>121.87295</v>
      </c>
      <c r="E15" s="9">
        <f t="shared" si="0"/>
        <v>101.56079166666667</v>
      </c>
      <c r="F15" s="9">
        <f>SUM(D15-C15)</f>
        <v>1.872950000000003</v>
      </c>
    </row>
    <row r="16" spans="1:6" ht="15.75" customHeight="1">
      <c r="A16" s="7">
        <v>1060600000</v>
      </c>
      <c r="B16" s="11" t="s">
        <v>7</v>
      </c>
      <c r="C16" s="9">
        <v>312</v>
      </c>
      <c r="D16" s="10">
        <v>317.52332000000001</v>
      </c>
      <c r="E16" s="9">
        <f t="shared" si="0"/>
        <v>101.77029487179487</v>
      </c>
      <c r="F16" s="9">
        <f t="shared" si="1"/>
        <v>5.5233200000000124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3.5</v>
      </c>
      <c r="E17" s="5">
        <f t="shared" si="0"/>
        <v>35</v>
      </c>
      <c r="F17" s="5">
        <f t="shared" si="1"/>
        <v>-6.5</v>
      </c>
    </row>
    <row r="18" spans="1:6" ht="17.25" customHeight="1">
      <c r="A18" s="7">
        <v>1080400001</v>
      </c>
      <c r="B18" s="8" t="s">
        <v>241</v>
      </c>
      <c r="C18" s="9">
        <v>10</v>
      </c>
      <c r="D18" s="10">
        <v>3.5</v>
      </c>
      <c r="E18" s="9">
        <f t="shared" si="0"/>
        <v>35</v>
      </c>
      <c r="F18" s="9">
        <f t="shared" si="1"/>
        <v>-6.5</v>
      </c>
    </row>
    <row r="19" spans="1:6" ht="49.5" hidden="1" customHeight="1">
      <c r="A19" s="7">
        <v>1080714001</v>
      </c>
      <c r="B19" s="8" t="s">
        <v>207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432</v>
      </c>
      <c r="D25" s="5">
        <f>D26+D29+D31+D36+D34</f>
        <v>730.10094000000004</v>
      </c>
      <c r="E25" s="5">
        <f t="shared" si="0"/>
        <v>169.00484722222222</v>
      </c>
      <c r="F25" s="5">
        <f t="shared" si="1"/>
        <v>298.10094000000004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55</v>
      </c>
      <c r="D26" s="5">
        <f>D27+D28</f>
        <v>54</v>
      </c>
      <c r="E26" s="5">
        <f t="shared" si="0"/>
        <v>98.181818181818187</v>
      </c>
      <c r="F26" s="5">
        <f t="shared" si="1"/>
        <v>-1</v>
      </c>
    </row>
    <row r="27" spans="1:6">
      <c r="A27" s="16">
        <v>1110502501</v>
      </c>
      <c r="B27" s="17" t="s">
        <v>206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205</v>
      </c>
      <c r="C28" s="12">
        <v>55</v>
      </c>
      <c r="D28" s="10">
        <v>54</v>
      </c>
      <c r="E28" s="9">
        <f t="shared" si="0"/>
        <v>98.181818181818187</v>
      </c>
      <c r="F28" s="9">
        <f t="shared" si="1"/>
        <v>-1</v>
      </c>
    </row>
    <row r="29" spans="1:6" s="15" customFormat="1" ht="27.75" customHeight="1">
      <c r="A29" s="68">
        <v>1130000000</v>
      </c>
      <c r="B29" s="69" t="s">
        <v>128</v>
      </c>
      <c r="C29" s="5">
        <f>C30</f>
        <v>170</v>
      </c>
      <c r="D29" s="5">
        <f>D30</f>
        <v>463.01981000000001</v>
      </c>
      <c r="E29" s="5">
        <f t="shared" si="0"/>
        <v>272.36459411764702</v>
      </c>
      <c r="F29" s="5">
        <f t="shared" si="1"/>
        <v>293.01981000000001</v>
      </c>
    </row>
    <row r="30" spans="1:6" ht="15.75" customHeight="1">
      <c r="A30" s="7">
        <v>1130206005</v>
      </c>
      <c r="B30" s="8" t="s">
        <v>14</v>
      </c>
      <c r="C30" s="9">
        <v>170</v>
      </c>
      <c r="D30" s="10">
        <v>463.01981000000001</v>
      </c>
      <c r="E30" s="9">
        <f t="shared" si="0"/>
        <v>272.36459411764702</v>
      </c>
      <c r="F30" s="9">
        <f t="shared" si="1"/>
        <v>293.01981000000001</v>
      </c>
    </row>
    <row r="31" spans="1:6" ht="12" customHeight="1">
      <c r="A31" s="70">
        <v>1140000000</v>
      </c>
      <c r="B31" s="71" t="s">
        <v>129</v>
      </c>
      <c r="C31" s="5">
        <f>C32+C33</f>
        <v>207</v>
      </c>
      <c r="D31" s="5">
        <f>D32+D33</f>
        <v>207.7</v>
      </c>
      <c r="E31" s="5">
        <f t="shared" si="0"/>
        <v>100.33816425120771</v>
      </c>
      <c r="F31" s="5">
        <f t="shared" si="1"/>
        <v>0.69999999999998863</v>
      </c>
    </row>
    <row r="32" spans="1:6" ht="14.25" customHeight="1">
      <c r="A32" s="16">
        <v>1140200000</v>
      </c>
      <c r="B32" s="18" t="s">
        <v>130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2.75" customHeight="1">
      <c r="A33" s="7">
        <v>1140600000</v>
      </c>
      <c r="B33" s="8" t="s">
        <v>203</v>
      </c>
      <c r="C33" s="9">
        <v>207</v>
      </c>
      <c r="D33" s="10">
        <v>207.7</v>
      </c>
      <c r="E33" s="9">
        <f t="shared" si="0"/>
        <v>100.33816425120771</v>
      </c>
      <c r="F33" s="9">
        <f t="shared" si="1"/>
        <v>0.69999999999998863</v>
      </c>
    </row>
    <row r="34" spans="1:7" ht="24.75" customHeight="1">
      <c r="A34" s="3">
        <v>1160000000</v>
      </c>
      <c r="B34" s="13" t="s">
        <v>225</v>
      </c>
      <c r="C34" s="9"/>
      <c r="D34" s="14">
        <f>SUM(D35)</f>
        <v>5.3811299999999997</v>
      </c>
      <c r="E34" s="9"/>
      <c r="F34" s="9"/>
    </row>
    <row r="35" spans="1:7" ht="24.75" customHeight="1">
      <c r="A35" s="7">
        <v>1160700001</v>
      </c>
      <c r="B35" s="8" t="s">
        <v>394</v>
      </c>
      <c r="C35" s="9"/>
      <c r="D35" s="10">
        <v>5.3811299999999997</v>
      </c>
      <c r="E35" s="9"/>
      <c r="F35" s="9"/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9.5" customHeight="1">
      <c r="A37" s="7">
        <v>1170105010</v>
      </c>
      <c r="B37" s="8" t="s">
        <v>15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.75" customHeight="1">
      <c r="A38" s="7">
        <v>1170505005</v>
      </c>
      <c r="B38" s="11" t="s">
        <v>201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3">
        <f>SUM(C4,C25)</f>
        <v>1579.43</v>
      </c>
      <c r="D39" s="123">
        <f>D4+D25</f>
        <v>1851.9098700000002</v>
      </c>
      <c r="E39" s="5">
        <f t="shared" si="0"/>
        <v>117.25178513767626</v>
      </c>
      <c r="F39" s="5">
        <f t="shared" si="1"/>
        <v>272.47987000000012</v>
      </c>
    </row>
    <row r="40" spans="1:7" s="6" customFormat="1">
      <c r="A40" s="3">
        <v>2000000000</v>
      </c>
      <c r="B40" s="4" t="s">
        <v>17</v>
      </c>
      <c r="C40" s="216">
        <f>SUM(C42+C44+C45+C46+C47+C53+C41+C52)</f>
        <v>10758.326150000001</v>
      </c>
      <c r="D40" s="5">
        <f>D41+D43+D44+D45+D52+D53+I54+D42</f>
        <v>7376.4053100000001</v>
      </c>
      <c r="E40" s="5">
        <f t="shared" si="0"/>
        <v>68.564618762743123</v>
      </c>
      <c r="F40" s="5">
        <f t="shared" si="1"/>
        <v>-3381.9208400000007</v>
      </c>
      <c r="G40" s="19"/>
    </row>
    <row r="41" spans="1:7" ht="16.5" customHeight="1">
      <c r="A41" s="16">
        <v>2021000000</v>
      </c>
      <c r="B41" s="17" t="s">
        <v>18</v>
      </c>
      <c r="C41" s="12">
        <v>3421</v>
      </c>
      <c r="D41" s="20">
        <v>3421</v>
      </c>
      <c r="E41" s="9">
        <v>0</v>
      </c>
      <c r="F41" s="9">
        <f t="shared" si="1"/>
        <v>0</v>
      </c>
    </row>
    <row r="42" spans="1:7" ht="14.25" customHeight="1">
      <c r="A42" s="16">
        <v>2020100310</v>
      </c>
      <c r="B42" s="17" t="s">
        <v>212</v>
      </c>
      <c r="C42" s="12">
        <v>500</v>
      </c>
      <c r="D42" s="20">
        <v>500</v>
      </c>
      <c r="E42" s="9">
        <f t="shared" si="0"/>
        <v>100</v>
      </c>
      <c r="F42" s="9">
        <f t="shared" si="1"/>
        <v>0</v>
      </c>
    </row>
    <row r="43" spans="1:7" ht="17.25" customHeight="1">
      <c r="A43" s="16">
        <v>2021500200</v>
      </c>
      <c r="B43" s="17" t="s">
        <v>212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 ht="13.5" customHeight="1">
      <c r="A44" s="16">
        <v>2022000000</v>
      </c>
      <c r="B44" s="17" t="s">
        <v>19</v>
      </c>
      <c r="C44" s="12">
        <v>5293.9601499999999</v>
      </c>
      <c r="D44" s="10">
        <v>1957.0393099999999</v>
      </c>
      <c r="E44" s="9">
        <f t="shared" si="0"/>
        <v>36.967397837325997</v>
      </c>
      <c r="F44" s="9">
        <f t="shared" si="1"/>
        <v>-3336.9208399999998</v>
      </c>
    </row>
    <row r="45" spans="1:7" ht="17.25" customHeight="1">
      <c r="A45" s="16">
        <v>2023000000</v>
      </c>
      <c r="B45" s="17" t="s">
        <v>20</v>
      </c>
      <c r="C45" s="12">
        <v>198.36600000000001</v>
      </c>
      <c r="D45" s="175">
        <v>198.36600000000001</v>
      </c>
      <c r="E45" s="9">
        <f t="shared" si="0"/>
        <v>100</v>
      </c>
      <c r="F45" s="9">
        <f t="shared" si="1"/>
        <v>0</v>
      </c>
    </row>
    <row r="46" spans="1:7" ht="18.75" customHeight="1">
      <c r="A46" s="16">
        <v>2020400000</v>
      </c>
      <c r="B46" s="17" t="s">
        <v>21</v>
      </c>
      <c r="C46" s="12"/>
      <c r="D46" s="176"/>
      <c r="E46" s="9" t="e">
        <f t="shared" si="0"/>
        <v>#DIV/0!</v>
      </c>
      <c r="F46" s="9">
        <f t="shared" si="1"/>
        <v>0</v>
      </c>
    </row>
    <row r="47" spans="1:7" ht="15" customHeight="1">
      <c r="A47" s="16">
        <v>2020900000</v>
      </c>
      <c r="B47" s="18" t="s">
        <v>22</v>
      </c>
      <c r="C47" s="12"/>
      <c r="D47" s="176"/>
      <c r="E47" s="9" t="e">
        <f t="shared" si="0"/>
        <v>#DIV/0!</v>
      </c>
      <c r="F47" s="9">
        <f t="shared" si="1"/>
        <v>0</v>
      </c>
    </row>
    <row r="48" spans="1:7" ht="14.25" customHeight="1">
      <c r="A48" s="120">
        <v>2180000000</v>
      </c>
      <c r="B48" s="121" t="s">
        <v>271</v>
      </c>
      <c r="C48" s="179">
        <f>C49</f>
        <v>0</v>
      </c>
      <c r="D48" s="225">
        <f>D49</f>
        <v>0</v>
      </c>
      <c r="E48" s="9" t="e">
        <f t="shared" si="0"/>
        <v>#DIV/0!</v>
      </c>
      <c r="F48" s="9">
        <f t="shared" si="1"/>
        <v>0</v>
      </c>
    </row>
    <row r="49" spans="1:8" ht="15.75" customHeight="1">
      <c r="A49" s="16">
        <v>2180501010</v>
      </c>
      <c r="B49" s="18" t="s">
        <v>270</v>
      </c>
      <c r="C49" s="12">
        <v>0</v>
      </c>
      <c r="D49" s="176">
        <v>0</v>
      </c>
      <c r="E49" s="9" t="e">
        <f t="shared" si="0"/>
        <v>#DIV/0!</v>
      </c>
      <c r="F49" s="9">
        <f t="shared" si="1"/>
        <v>0</v>
      </c>
    </row>
    <row r="50" spans="1:8" ht="15" customHeight="1">
      <c r="A50" s="7">
        <v>2190500005</v>
      </c>
      <c r="B50" s="11" t="s">
        <v>23</v>
      </c>
      <c r="C50" s="14"/>
      <c r="D50" s="14"/>
      <c r="E50" s="9" t="e">
        <f t="shared" si="0"/>
        <v>#DIV/0!</v>
      </c>
      <c r="F50" s="9">
        <f t="shared" si="1"/>
        <v>0</v>
      </c>
    </row>
    <row r="51" spans="1:8" s="6" customFormat="1" ht="17.25" customHeight="1">
      <c r="A51" s="3">
        <v>3000000000</v>
      </c>
      <c r="B51" s="13" t="s">
        <v>24</v>
      </c>
      <c r="C51" s="118">
        <v>0</v>
      </c>
      <c r="D51" s="14">
        <v>0</v>
      </c>
      <c r="E51" s="9" t="e">
        <f t="shared" si="0"/>
        <v>#DIV/0!</v>
      </c>
      <c r="F51" s="9">
        <f t="shared" si="1"/>
        <v>0</v>
      </c>
    </row>
    <row r="52" spans="1:8" s="6" customFormat="1" ht="19.5" customHeight="1">
      <c r="A52" s="7">
        <v>2020400000</v>
      </c>
      <c r="B52" s="8" t="s">
        <v>21</v>
      </c>
      <c r="C52" s="12">
        <v>1300</v>
      </c>
      <c r="D52" s="10">
        <v>1300</v>
      </c>
      <c r="E52" s="9">
        <f t="shared" si="0"/>
        <v>100</v>
      </c>
      <c r="F52" s="9">
        <f t="shared" si="1"/>
        <v>0</v>
      </c>
    </row>
    <row r="53" spans="1:8" s="6" customFormat="1" ht="15" customHeight="1">
      <c r="A53" s="7">
        <v>2070500010</v>
      </c>
      <c r="B53" s="11" t="s">
        <v>272</v>
      </c>
      <c r="C53" s="12">
        <v>45</v>
      </c>
      <c r="D53" s="10">
        <v>0</v>
      </c>
      <c r="E53" s="9">
        <v>0</v>
      </c>
      <c r="F53" s="9">
        <f>SUM(D53-C53)</f>
        <v>-45</v>
      </c>
    </row>
    <row r="54" spans="1:8" s="6" customFormat="1" ht="18" customHeight="1">
      <c r="A54" s="3"/>
      <c r="B54" s="4" t="s">
        <v>25</v>
      </c>
      <c r="C54" s="447">
        <f>C39+C40</f>
        <v>12337.756150000001</v>
      </c>
      <c r="D54" s="447">
        <f>D39+D40</f>
        <v>9228.3151799999996</v>
      </c>
      <c r="E54" s="5">
        <f t="shared" si="0"/>
        <v>74.79735429849616</v>
      </c>
      <c r="F54" s="5">
        <f t="shared" si="1"/>
        <v>-3109.4409700000015</v>
      </c>
      <c r="G54" s="91"/>
      <c r="H54" s="188"/>
    </row>
    <row r="55" spans="1:8" s="6" customFormat="1">
      <c r="A55" s="3"/>
      <c r="B55" s="21" t="s">
        <v>290</v>
      </c>
      <c r="C55" s="90">
        <f>C54-C101</f>
        <v>-425.7523199999996</v>
      </c>
      <c r="D55" s="90">
        <f>D54-D101</f>
        <v>-127.4374200000002</v>
      </c>
      <c r="E55" s="22"/>
      <c r="F55" s="22"/>
    </row>
    <row r="56" spans="1:8">
      <c r="A56" s="23"/>
      <c r="B56" s="24"/>
      <c r="C56" s="111"/>
      <c r="D56" s="25"/>
      <c r="E56" s="26"/>
      <c r="F56" s="27"/>
    </row>
    <row r="57" spans="1:8" ht="63">
      <c r="A57" s="28" t="s">
        <v>0</v>
      </c>
      <c r="B57" s="28" t="s">
        <v>26</v>
      </c>
      <c r="C57" s="72" t="s">
        <v>382</v>
      </c>
      <c r="D57" s="73" t="s">
        <v>428</v>
      </c>
      <c r="E57" s="72" t="s">
        <v>2</v>
      </c>
      <c r="F57" s="74" t="s">
        <v>3</v>
      </c>
    </row>
    <row r="58" spans="1:8">
      <c r="A58" s="29">
        <v>1</v>
      </c>
      <c r="B58" s="28">
        <v>2</v>
      </c>
      <c r="C58" s="85">
        <v>3</v>
      </c>
      <c r="D58" s="85">
        <v>4</v>
      </c>
      <c r="E58" s="85">
        <v>5</v>
      </c>
      <c r="F58" s="85">
        <v>6</v>
      </c>
    </row>
    <row r="59" spans="1:8" s="6" customFormat="1" ht="15" customHeight="1">
      <c r="A59" s="30" t="s">
        <v>27</v>
      </c>
      <c r="B59" s="31" t="s">
        <v>28</v>
      </c>
      <c r="C59" s="32">
        <f>C60+C61+C62+C63+C64+C66+C65</f>
        <v>1481.502</v>
      </c>
      <c r="D59" s="33">
        <f>D60+D61+D62+D63+D64+D66+D65</f>
        <v>1463.7435700000001</v>
      </c>
      <c r="E59" s="34">
        <f>SUM(D59/C59*100)</f>
        <v>98.801322576682324</v>
      </c>
      <c r="F59" s="34">
        <f>SUM(D59-C59)</f>
        <v>-17.758429999999862</v>
      </c>
    </row>
    <row r="60" spans="1:8" s="6" customFormat="1" ht="16.5" hidden="1" customHeight="1">
      <c r="A60" s="35" t="s">
        <v>29</v>
      </c>
      <c r="B60" s="36" t="s">
        <v>30</v>
      </c>
      <c r="C60" s="37"/>
      <c r="D60" s="37"/>
      <c r="E60" s="38"/>
      <c r="F60" s="38"/>
    </row>
    <row r="61" spans="1:8" ht="15" customHeight="1">
      <c r="A61" s="35" t="s">
        <v>31</v>
      </c>
      <c r="B61" s="39" t="s">
        <v>32</v>
      </c>
      <c r="C61" s="37">
        <v>1421.502</v>
      </c>
      <c r="D61" s="37">
        <v>1408.7435700000001</v>
      </c>
      <c r="E61" s="38">
        <f t="shared" ref="E61:E101" si="3">SUM(D61/C61*100)</f>
        <v>99.102468375000541</v>
      </c>
      <c r="F61" s="38">
        <f t="shared" ref="F61:F101" si="4">SUM(D61-C61)</f>
        <v>-12.758429999999862</v>
      </c>
    </row>
    <row r="62" spans="1:8" ht="15.75" hidden="1" customHeight="1">
      <c r="A62" s="35" t="s">
        <v>33</v>
      </c>
      <c r="B62" s="39" t="s">
        <v>34</v>
      </c>
      <c r="C62" s="37"/>
      <c r="D62" s="37"/>
      <c r="E62" s="38"/>
      <c r="F62" s="38">
        <f t="shared" si="4"/>
        <v>0</v>
      </c>
    </row>
    <row r="63" spans="1:8" ht="18" hidden="1" customHeight="1">
      <c r="A63" s="35" t="s">
        <v>35</v>
      </c>
      <c r="B63" s="39" t="s">
        <v>36</v>
      </c>
      <c r="C63" s="37"/>
      <c r="D63" s="37"/>
      <c r="E63" s="38" t="e">
        <f t="shared" si="3"/>
        <v>#DIV/0!</v>
      </c>
      <c r="F63" s="38">
        <f t="shared" si="4"/>
        <v>0</v>
      </c>
    </row>
    <row r="64" spans="1:8" ht="17.25" customHeight="1">
      <c r="A64" s="35" t="s">
        <v>37</v>
      </c>
      <c r="B64" s="39" t="s">
        <v>38</v>
      </c>
      <c r="C64" s="37">
        <v>34</v>
      </c>
      <c r="D64" s="37">
        <v>34</v>
      </c>
      <c r="E64" s="38">
        <f t="shared" si="3"/>
        <v>100</v>
      </c>
      <c r="F64" s="38">
        <f t="shared" si="4"/>
        <v>0</v>
      </c>
    </row>
    <row r="65" spans="1:7" ht="16.5" customHeight="1">
      <c r="A65" s="35" t="s">
        <v>39</v>
      </c>
      <c r="B65" s="39" t="s">
        <v>40</v>
      </c>
      <c r="C65" s="40">
        <v>5</v>
      </c>
      <c r="D65" s="40">
        <v>0</v>
      </c>
      <c r="E65" s="38">
        <f t="shared" si="3"/>
        <v>0</v>
      </c>
      <c r="F65" s="38">
        <f t="shared" si="4"/>
        <v>-5</v>
      </c>
    </row>
    <row r="66" spans="1:7" ht="18" customHeight="1">
      <c r="A66" s="35" t="s">
        <v>41</v>
      </c>
      <c r="B66" s="39" t="s">
        <v>42</v>
      </c>
      <c r="C66" s="37">
        <v>21</v>
      </c>
      <c r="D66" s="37">
        <v>21</v>
      </c>
      <c r="E66" s="38">
        <f t="shared" si="3"/>
        <v>100</v>
      </c>
      <c r="F66" s="38">
        <f t="shared" si="4"/>
        <v>0</v>
      </c>
    </row>
    <row r="67" spans="1:7" s="6" customFormat="1" ht="15" customHeight="1">
      <c r="A67" s="41" t="s">
        <v>43</v>
      </c>
      <c r="B67" s="42" t="s">
        <v>44</v>
      </c>
      <c r="C67" s="32">
        <f>C68</f>
        <v>198.36600000000001</v>
      </c>
      <c r="D67" s="32">
        <f>D68</f>
        <v>198.36600000000001</v>
      </c>
      <c r="E67" s="34">
        <f t="shared" si="3"/>
        <v>100</v>
      </c>
      <c r="F67" s="34">
        <f t="shared" si="4"/>
        <v>0</v>
      </c>
    </row>
    <row r="68" spans="1:7">
      <c r="A68" s="43" t="s">
        <v>45</v>
      </c>
      <c r="B68" s="44" t="s">
        <v>46</v>
      </c>
      <c r="C68" s="37">
        <v>198.36600000000001</v>
      </c>
      <c r="D68" s="37">
        <v>198.36600000000001</v>
      </c>
      <c r="E68" s="38">
        <f t="shared" si="3"/>
        <v>100</v>
      </c>
      <c r="F68" s="38">
        <f t="shared" si="4"/>
        <v>0</v>
      </c>
    </row>
    <row r="69" spans="1:7" s="6" customFormat="1" ht="16.5" customHeight="1">
      <c r="A69" s="30" t="s">
        <v>47</v>
      </c>
      <c r="B69" s="31" t="s">
        <v>48</v>
      </c>
      <c r="C69" s="32">
        <f>C72+C73+C74</f>
        <v>12.821999999999999</v>
      </c>
      <c r="D69" s="32">
        <f>SUM(D72+D73+D74)</f>
        <v>12.821909999999999</v>
      </c>
      <c r="E69" s="34">
        <f t="shared" si="3"/>
        <v>99.999298081422552</v>
      </c>
      <c r="F69" s="34">
        <f t="shared" si="4"/>
        <v>-9.0000000000145519E-5</v>
      </c>
    </row>
    <row r="70" spans="1:7" hidden="1">
      <c r="A70" s="35" t="s">
        <v>49</v>
      </c>
      <c r="B70" s="39" t="s">
        <v>50</v>
      </c>
      <c r="C70" s="37"/>
      <c r="D70" s="37"/>
      <c r="E70" s="34" t="e">
        <f t="shared" si="3"/>
        <v>#DIV/0!</v>
      </c>
      <c r="F70" s="34">
        <f t="shared" si="4"/>
        <v>0</v>
      </c>
    </row>
    <row r="71" spans="1:7" hidden="1">
      <c r="A71" s="45" t="s">
        <v>51</v>
      </c>
      <c r="B71" s="39" t="s">
        <v>52</v>
      </c>
      <c r="C71" s="37"/>
      <c r="D71" s="37"/>
      <c r="E71" s="34" t="e">
        <f t="shared" si="3"/>
        <v>#DIV/0!</v>
      </c>
      <c r="F71" s="34">
        <f t="shared" si="4"/>
        <v>0</v>
      </c>
    </row>
    <row r="72" spans="1:7" ht="15.75" customHeight="1">
      <c r="A72" s="46" t="s">
        <v>53</v>
      </c>
      <c r="B72" s="47" t="s">
        <v>54</v>
      </c>
      <c r="C72" s="93">
        <v>2.8220000000000001</v>
      </c>
      <c r="D72" s="37">
        <v>2.8219099999999999</v>
      </c>
      <c r="E72" s="34">
        <f t="shared" si="3"/>
        <v>99.99681077250176</v>
      </c>
      <c r="F72" s="34">
        <f t="shared" si="4"/>
        <v>-9.0000000000145519E-5</v>
      </c>
    </row>
    <row r="73" spans="1:7" ht="15.75" customHeight="1">
      <c r="A73" s="46" t="s">
        <v>199</v>
      </c>
      <c r="B73" s="47" t="s">
        <v>200</v>
      </c>
      <c r="C73" s="37">
        <v>8</v>
      </c>
      <c r="D73" s="37">
        <v>8</v>
      </c>
      <c r="E73" s="34">
        <f t="shared" si="3"/>
        <v>100</v>
      </c>
      <c r="F73" s="34">
        <f t="shared" si="4"/>
        <v>0</v>
      </c>
    </row>
    <row r="74" spans="1:7" ht="15.75" customHeight="1">
      <c r="A74" s="46" t="s">
        <v>320</v>
      </c>
      <c r="B74" s="47" t="s">
        <v>323</v>
      </c>
      <c r="C74" s="37">
        <v>2</v>
      </c>
      <c r="D74" s="37">
        <v>2</v>
      </c>
      <c r="E74" s="34"/>
      <c r="F74" s="34"/>
    </row>
    <row r="75" spans="1:7" s="6" customFormat="1" ht="15" customHeight="1">
      <c r="A75" s="30" t="s">
        <v>55</v>
      </c>
      <c r="B75" s="31" t="s">
        <v>56</v>
      </c>
      <c r="C75" s="48">
        <f>SUM(C76:C79)</f>
        <v>2231.5509499999998</v>
      </c>
      <c r="D75" s="48">
        <f>SUM(D76:D79)</f>
        <v>2224.4322299999999</v>
      </c>
      <c r="E75" s="34">
        <f t="shared" si="3"/>
        <v>99.680996752505251</v>
      </c>
      <c r="F75" s="34">
        <f t="shared" si="4"/>
        <v>-7.1187199999999393</v>
      </c>
    </row>
    <row r="76" spans="1:7" ht="17.25" customHeight="1">
      <c r="A76" s="35" t="s">
        <v>57</v>
      </c>
      <c r="B76" s="39" t="s">
        <v>58</v>
      </c>
      <c r="C76" s="49"/>
      <c r="D76" s="37">
        <v>0</v>
      </c>
      <c r="E76" s="38" t="e">
        <f t="shared" si="3"/>
        <v>#DIV/0!</v>
      </c>
      <c r="F76" s="38">
        <f t="shared" si="4"/>
        <v>0</v>
      </c>
    </row>
    <row r="77" spans="1:7" s="6" customFormat="1" ht="19.5" customHeight="1">
      <c r="A77" s="35" t="s">
        <v>59</v>
      </c>
      <c r="B77" s="39" t="s">
        <v>60</v>
      </c>
      <c r="C77" s="49">
        <v>0</v>
      </c>
      <c r="D77" s="37">
        <v>0</v>
      </c>
      <c r="E77" s="38" t="e">
        <f t="shared" si="3"/>
        <v>#DIV/0!</v>
      </c>
      <c r="F77" s="38">
        <f t="shared" si="4"/>
        <v>0</v>
      </c>
      <c r="G77" s="50"/>
    </row>
    <row r="78" spans="1:7">
      <c r="A78" s="35" t="s">
        <v>61</v>
      </c>
      <c r="B78" s="39" t="s">
        <v>62</v>
      </c>
      <c r="C78" s="49">
        <v>2216.0509499999998</v>
      </c>
      <c r="D78" s="37">
        <v>2209.4322299999999</v>
      </c>
      <c r="E78" s="38">
        <f t="shared" si="3"/>
        <v>99.701328166665121</v>
      </c>
      <c r="F78" s="38">
        <f t="shared" si="4"/>
        <v>-6.6187199999999393</v>
      </c>
    </row>
    <row r="79" spans="1:7">
      <c r="A79" s="35" t="s">
        <v>63</v>
      </c>
      <c r="B79" s="39" t="s">
        <v>64</v>
      </c>
      <c r="C79" s="49">
        <v>15.5</v>
      </c>
      <c r="D79" s="37">
        <v>15</v>
      </c>
      <c r="E79" s="38">
        <f t="shared" si="3"/>
        <v>96.774193548387103</v>
      </c>
      <c r="F79" s="38">
        <f t="shared" si="4"/>
        <v>-0.5</v>
      </c>
    </row>
    <row r="80" spans="1:7" s="6" customFormat="1" ht="14.25" customHeight="1">
      <c r="A80" s="30" t="s">
        <v>65</v>
      </c>
      <c r="B80" s="31" t="s">
        <v>66</v>
      </c>
      <c r="C80" s="32">
        <f>SUM(C81:C83)</f>
        <v>6462.2145200000004</v>
      </c>
      <c r="D80" s="32">
        <f>SUM(D81:D83)</f>
        <v>3079.33772</v>
      </c>
      <c r="E80" s="34">
        <f t="shared" si="3"/>
        <v>47.651431416733594</v>
      </c>
      <c r="F80" s="34">
        <f t="shared" si="4"/>
        <v>-3382.8768000000005</v>
      </c>
    </row>
    <row r="81" spans="1:6" ht="16.5" hidden="1" customHeight="1">
      <c r="A81" s="35" t="s">
        <v>67</v>
      </c>
      <c r="B81" s="51" t="s">
        <v>68</v>
      </c>
      <c r="C81" s="37"/>
      <c r="D81" s="37"/>
      <c r="E81" s="38" t="e">
        <f t="shared" si="3"/>
        <v>#DIV/0!</v>
      </c>
      <c r="F81" s="38">
        <f t="shared" si="4"/>
        <v>0</v>
      </c>
    </row>
    <row r="82" spans="1:6" ht="15.75" customHeight="1">
      <c r="A82" s="35" t="s">
        <v>69</v>
      </c>
      <c r="B82" s="51" t="s">
        <v>70</v>
      </c>
      <c r="C82" s="37">
        <v>307.39800000000002</v>
      </c>
      <c r="D82" s="37">
        <v>307.39746000000002</v>
      </c>
      <c r="E82" s="38">
        <f t="shared" si="3"/>
        <v>99.999824331973528</v>
      </c>
      <c r="F82" s="38">
        <f t="shared" si="4"/>
        <v>-5.4000000000087311E-4</v>
      </c>
    </row>
    <row r="83" spans="1:6">
      <c r="A83" s="35" t="s">
        <v>71</v>
      </c>
      <c r="B83" s="39" t="s">
        <v>72</v>
      </c>
      <c r="C83" s="37">
        <v>6154.8165200000003</v>
      </c>
      <c r="D83" s="37">
        <v>2771.9402599999999</v>
      </c>
      <c r="E83" s="38">
        <f t="shared" si="3"/>
        <v>45.036927599589916</v>
      </c>
      <c r="F83" s="38">
        <f t="shared" si="4"/>
        <v>-3382.8762600000005</v>
      </c>
    </row>
    <row r="84" spans="1:6" s="6" customFormat="1">
      <c r="A84" s="30" t="s">
        <v>83</v>
      </c>
      <c r="B84" s="31" t="s">
        <v>84</v>
      </c>
      <c r="C84" s="32">
        <f>C85</f>
        <v>2377.0529999999999</v>
      </c>
      <c r="D84" s="32">
        <f>SUM(D85)</f>
        <v>2377.0511700000002</v>
      </c>
      <c r="E84" s="34">
        <f t="shared" si="3"/>
        <v>99.999923013916828</v>
      </c>
      <c r="F84" s="34">
        <f t="shared" si="4"/>
        <v>-1.829999999699794E-3</v>
      </c>
    </row>
    <row r="85" spans="1:6" ht="15" customHeight="1">
      <c r="A85" s="35" t="s">
        <v>85</v>
      </c>
      <c r="B85" s="39" t="s">
        <v>214</v>
      </c>
      <c r="C85" s="37">
        <v>2377.0529999999999</v>
      </c>
      <c r="D85" s="37">
        <v>2377.0511700000002</v>
      </c>
      <c r="E85" s="38">
        <f t="shared" si="3"/>
        <v>99.999923013916828</v>
      </c>
      <c r="F85" s="38">
        <f t="shared" si="4"/>
        <v>-1.829999999699794E-3</v>
      </c>
    </row>
    <row r="86" spans="1:6" s="6" customFormat="1" ht="15.75" hidden="1" customHeight="1">
      <c r="A86" s="52">
        <v>1000</v>
      </c>
      <c r="B86" s="31" t="s">
        <v>86</v>
      </c>
      <c r="C86" s="32">
        <f>SUM(C87:C90)</f>
        <v>0</v>
      </c>
      <c r="D86" s="32">
        <f>SUM(D87:D90)</f>
        <v>0</v>
      </c>
      <c r="E86" s="34" t="e">
        <f t="shared" si="3"/>
        <v>#DIV/0!</v>
      </c>
      <c r="F86" s="34">
        <f t="shared" si="4"/>
        <v>0</v>
      </c>
    </row>
    <row r="87" spans="1:6" ht="15.75" hidden="1" customHeight="1">
      <c r="A87" s="53">
        <v>1001</v>
      </c>
      <c r="B87" s="54" t="s">
        <v>87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15.75" hidden="1" customHeight="1">
      <c r="A88" s="53">
        <v>1003</v>
      </c>
      <c r="B88" s="54" t="s">
        <v>88</v>
      </c>
      <c r="C88" s="93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5.75" hidden="1" customHeight="1">
      <c r="A89" s="53">
        <v>1004</v>
      </c>
      <c r="B89" s="54" t="s">
        <v>89</v>
      </c>
      <c r="C89" s="37"/>
      <c r="D89" s="55"/>
      <c r="E89" s="38" t="e">
        <f t="shared" si="3"/>
        <v>#DIV/0!</v>
      </c>
      <c r="F89" s="38">
        <f t="shared" si="4"/>
        <v>0</v>
      </c>
    </row>
    <row r="90" spans="1:6" ht="15.75" hidden="1" customHeight="1">
      <c r="A90" s="35" t="s">
        <v>90</v>
      </c>
      <c r="B90" s="39" t="s">
        <v>91</v>
      </c>
      <c r="C90" s="37">
        <v>0</v>
      </c>
      <c r="D90" s="37">
        <v>0</v>
      </c>
      <c r="E90" s="38"/>
      <c r="F90" s="38">
        <f t="shared" si="4"/>
        <v>0</v>
      </c>
    </row>
    <row r="91" spans="1:6" ht="15.75" customHeight="1">
      <c r="A91" s="30" t="s">
        <v>92</v>
      </c>
      <c r="B91" s="31" t="s">
        <v>93</v>
      </c>
      <c r="C91" s="32">
        <f>C92</f>
        <v>0</v>
      </c>
      <c r="D91" s="32">
        <f>D92+D93+D94+D95+D96</f>
        <v>0</v>
      </c>
      <c r="E91" s="38"/>
      <c r="F91" s="22">
        <f>F92+F93+F94+F95+F96</f>
        <v>0</v>
      </c>
    </row>
    <row r="92" spans="1:6" ht="16.5" customHeight="1">
      <c r="A92" s="35" t="s">
        <v>94</v>
      </c>
      <c r="B92" s="39" t="s">
        <v>95</v>
      </c>
      <c r="C92" s="37"/>
      <c r="D92" s="37">
        <v>0</v>
      </c>
      <c r="E92" s="38"/>
      <c r="F92" s="38">
        <f>SUM(D92-C92)</f>
        <v>0</v>
      </c>
    </row>
    <row r="93" spans="1:6" ht="1.5" hidden="1" customHeight="1">
      <c r="A93" s="35" t="s">
        <v>96</v>
      </c>
      <c r="B93" s="39" t="s">
        <v>97</v>
      </c>
      <c r="C93" s="37"/>
      <c r="D93" s="37"/>
      <c r="E93" s="38" t="e">
        <f t="shared" si="3"/>
        <v>#DIV/0!</v>
      </c>
      <c r="F93" s="38">
        <f>SUM(D93-C93)</f>
        <v>0</v>
      </c>
    </row>
    <row r="94" spans="1:6" ht="21.75" hidden="1" customHeight="1">
      <c r="A94" s="35" t="s">
        <v>98</v>
      </c>
      <c r="B94" s="39" t="s">
        <v>99</v>
      </c>
      <c r="C94" s="37"/>
      <c r="D94" s="37"/>
      <c r="E94" s="38" t="e">
        <f t="shared" si="3"/>
        <v>#DIV/0!</v>
      </c>
      <c r="F94" s="38"/>
    </row>
    <row r="95" spans="1:6" ht="15" hidden="1" customHeight="1">
      <c r="A95" s="35" t="s">
        <v>100</v>
      </c>
      <c r="B95" s="39" t="s">
        <v>101</v>
      </c>
      <c r="C95" s="37"/>
      <c r="D95" s="37"/>
      <c r="E95" s="38" t="e">
        <f t="shared" si="3"/>
        <v>#DIV/0!</v>
      </c>
      <c r="F95" s="38"/>
    </row>
    <row r="96" spans="1:6" ht="14.25" hidden="1" customHeight="1">
      <c r="A96" s="35" t="s">
        <v>102</v>
      </c>
      <c r="B96" s="39" t="s">
        <v>103</v>
      </c>
      <c r="C96" s="37"/>
      <c r="D96" s="37"/>
      <c r="E96" s="38" t="e">
        <f t="shared" si="3"/>
        <v>#DIV/0!</v>
      </c>
      <c r="F96" s="38"/>
    </row>
    <row r="97" spans="1:6" s="6" customFormat="1" ht="19.5" hidden="1" customHeight="1">
      <c r="A97" s="52">
        <v>1400</v>
      </c>
      <c r="B97" s="56" t="s">
        <v>112</v>
      </c>
      <c r="C97" s="48">
        <f>C98+C99+C100</f>
        <v>0</v>
      </c>
      <c r="D97" s="165">
        <f>SUM(D98:D100)</f>
        <v>0</v>
      </c>
      <c r="E97" s="34" t="e">
        <f t="shared" si="3"/>
        <v>#DIV/0!</v>
      </c>
      <c r="F97" s="34">
        <f t="shared" si="4"/>
        <v>0</v>
      </c>
    </row>
    <row r="98" spans="1:6" ht="15" hidden="1" customHeight="1">
      <c r="A98" s="53">
        <v>1401</v>
      </c>
      <c r="B98" s="54" t="s">
        <v>113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ht="16.5" hidden="1" customHeight="1">
      <c r="A99" s="53">
        <v>1402</v>
      </c>
      <c r="B99" s="54" t="s">
        <v>114</v>
      </c>
      <c r="C99" s="49"/>
      <c r="D99" s="37"/>
      <c r="E99" s="38" t="e">
        <f t="shared" si="3"/>
        <v>#DIV/0!</v>
      </c>
      <c r="F99" s="38">
        <f t="shared" si="4"/>
        <v>0</v>
      </c>
    </row>
    <row r="100" spans="1:6" ht="20.25" hidden="1" customHeight="1">
      <c r="A100" s="53">
        <v>1403</v>
      </c>
      <c r="B100" s="54" t="s">
        <v>115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s="6" customFormat="1" ht="21" customHeight="1">
      <c r="A101" s="52"/>
      <c r="B101" s="57" t="s">
        <v>116</v>
      </c>
      <c r="C101" s="435">
        <f>C59+C67+C69+C75+C80+C84+C91+C86</f>
        <v>12763.508470000001</v>
      </c>
      <c r="D101" s="435">
        <f>D59+D67+D69+D75+D80+D84+D91+D86</f>
        <v>9355.7525999999998</v>
      </c>
      <c r="E101" s="34">
        <f t="shared" si="3"/>
        <v>73.300790468312343</v>
      </c>
      <c r="F101" s="34">
        <f t="shared" si="4"/>
        <v>-3407.7558700000009</v>
      </c>
    </row>
    <row r="102" spans="1:6">
      <c r="D102" s="169"/>
    </row>
    <row r="103" spans="1:6" s="65" customFormat="1" ht="18" customHeight="1">
      <c r="A103" s="63" t="s">
        <v>117</v>
      </c>
      <c r="B103" s="63"/>
      <c r="C103" s="127"/>
      <c r="D103" s="64"/>
      <c r="E103" s="64"/>
    </row>
    <row r="104" spans="1:6" s="65" customFormat="1" ht="12.75">
      <c r="A104" s="66" t="s">
        <v>118</v>
      </c>
      <c r="B104" s="66"/>
      <c r="C104" s="65" t="s">
        <v>119</v>
      </c>
    </row>
    <row r="105" spans="1:6">
      <c r="C105" s="116"/>
    </row>
    <row r="144" hidden="1"/>
  </sheetData>
  <customSheetViews>
    <customSheetView guid="{5BFCA170-DEAE-4D2C-98A0-1E68B427AC01}" showPageBreaks="1" hiddenRows="1" topLeftCell="A32">
      <selection activeCell="J56" sqref="J56"/>
      <pageMargins left="0.7" right="0.7" top="0.75" bottom="0.75" header="0.3" footer="0.3"/>
      <pageSetup paperSize="9" scale="52" orientation="portrait" r:id="rId1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3DCB9AAA-F09C-4EA6-B992-F93E466D374A}" hiddenRows="1" topLeftCell="A38">
      <selection activeCell="J56" sqref="J56"/>
      <pageMargins left="0.7" right="0.7" top="0.75" bottom="0.75" header="0.3" footer="0.3"/>
      <pageSetup paperSize="9" scale="52" orientation="portrait" r:id="rId3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5"/>
    </customSheetView>
    <customSheetView guid="{B31C8DB7-3E78-4144-A6B5-8DE36DE63F0E}" hiddenRows="1" topLeftCell="A53">
      <selection activeCell="D82" sqref="D82"/>
      <pageMargins left="0.7" right="0.7" top="0.75" bottom="0.75" header="0.3" footer="0.3"/>
      <pageSetup paperSize="9" scale="52" orientation="portrait" r:id="rId6"/>
    </customSheetView>
    <customSheetView guid="{B30CE22D-C12F-4E12-8BB9-3AAE0A6991CC}" scale="70" showPageBreaks="1" printArea="1" hiddenRows="1" view="pageBreakPreview" topLeftCell="A34">
      <selection activeCell="E77" sqref="E77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1718F1EE-9F48-4DBE-9531-3B70F9C4A5DD}" scale="70" showPageBreaks="1" hiddenRows="1" view="pageBreakPreview" topLeftCell="A12">
      <selection activeCell="C90" sqref="C90"/>
      <pageMargins left="0.7" right="0.7" top="0.75" bottom="0.75" header="0.3" footer="0.3"/>
      <pageSetup paperSize="9" scale="41" orientation="portrait" r:id="rId8"/>
    </customSheetView>
    <customSheetView guid="{61528DAC-5C4C-48F4-ADE2-8A724B05A086}" scale="70" showPageBreaks="1" hiddenRows="1" view="pageBreakPreview" topLeftCell="A31">
      <selection activeCell="C40" sqref="C40"/>
      <pageMargins left="0.70866141732283472" right="0.70866141732283472" top="0.74803149606299213" bottom="0.74803149606299213" header="0.31496062992125984" footer="0.31496062992125984"/>
      <pageSetup paperSize="9" scale="56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view="pageBreakPreview" topLeftCell="A34" zoomScale="70" zoomScaleSheetLayoutView="70" workbookViewId="0">
      <selection activeCell="D90" sqref="D90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.42578125" style="62" customWidth="1"/>
    <col min="5" max="5" width="12.5703125" style="62" customWidth="1"/>
    <col min="6" max="6" width="12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43" t="s">
        <v>430</v>
      </c>
      <c r="B1" s="543"/>
      <c r="C1" s="543"/>
      <c r="D1" s="543"/>
      <c r="E1" s="543"/>
      <c r="F1" s="543"/>
    </row>
    <row r="2" spans="1:6">
      <c r="A2" s="543"/>
      <c r="B2" s="543"/>
      <c r="C2" s="543"/>
      <c r="D2" s="543"/>
      <c r="E2" s="543"/>
      <c r="F2" s="543"/>
    </row>
    <row r="3" spans="1:6" ht="54.75" customHeight="1">
      <c r="A3" s="2" t="s">
        <v>0</v>
      </c>
      <c r="B3" s="2" t="s">
        <v>1</v>
      </c>
      <c r="C3" s="72" t="s">
        <v>382</v>
      </c>
      <c r="D3" s="73" t="s">
        <v>403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2550.96</v>
      </c>
      <c r="D4" s="5">
        <f>D5+D12+D14+D17+D7</f>
        <v>2648.1237099999998</v>
      </c>
      <c r="E4" s="5">
        <f>SUM(D4/C4*100)</f>
        <v>103.80890762693259</v>
      </c>
      <c r="F4" s="5">
        <f>SUM(D4-C4)</f>
        <v>97.16370999999981</v>
      </c>
    </row>
    <row r="5" spans="1:6" s="6" customFormat="1">
      <c r="A5" s="68">
        <v>1010000000</v>
      </c>
      <c r="B5" s="67" t="s">
        <v>5</v>
      </c>
      <c r="C5" s="5">
        <f>C6</f>
        <v>164.5</v>
      </c>
      <c r="D5" s="5">
        <f>D6</f>
        <v>205.47763</v>
      </c>
      <c r="E5" s="5">
        <f t="shared" ref="E5:E52" si="0">SUM(D5/C5*100)</f>
        <v>124.91041337386019</v>
      </c>
      <c r="F5" s="5">
        <f t="shared" ref="F5:F52" si="1">SUM(D5-C5)</f>
        <v>40.977630000000005</v>
      </c>
    </row>
    <row r="6" spans="1:6">
      <c r="A6" s="7">
        <v>1010200001</v>
      </c>
      <c r="B6" s="8" t="s">
        <v>209</v>
      </c>
      <c r="C6" s="9">
        <v>164.5</v>
      </c>
      <c r="D6" s="10">
        <v>205.47763</v>
      </c>
      <c r="E6" s="9">
        <f t="shared" ref="E6:E11" si="2">SUM(D6/C6*100)</f>
        <v>124.91041337386019</v>
      </c>
      <c r="F6" s="9">
        <f t="shared" si="1"/>
        <v>40.977630000000005</v>
      </c>
    </row>
    <row r="7" spans="1:6" ht="31.5">
      <c r="A7" s="3">
        <v>1030000000</v>
      </c>
      <c r="B7" s="13" t="s">
        <v>250</v>
      </c>
      <c r="C7" s="5">
        <f>C8+C10+C9</f>
        <v>856.45999999999992</v>
      </c>
      <c r="D7" s="5">
        <f>D8+D10+D9+D11</f>
        <v>813.31340999999998</v>
      </c>
      <c r="E7" s="5">
        <f t="shared" si="2"/>
        <v>94.962217733461003</v>
      </c>
      <c r="F7" s="5">
        <f t="shared" si="1"/>
        <v>-43.146589999999946</v>
      </c>
    </row>
    <row r="8" spans="1:6">
      <c r="A8" s="7">
        <v>1030223001</v>
      </c>
      <c r="B8" s="8" t="s">
        <v>252</v>
      </c>
      <c r="C8" s="9">
        <v>319.45999999999998</v>
      </c>
      <c r="D8" s="10">
        <v>375.13085999999998</v>
      </c>
      <c r="E8" s="9">
        <f t="shared" si="2"/>
        <v>117.42655105490516</v>
      </c>
      <c r="F8" s="9">
        <f t="shared" si="1"/>
        <v>55.670860000000005</v>
      </c>
    </row>
    <row r="9" spans="1:6">
      <c r="A9" s="7">
        <v>1030224001</v>
      </c>
      <c r="B9" s="8" t="s">
        <v>258</v>
      </c>
      <c r="C9" s="9">
        <v>3.43</v>
      </c>
      <c r="D9" s="10">
        <v>2.6831999999999998</v>
      </c>
      <c r="E9" s="9">
        <f t="shared" si="2"/>
        <v>78.227405247813394</v>
      </c>
      <c r="F9" s="9">
        <f t="shared" si="1"/>
        <v>-0.74680000000000035</v>
      </c>
    </row>
    <row r="10" spans="1:6">
      <c r="A10" s="7">
        <v>1030225001</v>
      </c>
      <c r="B10" s="8" t="s">
        <v>251</v>
      </c>
      <c r="C10" s="9">
        <v>533.57000000000005</v>
      </c>
      <c r="D10" s="10">
        <v>504.65638999999999</v>
      </c>
      <c r="E10" s="9">
        <f t="shared" si="2"/>
        <v>94.581102760649955</v>
      </c>
      <c r="F10" s="9">
        <f>SUM(D10-C10)</f>
        <v>-28.913610000000062</v>
      </c>
    </row>
    <row r="11" spans="1:6">
      <c r="A11" s="7">
        <v>1030226001</v>
      </c>
      <c r="B11" s="8" t="s">
        <v>260</v>
      </c>
      <c r="C11" s="9">
        <v>0</v>
      </c>
      <c r="D11" s="10">
        <v>-69.157039999999995</v>
      </c>
      <c r="E11" s="9" t="e">
        <f t="shared" si="2"/>
        <v>#DIV/0!</v>
      </c>
      <c r="F11" s="9">
        <f>SUM(D11-C11)</f>
        <v>-69.157039999999995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13.16578</v>
      </c>
      <c r="E12" s="5">
        <f t="shared" si="0"/>
        <v>65.828900000000004</v>
      </c>
      <c r="F12" s="5">
        <f t="shared" si="1"/>
        <v>-6.8342200000000002</v>
      </c>
    </row>
    <row r="13" spans="1:6" ht="15.75" customHeight="1">
      <c r="A13" s="7">
        <v>1050300000</v>
      </c>
      <c r="B13" s="11" t="s">
        <v>210</v>
      </c>
      <c r="C13" s="12">
        <v>20</v>
      </c>
      <c r="D13" s="10">
        <v>13.16578</v>
      </c>
      <c r="E13" s="9">
        <f t="shared" si="0"/>
        <v>65.828900000000004</v>
      </c>
      <c r="F13" s="9">
        <f t="shared" si="1"/>
        <v>-6.8342200000000002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1495</v>
      </c>
      <c r="D14" s="5">
        <f>D15+D16</f>
        <v>1612.0668900000001</v>
      </c>
      <c r="E14" s="5">
        <f t="shared" si="0"/>
        <v>107.83056120401338</v>
      </c>
      <c r="F14" s="5">
        <f t="shared" si="1"/>
        <v>117.06689000000006</v>
      </c>
    </row>
    <row r="15" spans="1:6" s="6" customFormat="1" ht="15.75" customHeight="1">
      <c r="A15" s="7">
        <v>1060100000</v>
      </c>
      <c r="B15" s="11" t="s">
        <v>8</v>
      </c>
      <c r="C15" s="9">
        <v>245</v>
      </c>
      <c r="D15" s="10">
        <v>221.03736000000001</v>
      </c>
      <c r="E15" s="9">
        <f t="shared" si="0"/>
        <v>90.219330612244903</v>
      </c>
      <c r="F15" s="9">
        <f>SUM(D15-C15)</f>
        <v>-23.962639999999993</v>
      </c>
    </row>
    <row r="16" spans="1:6" ht="15.75" customHeight="1">
      <c r="A16" s="7">
        <v>1060600000</v>
      </c>
      <c r="B16" s="11" t="s">
        <v>7</v>
      </c>
      <c r="C16" s="9">
        <v>1250</v>
      </c>
      <c r="D16" s="10">
        <v>1391.02953</v>
      </c>
      <c r="E16" s="9">
        <f t="shared" si="0"/>
        <v>111.2823624</v>
      </c>
      <c r="F16" s="9">
        <f t="shared" si="1"/>
        <v>141.02953000000002</v>
      </c>
    </row>
    <row r="17" spans="1:6" s="6" customFormat="1">
      <c r="A17" s="3">
        <v>1080000000</v>
      </c>
      <c r="B17" s="4" t="s">
        <v>10</v>
      </c>
      <c r="C17" s="5">
        <f>C18</f>
        <v>15</v>
      </c>
      <c r="D17" s="5">
        <f>D18</f>
        <v>4.0999999999999996</v>
      </c>
      <c r="E17" s="5">
        <f t="shared" si="0"/>
        <v>27.333333333333332</v>
      </c>
      <c r="F17" s="5">
        <f t="shared" si="1"/>
        <v>-10.9</v>
      </c>
    </row>
    <row r="18" spans="1:6" ht="18" customHeight="1">
      <c r="A18" s="7">
        <v>1080400001</v>
      </c>
      <c r="B18" s="8" t="s">
        <v>208</v>
      </c>
      <c r="C18" s="9">
        <v>15</v>
      </c>
      <c r="D18" s="10">
        <v>4.0999999999999996</v>
      </c>
      <c r="E18" s="9">
        <f t="shared" si="0"/>
        <v>27.333333333333332</v>
      </c>
      <c r="F18" s="9">
        <f t="shared" si="1"/>
        <v>-10.9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213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90</v>
      </c>
      <c r="D25" s="5">
        <f>D30+D37+D26+D35</f>
        <v>157.70749000000001</v>
      </c>
      <c r="E25" s="5">
        <f t="shared" si="0"/>
        <v>175.23054444444446</v>
      </c>
      <c r="F25" s="5">
        <f t="shared" si="1"/>
        <v>67.707490000000007</v>
      </c>
    </row>
    <row r="26" spans="1:6" s="6" customFormat="1" ht="33.75" customHeight="1">
      <c r="A26" s="68">
        <v>1110000000</v>
      </c>
      <c r="B26" s="69" t="s">
        <v>126</v>
      </c>
      <c r="C26" s="5">
        <f>C27+C28</f>
        <v>90</v>
      </c>
      <c r="D26" s="5">
        <f>D27+D28</f>
        <v>40.993810000000003</v>
      </c>
      <c r="E26" s="5">
        <f t="shared" si="0"/>
        <v>45.548677777777783</v>
      </c>
      <c r="F26" s="5">
        <f t="shared" si="1"/>
        <v>-49.006189999999997</v>
      </c>
    </row>
    <row r="27" spans="1:6" ht="15" customHeight="1">
      <c r="A27" s="16">
        <v>1110502510</v>
      </c>
      <c r="B27" s="17" t="s">
        <v>206</v>
      </c>
      <c r="C27" s="12">
        <v>90</v>
      </c>
      <c r="D27" s="10">
        <v>40.993810000000003</v>
      </c>
      <c r="E27" s="9">
        <f t="shared" si="0"/>
        <v>45.548677777777783</v>
      </c>
      <c r="F27" s="9">
        <f t="shared" si="1"/>
        <v>-49.006189999999997</v>
      </c>
    </row>
    <row r="28" spans="1:6" ht="15.75" hidden="1" customHeight="1">
      <c r="A28" s="7">
        <v>1110503510</v>
      </c>
      <c r="B28" s="11" t="s">
        <v>205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3.5" hidden="1" customHeight="1">
      <c r="A29" s="7">
        <v>1110532510</v>
      </c>
      <c r="B29" s="11" t="s">
        <v>322</v>
      </c>
      <c r="C29" s="12">
        <v>0</v>
      </c>
      <c r="D29" s="169">
        <v>0</v>
      </c>
      <c r="E29" s="9" t="e">
        <f>SUM(D28/C29*100)</f>
        <v>#DIV/0!</v>
      </c>
      <c r="F29" s="9">
        <f>SUM(D28-C29)</f>
        <v>0</v>
      </c>
    </row>
    <row r="30" spans="1:6" s="15" customFormat="1" ht="27.75" customHeight="1">
      <c r="A30" s="68">
        <v>1130000000</v>
      </c>
      <c r="B30" s="69" t="s">
        <v>128</v>
      </c>
      <c r="C30" s="5">
        <f>C31</f>
        <v>0</v>
      </c>
      <c r="D30" s="5">
        <f>D31</f>
        <v>69.801360000000003</v>
      </c>
      <c r="E30" s="5" t="e">
        <f t="shared" si="0"/>
        <v>#DIV/0!</v>
      </c>
      <c r="F30" s="5">
        <f t="shared" si="1"/>
        <v>69.801360000000003</v>
      </c>
    </row>
    <row r="31" spans="1:6" ht="22.5" customHeight="1">
      <c r="A31" s="7">
        <v>1130206510</v>
      </c>
      <c r="B31" s="8" t="s">
        <v>396</v>
      </c>
      <c r="C31" s="9">
        <v>0</v>
      </c>
      <c r="D31" s="10">
        <v>69.801360000000003</v>
      </c>
      <c r="E31" s="9" t="e">
        <f t="shared" si="0"/>
        <v>#DIV/0!</v>
      </c>
      <c r="F31" s="9">
        <f t="shared" si="1"/>
        <v>69.801360000000003</v>
      </c>
    </row>
    <row r="32" spans="1:6" ht="22.5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21.75" hidden="1" customHeight="1">
      <c r="A33" s="16">
        <v>1140200000</v>
      </c>
      <c r="B33" s="18" t="s">
        <v>202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7.25" customHeight="1">
      <c r="A34" s="7">
        <v>1140600000</v>
      </c>
      <c r="B34" s="8" t="s">
        <v>203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7.25" customHeight="1">
      <c r="A35" s="3">
        <v>1160000000</v>
      </c>
      <c r="B35" s="13" t="s">
        <v>225</v>
      </c>
      <c r="C35" s="5">
        <f>C36</f>
        <v>0</v>
      </c>
      <c r="D35" s="14">
        <f>D36</f>
        <v>46.650320000000001</v>
      </c>
      <c r="E35" s="5" t="e">
        <f>SUM(D35/C35*100)</f>
        <v>#DIV/0!</v>
      </c>
      <c r="F35" s="5">
        <f>SUM(D35-C35)</f>
        <v>46.650320000000001</v>
      </c>
    </row>
    <row r="36" spans="1:7" ht="14.25" customHeight="1">
      <c r="A36" s="7">
        <v>1160701000</v>
      </c>
      <c r="B36" s="8" t="s">
        <v>383</v>
      </c>
      <c r="C36" s="9">
        <v>0</v>
      </c>
      <c r="D36" s="10">
        <v>46.650320000000001</v>
      </c>
      <c r="E36" s="9" t="e">
        <f>SUM(D36/C36*100)</f>
        <v>#DIV/0!</v>
      </c>
      <c r="F36" s="9">
        <f>SUM(D36-C36)</f>
        <v>46.650320000000001</v>
      </c>
    </row>
    <row r="37" spans="1:7" ht="14.25" customHeight="1">
      <c r="A37" s="3">
        <v>1170000000</v>
      </c>
      <c r="B37" s="13" t="s">
        <v>132</v>
      </c>
      <c r="C37" s="5">
        <f>C38+C39</f>
        <v>0</v>
      </c>
      <c r="D37" s="5">
        <f>D38+D39</f>
        <v>0.26200000000000001</v>
      </c>
      <c r="E37" s="5" t="e">
        <f t="shared" si="0"/>
        <v>#DIV/0!</v>
      </c>
      <c r="F37" s="5">
        <f t="shared" si="1"/>
        <v>0.26200000000000001</v>
      </c>
    </row>
    <row r="38" spans="1:7" ht="15.75" customHeight="1">
      <c r="A38" s="7">
        <v>1170105010</v>
      </c>
      <c r="B38" s="8" t="s">
        <v>15</v>
      </c>
      <c r="C38" s="9">
        <v>0</v>
      </c>
      <c r="D38" s="9">
        <v>0.26200000000000001</v>
      </c>
      <c r="E38" s="9" t="e">
        <f t="shared" si="0"/>
        <v>#DIV/0!</v>
      </c>
      <c r="F38" s="9">
        <f t="shared" si="1"/>
        <v>0.26200000000000001</v>
      </c>
    </row>
    <row r="39" spans="1:7" ht="17.25" customHeight="1">
      <c r="A39" s="7">
        <v>1170505005</v>
      </c>
      <c r="B39" s="11" t="s">
        <v>201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16</v>
      </c>
      <c r="C40" s="123">
        <f>SUM(C4,C25)</f>
        <v>2640.96</v>
      </c>
      <c r="D40" s="123">
        <f>D4+D25</f>
        <v>2805.8311999999996</v>
      </c>
      <c r="E40" s="5">
        <f t="shared" si="0"/>
        <v>106.24285108445413</v>
      </c>
      <c r="F40" s="5">
        <f t="shared" si="1"/>
        <v>164.87119999999959</v>
      </c>
    </row>
    <row r="41" spans="1:7" s="6" customFormat="1">
      <c r="A41" s="3">
        <v>2000000000</v>
      </c>
      <c r="B41" s="4" t="s">
        <v>17</v>
      </c>
      <c r="C41" s="5">
        <f>C42+C44+C45+C47+C48+C49+C43+C51</f>
        <v>14081.171080000002</v>
      </c>
      <c r="D41" s="5">
        <f>D42+D44+D45+D47+D48+D49+D43+D51</f>
        <v>12620.29139</v>
      </c>
      <c r="E41" s="5">
        <f t="shared" si="0"/>
        <v>89.625296918131042</v>
      </c>
      <c r="F41" s="5">
        <f t="shared" si="1"/>
        <v>-1460.8796900000016</v>
      </c>
      <c r="G41" s="19"/>
    </row>
    <row r="42" spans="1:7" ht="17.25" customHeight="1">
      <c r="A42" s="16">
        <v>2021000000</v>
      </c>
      <c r="B42" s="17" t="s">
        <v>18</v>
      </c>
      <c r="C42" s="12">
        <v>2004.7</v>
      </c>
      <c r="D42" s="237">
        <v>2004.7</v>
      </c>
      <c r="E42" s="9">
        <f t="shared" si="0"/>
        <v>100</v>
      </c>
      <c r="F42" s="9">
        <f t="shared" si="1"/>
        <v>0</v>
      </c>
    </row>
    <row r="43" spans="1:7" ht="17.25" customHeight="1">
      <c r="A43" s="16">
        <v>2021500200</v>
      </c>
      <c r="B43" s="17" t="s">
        <v>212</v>
      </c>
      <c r="C43" s="238">
        <v>614</v>
      </c>
      <c r="D43" s="20">
        <v>614</v>
      </c>
      <c r="E43" s="9">
        <f t="shared" si="0"/>
        <v>100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2752.4889800000001</v>
      </c>
      <c r="D44" s="10">
        <v>2752.4084800000001</v>
      </c>
      <c r="E44" s="9">
        <f t="shared" si="0"/>
        <v>99.997075374303591</v>
      </c>
      <c r="F44" s="9">
        <f t="shared" si="1"/>
        <v>-8.0500000000029104E-2</v>
      </c>
    </row>
    <row r="45" spans="1:7" ht="15.75" customHeight="1">
      <c r="A45" s="16">
        <v>2023000000</v>
      </c>
      <c r="B45" s="17" t="s">
        <v>20</v>
      </c>
      <c r="C45" s="12">
        <v>198.36600000000001</v>
      </c>
      <c r="D45" s="175">
        <v>198.36600000000001</v>
      </c>
      <c r="E45" s="9">
        <f t="shared" si="0"/>
        <v>100</v>
      </c>
      <c r="F45" s="9">
        <f t="shared" si="1"/>
        <v>0</v>
      </c>
    </row>
    <row r="46" spans="1:7" ht="15" hidden="1" customHeight="1">
      <c r="A46" s="16">
        <v>2070503010</v>
      </c>
      <c r="B46" s="17" t="s">
        <v>240</v>
      </c>
      <c r="C46" s="12">
        <v>0</v>
      </c>
      <c r="D46" s="175">
        <v>0</v>
      </c>
      <c r="E46" s="9" t="e">
        <f t="shared" si="0"/>
        <v>#DIV/0!</v>
      </c>
      <c r="F46" s="9">
        <f t="shared" si="1"/>
        <v>0</v>
      </c>
    </row>
    <row r="47" spans="1:7" ht="18" customHeight="1">
      <c r="A47" s="16">
        <v>2020400000</v>
      </c>
      <c r="B47" s="17" t="s">
        <v>21</v>
      </c>
      <c r="C47" s="12">
        <v>8366.2064900000005</v>
      </c>
      <c r="D47" s="176">
        <v>6786.9204</v>
      </c>
      <c r="E47" s="9">
        <f t="shared" si="0"/>
        <v>81.123032381669063</v>
      </c>
      <c r="F47" s="9">
        <f t="shared" si="1"/>
        <v>-1579.2860900000005</v>
      </c>
    </row>
    <row r="48" spans="1:7" ht="22.5" hidden="1" customHeight="1">
      <c r="A48" s="16">
        <v>2020900000</v>
      </c>
      <c r="B48" s="18" t="s">
        <v>22</v>
      </c>
      <c r="C48" s="12"/>
      <c r="D48" s="176"/>
      <c r="E48" s="9" t="e">
        <f t="shared" si="0"/>
        <v>#DIV/0!</v>
      </c>
      <c r="F48" s="9">
        <f t="shared" si="1"/>
        <v>0</v>
      </c>
    </row>
    <row r="49" spans="1:8" ht="21.75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8" s="6" customFormat="1" ht="20.25" customHeight="1">
      <c r="A50" s="3">
        <v>3000000000</v>
      </c>
      <c r="B50" s="13" t="s">
        <v>24</v>
      </c>
      <c r="C50" s="118">
        <v>0</v>
      </c>
      <c r="D50" s="117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2070502010</v>
      </c>
      <c r="B51" s="8" t="s">
        <v>272</v>
      </c>
      <c r="C51" s="201">
        <v>145.40960999999999</v>
      </c>
      <c r="D51" s="202">
        <v>263.89650999999998</v>
      </c>
      <c r="E51" s="9">
        <f t="shared" si="0"/>
        <v>181.48491698726102</v>
      </c>
      <c r="F51" s="9">
        <f t="shared" si="1"/>
        <v>118.48689999999999</v>
      </c>
    </row>
    <row r="52" spans="1:8" s="6" customFormat="1">
      <c r="A52" s="3"/>
      <c r="B52" s="4" t="s">
        <v>25</v>
      </c>
      <c r="C52" s="445">
        <f>SUM(C40,C41,C50)</f>
        <v>16722.131080000003</v>
      </c>
      <c r="D52" s="444">
        <f>D40+D41</f>
        <v>15426.122589999999</v>
      </c>
      <c r="E52" s="5">
        <f t="shared" si="0"/>
        <v>92.249740874534496</v>
      </c>
      <c r="F52" s="5">
        <f t="shared" si="1"/>
        <v>-1296.0084900000038</v>
      </c>
      <c r="G52" s="91"/>
      <c r="H52" s="188"/>
    </row>
    <row r="53" spans="1:8" s="6" customFormat="1">
      <c r="A53" s="3"/>
      <c r="B53" s="21" t="s">
        <v>290</v>
      </c>
      <c r="C53" s="247">
        <f>C52-C99</f>
        <v>-1404.8947299999963</v>
      </c>
      <c r="D53" s="247">
        <f>D52-D99</f>
        <v>-1012.253560000001</v>
      </c>
      <c r="E53" s="22"/>
      <c r="F53" s="22"/>
    </row>
    <row r="54" spans="1:8" ht="9" customHeight="1">
      <c r="A54" s="23"/>
      <c r="B54" s="24"/>
      <c r="C54" s="171"/>
      <c r="D54" s="25"/>
      <c r="E54" s="26"/>
      <c r="F54" s="27"/>
    </row>
    <row r="55" spans="1:8" ht="55.5" customHeight="1">
      <c r="A55" s="28" t="s">
        <v>0</v>
      </c>
      <c r="B55" s="28" t="s">
        <v>26</v>
      </c>
      <c r="C55" s="72" t="s">
        <v>382</v>
      </c>
      <c r="D55" s="73" t="s">
        <v>403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5">
        <v>3</v>
      </c>
      <c r="D56" s="85">
        <v>4</v>
      </c>
      <c r="E56" s="85">
        <v>5</v>
      </c>
      <c r="F56" s="85">
        <v>6</v>
      </c>
    </row>
    <row r="57" spans="1:8" s="6" customFormat="1" ht="16.5" customHeight="1">
      <c r="A57" s="30" t="s">
        <v>27</v>
      </c>
      <c r="B57" s="31" t="s">
        <v>28</v>
      </c>
      <c r="C57" s="32">
        <f>C58+C59+C60+C61+C62+C64+C63</f>
        <v>1571.1</v>
      </c>
      <c r="D57" s="33">
        <f>D58+D59+D60+D61+D62+D64+D63</f>
        <v>1450.83548</v>
      </c>
      <c r="E57" s="34">
        <f>SUM(D57/C57*100)</f>
        <v>92.345202724205976</v>
      </c>
      <c r="F57" s="34">
        <f>SUM(D57-C57)</f>
        <v>-120.26451999999995</v>
      </c>
    </row>
    <row r="58" spans="1:8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8" ht="18.75" customHeight="1">
      <c r="A59" s="35" t="s">
        <v>31</v>
      </c>
      <c r="B59" s="39" t="s">
        <v>32</v>
      </c>
      <c r="C59" s="37">
        <v>1526.1</v>
      </c>
      <c r="D59" s="37">
        <v>1410.83548</v>
      </c>
      <c r="E59" s="38">
        <f t="shared" ref="E59:E99" si="3">SUM(D59/C59*100)</f>
        <v>92.447118799554417</v>
      </c>
      <c r="F59" s="38">
        <f t="shared" ref="F59:F99" si="4">SUM(D59-C59)</f>
        <v>-115.26451999999995</v>
      </c>
    </row>
    <row r="60" spans="1:8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37</v>
      </c>
      <c r="B62" s="39" t="s">
        <v>38</v>
      </c>
      <c r="C62" s="37">
        <v>39</v>
      </c>
      <c r="D62" s="37">
        <v>39</v>
      </c>
      <c r="E62" s="38">
        <f t="shared" si="3"/>
        <v>100</v>
      </c>
      <c r="F62" s="38">
        <f t="shared" si="4"/>
        <v>0</v>
      </c>
    </row>
    <row r="63" spans="1:8" ht="15.75" customHeight="1">
      <c r="A63" s="35" t="s">
        <v>39</v>
      </c>
      <c r="B63" s="39" t="s">
        <v>40</v>
      </c>
      <c r="C63" s="40">
        <v>5</v>
      </c>
      <c r="D63" s="40">
        <v>0</v>
      </c>
      <c r="E63" s="38">
        <f t="shared" si="3"/>
        <v>0</v>
      </c>
      <c r="F63" s="38">
        <f t="shared" si="4"/>
        <v>-5</v>
      </c>
    </row>
    <row r="64" spans="1:8" ht="15" customHeight="1">
      <c r="A64" s="35" t="s">
        <v>41</v>
      </c>
      <c r="B64" s="39" t="s">
        <v>42</v>
      </c>
      <c r="C64" s="37">
        <v>1</v>
      </c>
      <c r="D64" s="37">
        <v>1</v>
      </c>
      <c r="E64" s="38">
        <f t="shared" si="3"/>
        <v>100</v>
      </c>
      <c r="F64" s="38">
        <f t="shared" si="4"/>
        <v>0</v>
      </c>
    </row>
    <row r="65" spans="1:7" s="6" customFormat="1">
      <c r="A65" s="41" t="s">
        <v>43</v>
      </c>
      <c r="B65" s="42" t="s">
        <v>44</v>
      </c>
      <c r="C65" s="32">
        <f>C66</f>
        <v>198.36600000000001</v>
      </c>
      <c r="D65" s="32">
        <f>D66</f>
        <v>198.36600000000001</v>
      </c>
      <c r="E65" s="34">
        <f t="shared" si="3"/>
        <v>100</v>
      </c>
      <c r="F65" s="34">
        <f t="shared" si="4"/>
        <v>0</v>
      </c>
    </row>
    <row r="66" spans="1:7">
      <c r="A66" s="43" t="s">
        <v>45</v>
      </c>
      <c r="B66" s="44" t="s">
        <v>46</v>
      </c>
      <c r="C66" s="37">
        <v>198.36600000000001</v>
      </c>
      <c r="D66" s="37">
        <v>198.36600000000001</v>
      </c>
      <c r="E66" s="38">
        <f t="shared" si="3"/>
        <v>100</v>
      </c>
      <c r="F66" s="38">
        <f t="shared" si="4"/>
        <v>0</v>
      </c>
    </row>
    <row r="67" spans="1:7" s="6" customFormat="1" ht="16.5" customHeight="1">
      <c r="A67" s="30" t="s">
        <v>47</v>
      </c>
      <c r="B67" s="31" t="s">
        <v>48</v>
      </c>
      <c r="C67" s="32">
        <f>C71+C70+C72</f>
        <v>27.052569999999999</v>
      </c>
      <c r="D67" s="32">
        <f>D71+D70+D72</f>
        <v>27.046209999999999</v>
      </c>
      <c r="E67" s="34">
        <f t="shared" si="3"/>
        <v>99.976490218859055</v>
      </c>
      <c r="F67" s="34">
        <f t="shared" si="4"/>
        <v>-6.3600000000008095E-3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3"/>
      <c r="D70" s="37">
        <v>0</v>
      </c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199</v>
      </c>
      <c r="B71" s="47" t="s">
        <v>200</v>
      </c>
      <c r="C71" s="37">
        <v>25.052569999999999</v>
      </c>
      <c r="D71" s="37">
        <v>25.046209999999999</v>
      </c>
      <c r="E71" s="34">
        <f t="shared" si="3"/>
        <v>99.974613382978276</v>
      </c>
      <c r="F71" s="34">
        <f t="shared" si="4"/>
        <v>-6.3600000000008095E-3</v>
      </c>
    </row>
    <row r="72" spans="1:7" ht="15.75" customHeight="1">
      <c r="A72" s="46" t="s">
        <v>320</v>
      </c>
      <c r="B72" s="47" t="s">
        <v>323</v>
      </c>
      <c r="C72" s="37">
        <v>2</v>
      </c>
      <c r="D72" s="37">
        <v>2</v>
      </c>
      <c r="E72" s="34">
        <f>SUM(D72/C72*100)</f>
        <v>100</v>
      </c>
      <c r="F72" s="34">
        <f>SUM(D72-C72)</f>
        <v>0</v>
      </c>
    </row>
    <row r="73" spans="1:7" s="6" customFormat="1" ht="24" customHeight="1">
      <c r="A73" s="30" t="s">
        <v>55</v>
      </c>
      <c r="B73" s="31" t="s">
        <v>56</v>
      </c>
      <c r="C73" s="48">
        <f>C74+C75+C76+C77</f>
        <v>4997.0712199999998</v>
      </c>
      <c r="D73" s="48">
        <f>SUM(D74:D77)</f>
        <v>4979.3038500000002</v>
      </c>
      <c r="E73" s="34">
        <f t="shared" si="3"/>
        <v>99.644444331133641</v>
      </c>
      <c r="F73" s="34">
        <f t="shared" si="4"/>
        <v>-17.767369999999573</v>
      </c>
    </row>
    <row r="74" spans="1:7" ht="16.5" customHeight="1">
      <c r="A74" s="35" t="s">
        <v>57</v>
      </c>
      <c r="B74" s="39" t="s">
        <v>58</v>
      </c>
      <c r="C74" s="49"/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7.25" customHeight="1">
      <c r="A75" s="35" t="s">
        <v>59</v>
      </c>
      <c r="B75" s="39" t="s">
        <v>60</v>
      </c>
      <c r="C75" s="49">
        <v>0</v>
      </c>
      <c r="D75" s="37"/>
      <c r="E75" s="38" t="e">
        <f t="shared" si="3"/>
        <v>#DIV/0!</v>
      </c>
      <c r="F75" s="38">
        <f t="shared" si="4"/>
        <v>0</v>
      </c>
      <c r="G75" s="50"/>
    </row>
    <row r="76" spans="1:7" ht="18" customHeight="1">
      <c r="A76" s="35" t="s">
        <v>61</v>
      </c>
      <c r="B76" s="39" t="s">
        <v>62</v>
      </c>
      <c r="C76" s="49">
        <v>4670.0622199999998</v>
      </c>
      <c r="D76" s="37">
        <v>4658.9848499999998</v>
      </c>
      <c r="E76" s="38">
        <f t="shared" si="3"/>
        <v>99.762800376565437</v>
      </c>
      <c r="F76" s="38">
        <f t="shared" si="4"/>
        <v>-11.077369999999974</v>
      </c>
    </row>
    <row r="77" spans="1:7">
      <c r="A77" s="35" t="s">
        <v>63</v>
      </c>
      <c r="B77" s="39" t="s">
        <v>64</v>
      </c>
      <c r="C77" s="49">
        <v>327.00900000000001</v>
      </c>
      <c r="D77" s="37">
        <v>320.31900000000002</v>
      </c>
      <c r="E77" s="38">
        <f t="shared" si="3"/>
        <v>97.954184747208799</v>
      </c>
      <c r="F77" s="38">
        <f t="shared" si="4"/>
        <v>-6.6899999999999977</v>
      </c>
    </row>
    <row r="78" spans="1:7" s="6" customFormat="1" ht="15.75" customHeight="1">
      <c r="A78" s="30" t="s">
        <v>65</v>
      </c>
      <c r="B78" s="31" t="s">
        <v>66</v>
      </c>
      <c r="C78" s="32">
        <f>SUM(C79:C81)</f>
        <v>2420.1176599999999</v>
      </c>
      <c r="D78" s="32">
        <f>SUM(D79:D81)</f>
        <v>2381.47003</v>
      </c>
      <c r="E78" s="34">
        <f t="shared" si="3"/>
        <v>98.403068138430925</v>
      </c>
      <c r="F78" s="34">
        <f t="shared" si="4"/>
        <v>-38.647629999999936</v>
      </c>
    </row>
    <row r="79" spans="1:7" hidden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69</v>
      </c>
      <c r="B80" s="51" t="s">
        <v>70</v>
      </c>
      <c r="C80" s="37">
        <v>211.12255999999999</v>
      </c>
      <c r="D80" s="37">
        <v>210.98803000000001</v>
      </c>
      <c r="E80" s="38">
        <f t="shared" si="3"/>
        <v>99.936278718863591</v>
      </c>
      <c r="F80" s="38">
        <f t="shared" si="4"/>
        <v>-0.13452999999998383</v>
      </c>
    </row>
    <row r="81" spans="1:6">
      <c r="A81" s="35" t="s">
        <v>71</v>
      </c>
      <c r="B81" s="39" t="s">
        <v>72</v>
      </c>
      <c r="C81" s="37">
        <v>2208.9951000000001</v>
      </c>
      <c r="D81" s="37">
        <v>2170.482</v>
      </c>
      <c r="E81" s="38">
        <f>SUM(D81/C81*100)</f>
        <v>98.256533027166952</v>
      </c>
      <c r="F81" s="38">
        <f t="shared" si="4"/>
        <v>-38.513100000000122</v>
      </c>
    </row>
    <row r="82" spans="1:6" s="6" customFormat="1">
      <c r="A82" s="30" t="s">
        <v>83</v>
      </c>
      <c r="B82" s="31" t="s">
        <v>84</v>
      </c>
      <c r="C82" s="32">
        <f>C83</f>
        <v>8893.8717899999992</v>
      </c>
      <c r="D82" s="32">
        <f>SUM(D83)</f>
        <v>7381.9595799999997</v>
      </c>
      <c r="E82" s="34">
        <f t="shared" si="3"/>
        <v>83.000517145975181</v>
      </c>
      <c r="F82" s="34">
        <f t="shared" si="4"/>
        <v>-1511.9122099999995</v>
      </c>
    </row>
    <row r="83" spans="1:6" ht="18.75" customHeight="1">
      <c r="A83" s="35" t="s">
        <v>85</v>
      </c>
      <c r="B83" s="39" t="s">
        <v>214</v>
      </c>
      <c r="C83" s="37">
        <v>8893.8717899999992</v>
      </c>
      <c r="D83" s="37">
        <v>7381.9595799999997</v>
      </c>
      <c r="E83" s="38">
        <f t="shared" si="3"/>
        <v>83.000517145975181</v>
      </c>
      <c r="F83" s="38">
        <f t="shared" si="4"/>
        <v>-1511.9122099999995</v>
      </c>
    </row>
    <row r="84" spans="1:6" s="6" customFormat="1" ht="0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4.2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0.5" hidden="1" customHeight="1">
      <c r="A88" s="35" t="s">
        <v>90</v>
      </c>
      <c r="B88" s="39" t="s">
        <v>91</v>
      </c>
      <c r="C88" s="37"/>
      <c r="D88" s="37"/>
      <c r="E88" s="38"/>
      <c r="F88" s="38">
        <f t="shared" si="4"/>
        <v>0</v>
      </c>
    </row>
    <row r="89" spans="1:6">
      <c r="A89" s="30" t="s">
        <v>92</v>
      </c>
      <c r="B89" s="31" t="s">
        <v>93</v>
      </c>
      <c r="C89" s="32">
        <f>C90+C91+C92+C93+C94</f>
        <v>19.446570000000001</v>
      </c>
      <c r="D89" s="32">
        <f>D90+D91+D92+D93+D94</f>
        <v>19.395</v>
      </c>
      <c r="E89" s="38">
        <f t="shared" si="3"/>
        <v>99.734811845996489</v>
      </c>
      <c r="F89" s="22">
        <f>F90+F91+F92+F93+F94</f>
        <v>-5.157000000000167E-2</v>
      </c>
    </row>
    <row r="90" spans="1:6" ht="17.25" customHeight="1">
      <c r="A90" s="35" t="s">
        <v>94</v>
      </c>
      <c r="B90" s="39" t="s">
        <v>95</v>
      </c>
      <c r="C90" s="37">
        <v>19.446570000000001</v>
      </c>
      <c r="D90" s="37">
        <v>19.395</v>
      </c>
      <c r="E90" s="38">
        <f t="shared" si="3"/>
        <v>99.734811845996489</v>
      </c>
      <c r="F90" s="38">
        <f>SUM(D90-C90)</f>
        <v>-5.157000000000167E-2</v>
      </c>
    </row>
    <row r="91" spans="1:6" ht="15.7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116</v>
      </c>
      <c r="C99" s="440">
        <f>C57+C65+C67+C73+C78+C82+C84+C89+C95</f>
        <v>18127.025809999999</v>
      </c>
      <c r="D99" s="440">
        <f>D57+D65+D67+D73+D78+D82+D84+D89+D95</f>
        <v>16438.37615</v>
      </c>
      <c r="E99" s="34">
        <f t="shared" si="3"/>
        <v>90.684353419586159</v>
      </c>
      <c r="F99" s="34">
        <f t="shared" si="4"/>
        <v>-1688.6496599999991</v>
      </c>
      <c r="G99" s="188"/>
      <c r="H99" s="139"/>
    </row>
    <row r="100" spans="1:8" ht="13.5" customHeight="1">
      <c r="C100" s="113"/>
      <c r="D100" s="61"/>
    </row>
    <row r="101" spans="1:8" s="65" customFormat="1" ht="12.75">
      <c r="A101" s="63" t="s">
        <v>117</v>
      </c>
      <c r="B101" s="63"/>
      <c r="C101" s="130"/>
      <c r="D101" s="130"/>
    </row>
    <row r="102" spans="1:8" s="65" customFormat="1" ht="12.75">
      <c r="A102" s="66" t="s">
        <v>118</v>
      </c>
      <c r="B102" s="66"/>
      <c r="C102" s="115" t="s">
        <v>119</v>
      </c>
    </row>
    <row r="104" spans="1:8" ht="5.25" customHeight="1"/>
    <row r="143" hidden="1"/>
  </sheetData>
  <customSheetViews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1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3DCB9AAA-F09C-4EA6-B992-F93E466D374A}" hiddenRows="1" topLeftCell="A51">
      <selection activeCell="B100" sqref="B100"/>
      <pageMargins left="0.7" right="0.7" top="0.75" bottom="0.75" header="0.3" footer="0.3"/>
      <pageSetup paperSize="9" scale="54" orientation="portrait" r:id="rId3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4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5"/>
    </customSheetView>
    <customSheetView guid="{B31C8DB7-3E78-4144-A6B5-8DE36DE63F0E}" showPageBreaks="1" printArea="1" hiddenRows="1" topLeftCell="A29">
      <selection activeCell="D81" sqref="D81"/>
      <pageMargins left="0.7" right="0.7" top="0.75" bottom="0.75" header="0.3" footer="0.3"/>
      <pageSetup paperSize="9" scale="54" orientation="portrait" r:id="rId6"/>
    </customSheetView>
    <customSheetView guid="{B30CE22D-C12F-4E12-8BB9-3AAE0A6991CC}" scale="70" showPageBreaks="1" printArea="1" hiddenRows="1" view="pageBreakPreview" topLeftCell="A54">
      <selection activeCell="F70" sqref="F70"/>
      <pageMargins left="0.70866141732283472" right="0.70866141732283472" top="0.74803149606299213" bottom="0.74803149606299213" header="0.31496062992125984" footer="0.31496062992125984"/>
      <pageSetup paperSize="9" scale="51" orientation="portrait" r:id="rId7"/>
    </customSheetView>
    <customSheetView guid="{1718F1EE-9F48-4DBE-9531-3B70F9C4A5DD}" scale="70" showPageBreaks="1" printArea="1" hiddenRows="1" view="pageBreakPreview" topLeftCell="A37">
      <selection activeCell="D90" sqref="D90"/>
      <pageMargins left="0.7" right="0.7" top="0.75" bottom="0.75" header="0.3" footer="0.3"/>
      <pageSetup paperSize="9" scale="39" orientation="portrait" r:id="rId8"/>
    </customSheetView>
    <customSheetView guid="{61528DAC-5C4C-48F4-ADE2-8A724B05A086}" scale="70" showPageBreaks="1" printArea="1" hiddenRows="1" view="pageBreakPreview" topLeftCell="A30">
      <selection activeCell="D99" sqref="D99"/>
      <pageMargins left="0.70866141732283472" right="0.70866141732283472" top="0.74803149606299213" bottom="0.74803149606299213" header="0.31496062992125984" footer="0.31496062992125984"/>
      <pageSetup paperSize="9" scale="58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topLeftCell="A35" zoomScale="70" zoomScaleSheetLayoutView="70" workbookViewId="0">
      <selection activeCell="C95" sqref="C95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43" t="s">
        <v>431</v>
      </c>
      <c r="B1" s="543"/>
      <c r="C1" s="543"/>
      <c r="D1" s="543"/>
      <c r="E1" s="543"/>
      <c r="F1" s="543"/>
    </row>
    <row r="2" spans="1:6">
      <c r="A2" s="543"/>
      <c r="B2" s="543"/>
      <c r="C2" s="543"/>
      <c r="D2" s="543"/>
      <c r="E2" s="543"/>
      <c r="F2" s="543"/>
    </row>
    <row r="3" spans="1:6" ht="47.25" customHeight="1">
      <c r="A3" s="2" t="s">
        <v>0</v>
      </c>
      <c r="B3" s="2" t="s">
        <v>1</v>
      </c>
      <c r="C3" s="72" t="s">
        <v>382</v>
      </c>
      <c r="D3" s="73" t="s">
        <v>403</v>
      </c>
      <c r="E3" s="72" t="s">
        <v>2</v>
      </c>
      <c r="F3" s="74" t="s">
        <v>3</v>
      </c>
    </row>
    <row r="4" spans="1:6" s="6" customFormat="1" ht="17.25" customHeight="1">
      <c r="A4" s="3"/>
      <c r="B4" s="4" t="s">
        <v>4</v>
      </c>
      <c r="C4" s="5">
        <f>C5+C12+C14+C17+C7</f>
        <v>1955.07611</v>
      </c>
      <c r="D4" s="5">
        <f>D5+D12+D14+D17+D7</f>
        <v>1725.5743499999999</v>
      </c>
      <c r="E4" s="5">
        <f>SUM(D4/C4*100)</f>
        <v>88.261236540811694</v>
      </c>
      <c r="F4" s="5">
        <f>SUM(D4-C4)</f>
        <v>-229.5017600000001</v>
      </c>
    </row>
    <row r="5" spans="1:6" s="6" customFormat="1">
      <c r="A5" s="3">
        <v>1010000000</v>
      </c>
      <c r="B5" s="4" t="s">
        <v>5</v>
      </c>
      <c r="C5" s="5">
        <f>C6</f>
        <v>111</v>
      </c>
      <c r="D5" s="5">
        <f>D6</f>
        <v>114.07337</v>
      </c>
      <c r="E5" s="5">
        <f t="shared" ref="E5:E48" si="0">SUM(D5/C5*100)</f>
        <v>102.76880180180179</v>
      </c>
      <c r="F5" s="5">
        <f t="shared" ref="F5:F48" si="1">SUM(D5-C5)</f>
        <v>3.073369999999997</v>
      </c>
    </row>
    <row r="6" spans="1:6">
      <c r="A6" s="7">
        <v>1010200001</v>
      </c>
      <c r="B6" s="8" t="s">
        <v>209</v>
      </c>
      <c r="C6" s="9">
        <v>111</v>
      </c>
      <c r="D6" s="10">
        <v>114.07337</v>
      </c>
      <c r="E6" s="9">
        <f t="shared" ref="E6:E11" si="2">SUM(D6/C6*100)</f>
        <v>102.76880180180179</v>
      </c>
      <c r="F6" s="9">
        <f t="shared" si="1"/>
        <v>3.073369999999997</v>
      </c>
    </row>
    <row r="7" spans="1:6" ht="31.5">
      <c r="A7" s="3">
        <v>1030000000</v>
      </c>
      <c r="B7" s="13" t="s">
        <v>250</v>
      </c>
      <c r="C7" s="5">
        <f>C8+C10+C9</f>
        <v>493.04000000000008</v>
      </c>
      <c r="D7" s="5">
        <f>D8+D10+D9+D11</f>
        <v>468.19814000000002</v>
      </c>
      <c r="E7" s="5">
        <f t="shared" si="2"/>
        <v>94.961491968197294</v>
      </c>
      <c r="F7" s="5">
        <f t="shared" si="1"/>
        <v>-24.841860000000054</v>
      </c>
    </row>
    <row r="8" spans="1:6">
      <c r="A8" s="7">
        <v>1030223001</v>
      </c>
      <c r="B8" s="8" t="s">
        <v>252</v>
      </c>
      <c r="C8" s="9">
        <v>183.91</v>
      </c>
      <c r="D8" s="10">
        <v>215.95062999999999</v>
      </c>
      <c r="E8" s="9">
        <f t="shared" si="2"/>
        <v>117.42190745473329</v>
      </c>
      <c r="F8" s="9">
        <f t="shared" si="1"/>
        <v>32.040629999999993</v>
      </c>
    </row>
    <row r="9" spans="1:6">
      <c r="A9" s="7">
        <v>1030224001</v>
      </c>
      <c r="B9" s="8" t="s">
        <v>258</v>
      </c>
      <c r="C9" s="9">
        <v>1.97</v>
      </c>
      <c r="D9" s="10">
        <v>1.54464</v>
      </c>
      <c r="E9" s="9">
        <f t="shared" si="2"/>
        <v>78.408121827411165</v>
      </c>
      <c r="F9" s="9">
        <f t="shared" si="1"/>
        <v>-0.42535999999999996</v>
      </c>
    </row>
    <row r="10" spans="1:6">
      <c r="A10" s="7">
        <v>1030225001</v>
      </c>
      <c r="B10" s="8" t="s">
        <v>251</v>
      </c>
      <c r="C10" s="9">
        <v>307.16000000000003</v>
      </c>
      <c r="D10" s="10">
        <v>290.51436000000001</v>
      </c>
      <c r="E10" s="9">
        <f t="shared" si="2"/>
        <v>94.580791769761689</v>
      </c>
      <c r="F10" s="9">
        <f t="shared" si="1"/>
        <v>-16.645640000000014</v>
      </c>
    </row>
    <row r="11" spans="1:6">
      <c r="A11" s="7">
        <v>1030226001</v>
      </c>
      <c r="B11" s="8" t="s">
        <v>260</v>
      </c>
      <c r="C11" s="9">
        <v>0</v>
      </c>
      <c r="D11" s="10">
        <v>-39.811489999999999</v>
      </c>
      <c r="E11" s="9" t="e">
        <f t="shared" si="2"/>
        <v>#DIV/0!</v>
      </c>
      <c r="F11" s="9">
        <f t="shared" si="1"/>
        <v>-39.811489999999999</v>
      </c>
    </row>
    <row r="12" spans="1:6" s="6" customFormat="1">
      <c r="A12" s="3">
        <v>1050000000</v>
      </c>
      <c r="B12" s="4" t="s">
        <v>6</v>
      </c>
      <c r="C12" s="5">
        <f>SUM(C13:C13)</f>
        <v>5</v>
      </c>
      <c r="D12" s="5">
        <f>SUM(D13:D13)</f>
        <v>0.40439999999999998</v>
      </c>
      <c r="E12" s="5">
        <f t="shared" si="0"/>
        <v>8.0879999999999992</v>
      </c>
      <c r="F12" s="5">
        <f t="shared" si="1"/>
        <v>-4.5956000000000001</v>
      </c>
    </row>
    <row r="13" spans="1:6" ht="15.75" customHeight="1">
      <c r="A13" s="7">
        <v>1050300000</v>
      </c>
      <c r="B13" s="11" t="s">
        <v>210</v>
      </c>
      <c r="C13" s="12">
        <v>5</v>
      </c>
      <c r="D13" s="10">
        <v>0.40439999999999998</v>
      </c>
      <c r="E13" s="9">
        <f t="shared" si="0"/>
        <v>8.0879999999999992</v>
      </c>
      <c r="F13" s="9">
        <f t="shared" si="1"/>
        <v>-4.5956000000000001</v>
      </c>
    </row>
    <row r="14" spans="1:6" s="6" customFormat="1" ht="15.75" customHeight="1">
      <c r="A14" s="3">
        <v>1060000000</v>
      </c>
      <c r="B14" s="4" t="s">
        <v>133</v>
      </c>
      <c r="C14" s="5">
        <f>C15+C16</f>
        <v>1341.03611</v>
      </c>
      <c r="D14" s="5">
        <f>D15+D16</f>
        <v>1138.8984399999999</v>
      </c>
      <c r="E14" s="5">
        <f t="shared" si="0"/>
        <v>84.926754134905423</v>
      </c>
      <c r="F14" s="5">
        <f t="shared" si="1"/>
        <v>-202.13767000000007</v>
      </c>
    </row>
    <row r="15" spans="1:6" s="6" customFormat="1" ht="15.75" customHeight="1">
      <c r="A15" s="7">
        <v>1060100000</v>
      </c>
      <c r="B15" s="11" t="s">
        <v>8</v>
      </c>
      <c r="C15" s="9">
        <v>270</v>
      </c>
      <c r="D15" s="10">
        <v>151.82955000000001</v>
      </c>
      <c r="E15" s="9">
        <f t="shared" si="0"/>
        <v>56.233166666666669</v>
      </c>
      <c r="F15" s="9">
        <f>SUM(D15-C15)</f>
        <v>-118.17044999999999</v>
      </c>
    </row>
    <row r="16" spans="1:6" ht="15.75" customHeight="1">
      <c r="A16" s="7">
        <v>1060600000</v>
      </c>
      <c r="B16" s="11" t="s">
        <v>7</v>
      </c>
      <c r="C16" s="9">
        <v>1071.03611</v>
      </c>
      <c r="D16" s="10">
        <v>987.06889000000001</v>
      </c>
      <c r="E16" s="9">
        <f t="shared" si="0"/>
        <v>92.160187764350908</v>
      </c>
      <c r="F16" s="9">
        <f t="shared" si="1"/>
        <v>-83.967219999999998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4</v>
      </c>
      <c r="E17" s="5">
        <f t="shared" si="0"/>
        <v>80</v>
      </c>
      <c r="F17" s="5">
        <f t="shared" si="1"/>
        <v>-1</v>
      </c>
    </row>
    <row r="18" spans="1:6">
      <c r="A18" s="7">
        <v>1080400001</v>
      </c>
      <c r="B18" s="8" t="s">
        <v>208</v>
      </c>
      <c r="C18" s="9">
        <v>5</v>
      </c>
      <c r="D18" s="10">
        <v>4</v>
      </c>
      <c r="E18" s="9">
        <f t="shared" si="0"/>
        <v>80</v>
      </c>
      <c r="F18" s="9">
        <f t="shared" si="1"/>
        <v>-1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213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230.6</v>
      </c>
      <c r="D25" s="5">
        <f>D26+D29+D31+D34</f>
        <v>421.89100999999999</v>
      </c>
      <c r="E25" s="5">
        <f t="shared" si="0"/>
        <v>182.95360364267131</v>
      </c>
      <c r="F25" s="5">
        <f t="shared" si="1"/>
        <v>191.29101</v>
      </c>
    </row>
    <row r="26" spans="1:6" s="6" customFormat="1" ht="32.25" customHeight="1">
      <c r="A26" s="3">
        <v>1110000000</v>
      </c>
      <c r="B26" s="13" t="s">
        <v>126</v>
      </c>
      <c r="C26" s="5">
        <f>C27+C28</f>
        <v>230.6</v>
      </c>
      <c r="D26" s="5">
        <f>D27</f>
        <v>358.39492999999999</v>
      </c>
      <c r="E26" s="5">
        <f t="shared" si="0"/>
        <v>155.41844319167387</v>
      </c>
      <c r="F26" s="5">
        <f t="shared" si="1"/>
        <v>127.79492999999999</v>
      </c>
    </row>
    <row r="27" spans="1:6" ht="15" customHeight="1">
      <c r="A27" s="16">
        <v>1110502510</v>
      </c>
      <c r="B27" s="17" t="s">
        <v>206</v>
      </c>
      <c r="C27" s="12">
        <v>230.6</v>
      </c>
      <c r="D27" s="10">
        <v>358.39492999999999</v>
      </c>
      <c r="E27" s="5">
        <f t="shared" si="0"/>
        <v>155.41844319167387</v>
      </c>
      <c r="F27" s="9">
        <f t="shared" si="1"/>
        <v>127.79492999999999</v>
      </c>
    </row>
    <row r="28" spans="1:6" ht="19.5" hidden="1" customHeight="1">
      <c r="A28" s="7">
        <v>1110503505</v>
      </c>
      <c r="B28" s="11" t="s">
        <v>205</v>
      </c>
      <c r="C28" s="12">
        <v>0</v>
      </c>
      <c r="D28" s="10"/>
      <c r="E28" s="9" t="e">
        <f t="shared" si="0"/>
        <v>#DIV/0!</v>
      </c>
      <c r="F28" s="9">
        <f t="shared" si="1"/>
        <v>0</v>
      </c>
    </row>
    <row r="29" spans="1:6" s="15" customFormat="1" ht="31.5">
      <c r="A29" s="3">
        <v>1130000000</v>
      </c>
      <c r="B29" s="13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1130305005</v>
      </c>
      <c r="B30" s="8" t="s">
        <v>204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33" customHeight="1">
      <c r="A31" s="105">
        <v>1140000000</v>
      </c>
      <c r="B31" s="106" t="s">
        <v>129</v>
      </c>
      <c r="C31" s="5">
        <f>C33+C32</f>
        <v>0</v>
      </c>
      <c r="D31" s="5">
        <f>D33+D32</f>
        <v>4.42</v>
      </c>
      <c r="E31" s="5" t="e">
        <f t="shared" si="0"/>
        <v>#DIV/0!</v>
      </c>
      <c r="F31" s="5">
        <f t="shared" si="1"/>
        <v>4.42</v>
      </c>
    </row>
    <row r="32" spans="1:6" ht="19.5" customHeight="1">
      <c r="A32" s="16">
        <v>1140200000</v>
      </c>
      <c r="B32" s="18" t="s">
        <v>202</v>
      </c>
      <c r="C32" s="9">
        <v>0</v>
      </c>
      <c r="D32" s="10">
        <v>4.42</v>
      </c>
      <c r="E32" s="9" t="e">
        <f t="shared" si="0"/>
        <v>#DIV/0!</v>
      </c>
      <c r="F32" s="9">
        <f t="shared" si="1"/>
        <v>4.42</v>
      </c>
    </row>
    <row r="33" spans="1:8" ht="19.5" customHeight="1">
      <c r="A33" s="7">
        <v>1140600000</v>
      </c>
      <c r="B33" s="8" t="s">
        <v>203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8" ht="18.75" customHeight="1">
      <c r="A34" s="3">
        <v>1160000000</v>
      </c>
      <c r="B34" s="13" t="s">
        <v>225</v>
      </c>
      <c r="C34" s="5">
        <f>C35+C36</f>
        <v>0</v>
      </c>
      <c r="D34" s="5">
        <f>D35+D36</f>
        <v>59.076079999999997</v>
      </c>
      <c r="E34" s="5" t="e">
        <f t="shared" si="0"/>
        <v>#DIV/0!</v>
      </c>
      <c r="F34" s="5">
        <f t="shared" si="1"/>
        <v>59.076079999999997</v>
      </c>
    </row>
    <row r="35" spans="1:8" ht="33.75" customHeight="1">
      <c r="A35" s="7">
        <v>1163305010</v>
      </c>
      <c r="B35" s="8" t="s">
        <v>239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8" ht="37.5" customHeight="1">
      <c r="A36" s="7">
        <v>11607010000</v>
      </c>
      <c r="B36" s="8" t="s">
        <v>397</v>
      </c>
      <c r="C36" s="9">
        <v>0</v>
      </c>
      <c r="D36" s="10">
        <v>59.076079999999997</v>
      </c>
      <c r="E36" s="9" t="e">
        <f t="shared" si="0"/>
        <v>#DIV/0!</v>
      </c>
      <c r="F36" s="9">
        <f t="shared" si="1"/>
        <v>59.076079999999997</v>
      </c>
    </row>
    <row r="37" spans="1:8" s="6" customFormat="1" ht="27" customHeight="1">
      <c r="A37" s="3">
        <v>1000000000</v>
      </c>
      <c r="B37" s="4" t="s">
        <v>16</v>
      </c>
      <c r="C37" s="123">
        <f>SUM(C4,C25)</f>
        <v>2185.6761099999999</v>
      </c>
      <c r="D37" s="123">
        <f>D4+D25</f>
        <v>2147.4653599999997</v>
      </c>
      <c r="E37" s="5">
        <f t="shared" si="0"/>
        <v>98.251765216942403</v>
      </c>
      <c r="F37" s="5">
        <f t="shared" si="1"/>
        <v>-38.210750000000189</v>
      </c>
    </row>
    <row r="38" spans="1:8" s="6" customFormat="1">
      <c r="A38" s="3">
        <v>2000000000</v>
      </c>
      <c r="B38" s="4" t="s">
        <v>17</v>
      </c>
      <c r="C38" s="5">
        <f>C39+C41+C42+C44+C45+C46+C40</f>
        <v>7478.00108</v>
      </c>
      <c r="D38" s="5">
        <f>D39+D41+D42+D44+D45+D46+D40</f>
        <v>6974.5370800000001</v>
      </c>
      <c r="E38" s="5">
        <f t="shared" si="0"/>
        <v>93.26739867226658</v>
      </c>
      <c r="F38" s="5">
        <f t="shared" si="1"/>
        <v>-503.46399999999994</v>
      </c>
      <c r="G38" s="19"/>
    </row>
    <row r="39" spans="1:8">
      <c r="A39" s="16">
        <v>2021000000</v>
      </c>
      <c r="B39" s="17" t="s">
        <v>18</v>
      </c>
      <c r="C39" s="12">
        <v>730.1</v>
      </c>
      <c r="D39" s="237">
        <v>730.1</v>
      </c>
      <c r="E39" s="9">
        <f t="shared" si="0"/>
        <v>100</v>
      </c>
      <c r="F39" s="9">
        <f t="shared" si="1"/>
        <v>0</v>
      </c>
    </row>
    <row r="40" spans="1:8" ht="15.75" customHeight="1">
      <c r="A40" s="16">
        <v>2021500200</v>
      </c>
      <c r="B40" s="17" t="s">
        <v>212</v>
      </c>
      <c r="C40" s="12">
        <v>1075.9446600000001</v>
      </c>
      <c r="D40" s="20">
        <v>1075.9446600000001</v>
      </c>
      <c r="E40" s="9">
        <f t="shared" si="0"/>
        <v>100</v>
      </c>
      <c r="F40" s="9">
        <f t="shared" si="1"/>
        <v>0</v>
      </c>
    </row>
    <row r="41" spans="1:8">
      <c r="A41" s="16">
        <v>2022000000</v>
      </c>
      <c r="B41" s="17" t="s">
        <v>19</v>
      </c>
      <c r="C41" s="12">
        <v>3859.1835999999998</v>
      </c>
      <c r="D41" s="10">
        <v>3385.7195999999999</v>
      </c>
      <c r="E41" s="9">
        <f t="shared" si="0"/>
        <v>87.73149844438602</v>
      </c>
      <c r="F41" s="9">
        <f t="shared" si="1"/>
        <v>-473.46399999999994</v>
      </c>
    </row>
    <row r="42" spans="1:8" ht="13.5" customHeight="1">
      <c r="A42" s="16">
        <v>2023000000</v>
      </c>
      <c r="B42" s="17" t="s">
        <v>20</v>
      </c>
      <c r="C42" s="12">
        <v>99.183999999999997</v>
      </c>
      <c r="D42" s="175">
        <v>99.183999999999997</v>
      </c>
      <c r="E42" s="9">
        <f t="shared" si="0"/>
        <v>100</v>
      </c>
      <c r="F42" s="9">
        <f t="shared" si="1"/>
        <v>0</v>
      </c>
    </row>
    <row r="43" spans="1:8" hidden="1">
      <c r="A43" s="16">
        <v>2070503010</v>
      </c>
      <c r="B43" s="17" t="s">
        <v>240</v>
      </c>
      <c r="C43" s="12">
        <v>0</v>
      </c>
      <c r="D43" s="175">
        <v>0</v>
      </c>
      <c r="E43" s="9" t="e">
        <f t="shared" si="0"/>
        <v>#DIV/0!</v>
      </c>
      <c r="F43" s="9">
        <f t="shared" si="1"/>
        <v>0</v>
      </c>
    </row>
    <row r="44" spans="1:8" ht="27.75" customHeight="1">
      <c r="A44" s="16">
        <v>2020400000</v>
      </c>
      <c r="B44" s="17" t="s">
        <v>21</v>
      </c>
      <c r="C44" s="12">
        <v>1025</v>
      </c>
      <c r="D44" s="176">
        <v>1025</v>
      </c>
      <c r="E44" s="9">
        <f t="shared" si="0"/>
        <v>100</v>
      </c>
      <c r="F44" s="9">
        <f t="shared" si="1"/>
        <v>0</v>
      </c>
    </row>
    <row r="45" spans="1:8" ht="18" customHeight="1">
      <c r="A45" s="16">
        <v>2070000000</v>
      </c>
      <c r="B45" s="18" t="s">
        <v>267</v>
      </c>
      <c r="C45" s="12">
        <v>688.58882000000006</v>
      </c>
      <c r="D45" s="176">
        <v>658.58882000000006</v>
      </c>
      <c r="E45" s="9">
        <f>SUM(D45/C45*100)</f>
        <v>95.643263566201966</v>
      </c>
      <c r="F45" s="9">
        <f t="shared" si="1"/>
        <v>-30</v>
      </c>
      <c r="G45" s="229"/>
      <c r="H45" s="229"/>
    </row>
    <row r="46" spans="1:8" ht="15.75" hidden="1" customHeight="1">
      <c r="A46" s="7">
        <v>2190500005</v>
      </c>
      <c r="B46" s="11" t="s">
        <v>23</v>
      </c>
      <c r="C46" s="10">
        <v>0</v>
      </c>
      <c r="D46" s="10">
        <v>0</v>
      </c>
      <c r="E46" s="5" t="e">
        <f>SUM(D46/C46*100)</f>
        <v>#DIV/0!</v>
      </c>
      <c r="F46" s="5">
        <f>SUM(D46-C46)</f>
        <v>0</v>
      </c>
    </row>
    <row r="47" spans="1:8" s="6" customFormat="1" ht="31.5" hidden="1">
      <c r="A47" s="3">
        <v>3000000000</v>
      </c>
      <c r="B47" s="13" t="s">
        <v>24</v>
      </c>
      <c r="C47" s="179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8" s="6" customFormat="1" ht="15" customHeight="1">
      <c r="A48" s="3"/>
      <c r="B48" s="4" t="s">
        <v>25</v>
      </c>
      <c r="C48" s="461">
        <f>SUM(C37,C38,C47)</f>
        <v>9663.6771900000003</v>
      </c>
      <c r="D48" s="454">
        <f>D37+D38</f>
        <v>9122.0024400000002</v>
      </c>
      <c r="E48" s="5">
        <f t="shared" si="0"/>
        <v>94.394734640344495</v>
      </c>
      <c r="F48" s="5">
        <f t="shared" si="1"/>
        <v>-541.67475000000013</v>
      </c>
      <c r="G48" s="188"/>
      <c r="H48" s="188"/>
    </row>
    <row r="49" spans="1:6" s="6" customFormat="1">
      <c r="A49" s="3"/>
      <c r="B49" s="21" t="s">
        <v>290</v>
      </c>
      <c r="C49" s="90">
        <f>C48-C95</f>
        <v>-145.50009999999929</v>
      </c>
      <c r="D49" s="90">
        <f>D48-D95</f>
        <v>368.07101999999941</v>
      </c>
      <c r="E49" s="22"/>
      <c r="F49" s="22"/>
    </row>
    <row r="50" spans="1:6" ht="8.25" customHeight="1">
      <c r="A50" s="23"/>
      <c r="B50" s="24"/>
      <c r="C50" s="200"/>
      <c r="D50" s="200"/>
      <c r="E50" s="26"/>
      <c r="F50" s="27"/>
    </row>
    <row r="51" spans="1:6" ht="50.25" customHeight="1">
      <c r="A51" s="28" t="s">
        <v>0</v>
      </c>
      <c r="B51" s="28" t="s">
        <v>26</v>
      </c>
      <c r="C51" s="72" t="s">
        <v>382</v>
      </c>
      <c r="D51" s="73" t="s">
        <v>403</v>
      </c>
      <c r="E51" s="72" t="s">
        <v>2</v>
      </c>
      <c r="F51" s="74" t="s">
        <v>3</v>
      </c>
    </row>
    <row r="52" spans="1:6" ht="18" customHeight="1">
      <c r="A52" s="29">
        <v>1</v>
      </c>
      <c r="B52" s="28">
        <v>2</v>
      </c>
      <c r="C52" s="85">
        <v>3</v>
      </c>
      <c r="D52" s="85">
        <v>4</v>
      </c>
      <c r="E52" s="85">
        <v>5</v>
      </c>
      <c r="F52" s="85">
        <v>6</v>
      </c>
    </row>
    <row r="53" spans="1:6" s="6" customFormat="1">
      <c r="A53" s="30" t="s">
        <v>27</v>
      </c>
      <c r="B53" s="31" t="s">
        <v>28</v>
      </c>
      <c r="C53" s="32">
        <f>C54+C55+C56+C57+C58+C60+C59</f>
        <v>1361.3779999999999</v>
      </c>
      <c r="D53" s="236">
        <f>D54+D55+D56+D57+D58+D60+D59</f>
        <v>1236.72183</v>
      </c>
      <c r="E53" s="34">
        <f>SUM(D53/C53*100)</f>
        <v>90.84338295462392</v>
      </c>
      <c r="F53" s="34">
        <f>SUM(D53-C53)</f>
        <v>-124.65616999999997</v>
      </c>
    </row>
    <row r="54" spans="1:6" s="6" customFormat="1" ht="31.5" hidden="1">
      <c r="A54" s="35" t="s">
        <v>29</v>
      </c>
      <c r="B54" s="36" t="s">
        <v>30</v>
      </c>
      <c r="C54" s="37"/>
      <c r="D54" s="37"/>
      <c r="E54" s="38"/>
      <c r="F54" s="38"/>
    </row>
    <row r="55" spans="1:6" ht="20.25" customHeight="1">
      <c r="A55" s="35" t="s">
        <v>31</v>
      </c>
      <c r="B55" s="39" t="s">
        <v>32</v>
      </c>
      <c r="C55" s="37">
        <v>1331.3779999999999</v>
      </c>
      <c r="D55" s="37">
        <v>1211.72183</v>
      </c>
      <c r="E55" s="38">
        <f t="shared" ref="E55:E95" si="3">SUM(D55/C55*100)</f>
        <v>91.012607238515287</v>
      </c>
      <c r="F55" s="38">
        <f t="shared" ref="F55:F95" si="4">SUM(D55-C55)</f>
        <v>-119.65616999999997</v>
      </c>
    </row>
    <row r="56" spans="1:6" ht="16.5" hidden="1" customHeight="1">
      <c r="A56" s="35" t="s">
        <v>33</v>
      </c>
      <c r="B56" s="39" t="s">
        <v>34</v>
      </c>
      <c r="C56" s="37"/>
      <c r="D56" s="37"/>
      <c r="E56" s="38"/>
      <c r="F56" s="38">
        <f t="shared" si="4"/>
        <v>0</v>
      </c>
    </row>
    <row r="57" spans="1:6" ht="31.5" hidden="1" customHeight="1">
      <c r="A57" s="35" t="s">
        <v>35</v>
      </c>
      <c r="B57" s="39" t="s">
        <v>36</v>
      </c>
      <c r="C57" s="37"/>
      <c r="D57" s="37"/>
      <c r="E57" s="38" t="e">
        <f t="shared" si="3"/>
        <v>#DIV/0!</v>
      </c>
      <c r="F57" s="38">
        <f t="shared" si="4"/>
        <v>0</v>
      </c>
    </row>
    <row r="58" spans="1:6" ht="18.75" customHeight="1">
      <c r="A58" s="35" t="s">
        <v>37</v>
      </c>
      <c r="B58" s="39" t="s">
        <v>38</v>
      </c>
      <c r="C58" s="37">
        <v>24</v>
      </c>
      <c r="D58" s="37">
        <v>24</v>
      </c>
      <c r="E58" s="38">
        <f t="shared" si="3"/>
        <v>100</v>
      </c>
      <c r="F58" s="38">
        <f t="shared" si="4"/>
        <v>0</v>
      </c>
    </row>
    <row r="59" spans="1:6" ht="13.5" customHeight="1">
      <c r="A59" s="35" t="s">
        <v>39</v>
      </c>
      <c r="B59" s="39" t="s">
        <v>40</v>
      </c>
      <c r="C59" s="40">
        <v>5</v>
      </c>
      <c r="D59" s="40">
        <v>0</v>
      </c>
      <c r="E59" s="38">
        <f t="shared" si="3"/>
        <v>0</v>
      </c>
      <c r="F59" s="38">
        <f t="shared" si="4"/>
        <v>-5</v>
      </c>
    </row>
    <row r="60" spans="1:6" ht="15.75" customHeight="1">
      <c r="A60" s="35" t="s">
        <v>41</v>
      </c>
      <c r="B60" s="39" t="s">
        <v>42</v>
      </c>
      <c r="C60" s="37">
        <v>1</v>
      </c>
      <c r="D60" s="37">
        <v>1</v>
      </c>
      <c r="E60" s="38">
        <f t="shared" si="3"/>
        <v>100</v>
      </c>
      <c r="F60" s="38">
        <f t="shared" si="4"/>
        <v>0</v>
      </c>
    </row>
    <row r="61" spans="1:6" s="6" customFormat="1">
      <c r="A61" s="41" t="s">
        <v>43</v>
      </c>
      <c r="B61" s="42" t="s">
        <v>44</v>
      </c>
      <c r="C61" s="32">
        <f>C62</f>
        <v>99.183999999999997</v>
      </c>
      <c r="D61" s="32">
        <f>D62</f>
        <v>99.183999999999997</v>
      </c>
      <c r="E61" s="34">
        <f t="shared" si="3"/>
        <v>100</v>
      </c>
      <c r="F61" s="34">
        <f t="shared" si="4"/>
        <v>0</v>
      </c>
    </row>
    <row r="62" spans="1:6">
      <c r="A62" s="43" t="s">
        <v>45</v>
      </c>
      <c r="B62" s="44" t="s">
        <v>46</v>
      </c>
      <c r="C62" s="37">
        <v>99.183999999999997</v>
      </c>
      <c r="D62" s="37">
        <v>99.183999999999997</v>
      </c>
      <c r="E62" s="38">
        <f t="shared" si="3"/>
        <v>100</v>
      </c>
      <c r="F62" s="38">
        <f t="shared" si="4"/>
        <v>0</v>
      </c>
    </row>
    <row r="63" spans="1:6" s="6" customFormat="1" ht="16.5" customHeight="1">
      <c r="A63" s="30" t="s">
        <v>47</v>
      </c>
      <c r="B63" s="31" t="s">
        <v>48</v>
      </c>
      <c r="C63" s="32">
        <f>C67+C66+C68</f>
        <v>18.189999999999998</v>
      </c>
      <c r="D63" s="32">
        <f>D67+D66+D68</f>
        <v>18.189599999999999</v>
      </c>
      <c r="E63" s="34">
        <f t="shared" si="3"/>
        <v>99.997800989554705</v>
      </c>
      <c r="F63" s="34">
        <f t="shared" si="4"/>
        <v>-3.9999999999906777E-4</v>
      </c>
    </row>
    <row r="64" spans="1:6" hidden="1">
      <c r="A64" s="35" t="s">
        <v>49</v>
      </c>
      <c r="B64" s="39" t="s">
        <v>50</v>
      </c>
      <c r="C64" s="37"/>
      <c r="D64" s="37"/>
      <c r="E64" s="34" t="e">
        <f t="shared" si="3"/>
        <v>#DIV/0!</v>
      </c>
      <c r="F64" s="34">
        <f t="shared" si="4"/>
        <v>0</v>
      </c>
    </row>
    <row r="65" spans="1:7" ht="19.5" hidden="1" customHeight="1">
      <c r="A65" s="45" t="s">
        <v>51</v>
      </c>
      <c r="B65" s="39" t="s">
        <v>52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8" customHeight="1">
      <c r="A66" s="46" t="s">
        <v>53</v>
      </c>
      <c r="B66" s="47" t="s">
        <v>54</v>
      </c>
      <c r="C66" s="93">
        <v>9.77</v>
      </c>
      <c r="D66" s="37">
        <v>9.7696000000000005</v>
      </c>
      <c r="E66" s="34">
        <f t="shared" si="3"/>
        <v>99.995905834186289</v>
      </c>
      <c r="F66" s="34">
        <f t="shared" si="4"/>
        <v>-3.9999999999906777E-4</v>
      </c>
    </row>
    <row r="67" spans="1:7" ht="15.75" customHeight="1">
      <c r="A67" s="46" t="s">
        <v>199</v>
      </c>
      <c r="B67" s="47" t="s">
        <v>200</v>
      </c>
      <c r="C67" s="37">
        <v>6.42</v>
      </c>
      <c r="D67" s="37">
        <v>6.42</v>
      </c>
      <c r="E67" s="34">
        <f t="shared" si="3"/>
        <v>100</v>
      </c>
      <c r="F67" s="34">
        <f t="shared" si="4"/>
        <v>0</v>
      </c>
    </row>
    <row r="68" spans="1:7" ht="15.75" customHeight="1">
      <c r="A68" s="46" t="s">
        <v>320</v>
      </c>
      <c r="B68" s="47" t="s">
        <v>321</v>
      </c>
      <c r="C68" s="37">
        <v>2</v>
      </c>
      <c r="D68" s="37">
        <v>2</v>
      </c>
      <c r="E68" s="34"/>
      <c r="F68" s="34"/>
    </row>
    <row r="69" spans="1:7" s="6" customFormat="1">
      <c r="A69" s="30" t="s">
        <v>55</v>
      </c>
      <c r="B69" s="31" t="s">
        <v>56</v>
      </c>
      <c r="C69" s="48">
        <f>SUM(C70:C73)</f>
        <v>3963.0612099999998</v>
      </c>
      <c r="D69" s="48">
        <f>SUM(D70:D73)</f>
        <v>3372.07</v>
      </c>
      <c r="E69" s="34">
        <f t="shared" si="3"/>
        <v>85.087507391792229</v>
      </c>
      <c r="F69" s="34">
        <f t="shared" si="4"/>
        <v>-590.99120999999968</v>
      </c>
    </row>
    <row r="70" spans="1:7" ht="15" customHeight="1">
      <c r="A70" s="35" t="s">
        <v>57</v>
      </c>
      <c r="B70" s="39" t="s">
        <v>58</v>
      </c>
      <c r="C70" s="49"/>
      <c r="D70" s="37">
        <v>0</v>
      </c>
      <c r="E70" s="38" t="e">
        <f t="shared" si="3"/>
        <v>#DIV/0!</v>
      </c>
      <c r="F70" s="38">
        <f t="shared" si="4"/>
        <v>0</v>
      </c>
    </row>
    <row r="71" spans="1:7" s="6" customFormat="1" ht="18" customHeight="1">
      <c r="A71" s="35" t="s">
        <v>59</v>
      </c>
      <c r="B71" s="39" t="s">
        <v>60</v>
      </c>
      <c r="C71" s="49">
        <v>0</v>
      </c>
      <c r="D71" s="37">
        <v>0</v>
      </c>
      <c r="E71" s="38" t="e">
        <f t="shared" si="3"/>
        <v>#DIV/0!</v>
      </c>
      <c r="F71" s="38">
        <f t="shared" si="4"/>
        <v>0</v>
      </c>
      <c r="G71" s="50"/>
    </row>
    <row r="72" spans="1:7">
      <c r="A72" s="35" t="s">
        <v>61</v>
      </c>
      <c r="B72" s="39" t="s">
        <v>62</v>
      </c>
      <c r="C72" s="49">
        <v>3936.5612099999998</v>
      </c>
      <c r="D72" s="37">
        <v>3345.57</v>
      </c>
      <c r="E72" s="38">
        <f t="shared" si="3"/>
        <v>84.987120014831433</v>
      </c>
      <c r="F72" s="38">
        <f t="shared" si="4"/>
        <v>-590.99120999999968</v>
      </c>
    </row>
    <row r="73" spans="1:7">
      <c r="A73" s="35" t="s">
        <v>63</v>
      </c>
      <c r="B73" s="39" t="s">
        <v>64</v>
      </c>
      <c r="C73" s="49">
        <v>26.5</v>
      </c>
      <c r="D73" s="37">
        <v>26.5</v>
      </c>
      <c r="E73" s="38">
        <f t="shared" si="3"/>
        <v>100</v>
      </c>
      <c r="F73" s="38">
        <f t="shared" si="4"/>
        <v>0</v>
      </c>
    </row>
    <row r="74" spans="1:7" s="6" customFormat="1" ht="15.75" customHeight="1">
      <c r="A74" s="30" t="s">
        <v>65</v>
      </c>
      <c r="B74" s="31" t="s">
        <v>66</v>
      </c>
      <c r="C74" s="32">
        <f>SUM(C75:C77)</f>
        <v>3075.8760400000001</v>
      </c>
      <c r="D74" s="236">
        <f>SUM(D76:D77)</f>
        <v>2736.2781500000001</v>
      </c>
      <c r="E74" s="34">
        <f t="shared" si="3"/>
        <v>88.959311572256993</v>
      </c>
      <c r="F74" s="34">
        <f t="shared" si="4"/>
        <v>-339.59789000000001</v>
      </c>
    </row>
    <row r="75" spans="1:7" ht="17.25" hidden="1" customHeight="1">
      <c r="A75" s="35" t="s">
        <v>67</v>
      </c>
      <c r="B75" s="51" t="s">
        <v>68</v>
      </c>
      <c r="C75" s="37">
        <v>0</v>
      </c>
      <c r="D75" s="37">
        <v>0</v>
      </c>
      <c r="E75" s="38" t="e">
        <f t="shared" si="3"/>
        <v>#DIV/0!</v>
      </c>
      <c r="F75" s="38">
        <f t="shared" si="4"/>
        <v>0</v>
      </c>
    </row>
    <row r="76" spans="1:7" ht="14.25" customHeight="1">
      <c r="A76" s="35" t="s">
        <v>69</v>
      </c>
      <c r="B76" s="51" t="s">
        <v>70</v>
      </c>
      <c r="C76" s="37">
        <v>1968.441</v>
      </c>
      <c r="D76" s="37">
        <v>1658.8440700000001</v>
      </c>
      <c r="E76" s="38">
        <f t="shared" si="3"/>
        <v>84.271973099523947</v>
      </c>
      <c r="F76" s="38">
        <f t="shared" si="4"/>
        <v>-309.59692999999993</v>
      </c>
    </row>
    <row r="77" spans="1:7">
      <c r="A77" s="35" t="s">
        <v>71</v>
      </c>
      <c r="B77" s="39" t="s">
        <v>72</v>
      </c>
      <c r="C77" s="37">
        <v>1107.4350400000001</v>
      </c>
      <c r="D77" s="37">
        <v>1077.43408</v>
      </c>
      <c r="E77" s="38">
        <f>SUM(D77/C77*100)</f>
        <v>97.290950808274943</v>
      </c>
      <c r="F77" s="38">
        <f t="shared" si="4"/>
        <v>-30.000960000000077</v>
      </c>
    </row>
    <row r="78" spans="1:7" s="6" customFormat="1">
      <c r="A78" s="30" t="s">
        <v>83</v>
      </c>
      <c r="B78" s="31" t="s">
        <v>84</v>
      </c>
      <c r="C78" s="32">
        <f>C79</f>
        <v>1291.48804</v>
      </c>
      <c r="D78" s="32">
        <f>SUM(D79)</f>
        <v>1291.48784</v>
      </c>
      <c r="E78" s="34">
        <f t="shared" si="3"/>
        <v>99.999984513987457</v>
      </c>
      <c r="F78" s="34">
        <f t="shared" si="4"/>
        <v>-1.9999999994979589E-4</v>
      </c>
    </row>
    <row r="79" spans="1:7" ht="20.25" customHeight="1">
      <c r="A79" s="35" t="s">
        <v>85</v>
      </c>
      <c r="B79" s="39" t="s">
        <v>214</v>
      </c>
      <c r="C79" s="37">
        <v>1291.48804</v>
      </c>
      <c r="D79" s="37">
        <v>1291.48784</v>
      </c>
      <c r="E79" s="38">
        <f t="shared" si="3"/>
        <v>99.999984513987457</v>
      </c>
      <c r="F79" s="38">
        <f t="shared" si="4"/>
        <v>-1.9999999994979589E-4</v>
      </c>
    </row>
    <row r="80" spans="1:7" s="6" customFormat="1" ht="0.75" customHeight="1">
      <c r="A80" s="52">
        <v>1000</v>
      </c>
      <c r="B80" s="31" t="s">
        <v>86</v>
      </c>
      <c r="C80" s="32">
        <f>SUM(C81:C84)</f>
        <v>0</v>
      </c>
      <c r="D80" s="32">
        <f>SUM(D81:D84)</f>
        <v>0</v>
      </c>
      <c r="E80" s="34" t="e">
        <f t="shared" si="3"/>
        <v>#DIV/0!</v>
      </c>
      <c r="F80" s="34">
        <f t="shared" si="4"/>
        <v>0</v>
      </c>
    </row>
    <row r="81" spans="1:6" ht="1.5" customHeight="1">
      <c r="A81" s="53">
        <v>1001</v>
      </c>
      <c r="B81" s="54" t="s">
        <v>87</v>
      </c>
      <c r="C81" s="37"/>
      <c r="D81" s="37"/>
      <c r="E81" s="38" t="e">
        <f t="shared" si="3"/>
        <v>#DIV/0!</v>
      </c>
      <c r="F81" s="38">
        <f t="shared" si="4"/>
        <v>0</v>
      </c>
    </row>
    <row r="82" spans="1:6" ht="27" hidden="1" customHeight="1">
      <c r="A82" s="53">
        <v>1003</v>
      </c>
      <c r="B82" s="54" t="s">
        <v>88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ht="27.75" hidden="1" customHeight="1">
      <c r="A83" s="53">
        <v>1004</v>
      </c>
      <c r="B83" s="54" t="s">
        <v>89</v>
      </c>
      <c r="C83" s="37"/>
      <c r="D83" s="55"/>
      <c r="E83" s="38" t="e">
        <f t="shared" si="3"/>
        <v>#DIV/0!</v>
      </c>
      <c r="F83" s="38">
        <f t="shared" si="4"/>
        <v>0</v>
      </c>
    </row>
    <row r="84" spans="1:6" ht="23.25" hidden="1" customHeight="1">
      <c r="A84" s="35" t="s">
        <v>90</v>
      </c>
      <c r="B84" s="39" t="s">
        <v>91</v>
      </c>
      <c r="C84" s="37">
        <v>0</v>
      </c>
      <c r="D84" s="37">
        <v>0</v>
      </c>
      <c r="E84" s="38"/>
      <c r="F84" s="38">
        <f t="shared" si="4"/>
        <v>0</v>
      </c>
    </row>
    <row r="85" spans="1:6" ht="17.25" customHeight="1">
      <c r="A85" s="30" t="s">
        <v>92</v>
      </c>
      <c r="B85" s="31" t="s">
        <v>93</v>
      </c>
      <c r="C85" s="32">
        <f>C86+C87+C88+C89+C90</f>
        <v>0</v>
      </c>
      <c r="D85" s="32">
        <f>D86+D87+D88+D89+D90</f>
        <v>0</v>
      </c>
      <c r="E85" s="38" t="e">
        <f t="shared" si="3"/>
        <v>#DIV/0!</v>
      </c>
      <c r="F85" s="22">
        <f>F86+F87+F88+F89+F90</f>
        <v>0</v>
      </c>
    </row>
    <row r="86" spans="1:6" ht="15" customHeight="1">
      <c r="A86" s="35" t="s">
        <v>94</v>
      </c>
      <c r="B86" s="39" t="s">
        <v>95</v>
      </c>
      <c r="C86" s="219"/>
      <c r="D86" s="219">
        <v>0</v>
      </c>
      <c r="E86" s="38" t="e">
        <f t="shared" si="3"/>
        <v>#DIV/0!</v>
      </c>
      <c r="F86" s="38">
        <f>SUM(D86-C86)</f>
        <v>0</v>
      </c>
    </row>
    <row r="87" spans="1:6" ht="15.75" hidden="1" customHeight="1">
      <c r="A87" s="35" t="s">
        <v>96</v>
      </c>
      <c r="B87" s="39" t="s">
        <v>97</v>
      </c>
      <c r="C87" s="219"/>
      <c r="D87" s="219"/>
      <c r="E87" s="38" t="e">
        <f t="shared" si="3"/>
        <v>#DIV/0!</v>
      </c>
      <c r="F87" s="38">
        <f>SUM(D87-C87)</f>
        <v>0</v>
      </c>
    </row>
    <row r="88" spans="1:6" ht="15.75" hidden="1" customHeight="1">
      <c r="A88" s="35" t="s">
        <v>98</v>
      </c>
      <c r="B88" s="39" t="s">
        <v>99</v>
      </c>
      <c r="C88" s="219"/>
      <c r="D88" s="219"/>
      <c r="E88" s="38" t="e">
        <f t="shared" si="3"/>
        <v>#DIV/0!</v>
      </c>
      <c r="F88" s="38"/>
    </row>
    <row r="89" spans="1:6" ht="15.75" hidden="1" customHeight="1">
      <c r="A89" s="35" t="s">
        <v>100</v>
      </c>
      <c r="B89" s="39" t="s">
        <v>101</v>
      </c>
      <c r="C89" s="219"/>
      <c r="D89" s="219"/>
      <c r="E89" s="38" t="e">
        <f t="shared" si="3"/>
        <v>#DIV/0!</v>
      </c>
      <c r="F89" s="38"/>
    </row>
    <row r="90" spans="1:6" ht="15.75" hidden="1" customHeight="1">
      <c r="A90" s="35" t="s">
        <v>102</v>
      </c>
      <c r="B90" s="39" t="s">
        <v>103</v>
      </c>
      <c r="C90" s="219"/>
      <c r="D90" s="219"/>
      <c r="E90" s="38" t="e">
        <f t="shared" si="3"/>
        <v>#DIV/0!</v>
      </c>
      <c r="F90" s="38"/>
    </row>
    <row r="91" spans="1:6" s="6" customFormat="1" ht="16.5" customHeight="1">
      <c r="A91" s="52">
        <v>1400</v>
      </c>
      <c r="B91" s="56" t="s">
        <v>112</v>
      </c>
      <c r="C91" s="220">
        <f>C92+C93+C94</f>
        <v>0</v>
      </c>
      <c r="D91" s="220">
        <f>SUM(D92:D94)</f>
        <v>0</v>
      </c>
      <c r="E91" s="34" t="e">
        <f t="shared" si="3"/>
        <v>#DIV/0!</v>
      </c>
      <c r="F91" s="34">
        <f t="shared" si="4"/>
        <v>0</v>
      </c>
    </row>
    <row r="92" spans="1:6" ht="23.25" hidden="1" customHeight="1">
      <c r="A92" s="53">
        <v>1401</v>
      </c>
      <c r="B92" s="54" t="s">
        <v>113</v>
      </c>
      <c r="C92" s="221"/>
      <c r="D92" s="219"/>
      <c r="E92" s="38" t="e">
        <f t="shared" si="3"/>
        <v>#DIV/0!</v>
      </c>
      <c r="F92" s="38">
        <f t="shared" si="4"/>
        <v>0</v>
      </c>
    </row>
    <row r="93" spans="1:6" ht="19.5" hidden="1" customHeight="1">
      <c r="A93" s="53">
        <v>1402</v>
      </c>
      <c r="B93" s="54" t="s">
        <v>114</v>
      </c>
      <c r="C93" s="221"/>
      <c r="D93" s="219"/>
      <c r="E93" s="38" t="e">
        <f t="shared" si="3"/>
        <v>#DIV/0!</v>
      </c>
      <c r="F93" s="38">
        <f t="shared" si="4"/>
        <v>0</v>
      </c>
    </row>
    <row r="94" spans="1:6" ht="17.25" hidden="1" customHeight="1">
      <c r="A94" s="53">
        <v>1403</v>
      </c>
      <c r="B94" s="54" t="s">
        <v>115</v>
      </c>
      <c r="C94" s="222">
        <v>0</v>
      </c>
      <c r="D94" s="223">
        <v>0</v>
      </c>
      <c r="E94" s="38" t="e">
        <f t="shared" si="3"/>
        <v>#DIV/0!</v>
      </c>
      <c r="F94" s="38">
        <f t="shared" si="4"/>
        <v>0</v>
      </c>
    </row>
    <row r="95" spans="1:6" s="6" customFormat="1" ht="15.75" customHeight="1">
      <c r="A95" s="52"/>
      <c r="B95" s="57" t="s">
        <v>116</v>
      </c>
      <c r="C95" s="454">
        <f>C53+C61+C63+C69+C74+C78+C85</f>
        <v>9809.1772899999996</v>
      </c>
      <c r="D95" s="454">
        <f>D53+D61+D63+D69+D74+D78+D85</f>
        <v>8753.9314200000008</v>
      </c>
      <c r="E95" s="34">
        <f t="shared" si="3"/>
        <v>89.24225917421461</v>
      </c>
      <c r="F95" s="34">
        <f t="shared" si="4"/>
        <v>-1055.2458699999988</v>
      </c>
    </row>
    <row r="96" spans="1:6" ht="16.5" customHeight="1">
      <c r="C96" s="122"/>
      <c r="D96" s="97"/>
    </row>
    <row r="97" spans="1:4" s="109" customFormat="1" ht="20.25" customHeight="1">
      <c r="A97" s="107" t="s">
        <v>117</v>
      </c>
      <c r="B97" s="107"/>
      <c r="C97" s="125"/>
      <c r="D97" s="108"/>
    </row>
    <row r="98" spans="1:4" s="109" customFormat="1" ht="13.5" customHeight="1">
      <c r="A98" s="110" t="s">
        <v>118</v>
      </c>
      <c r="B98" s="110"/>
      <c r="C98" s="114" t="s">
        <v>119</v>
      </c>
    </row>
    <row r="100" spans="1:4" ht="5.25" customHeight="1"/>
  </sheetData>
  <customSheetViews>
    <customSheetView guid="{5BFCA170-DEAE-4D2C-98A0-1E68B427AC01}" scale="70" showPageBreaks="1" hiddenRows="1" view="pageBreakPreview" topLeftCell="A28">
      <selection activeCell="I74" sqref="I73:I74"/>
      <pageMargins left="0.7" right="0.7" top="0.75" bottom="0.75" header="0.3" footer="0.3"/>
      <pageSetup paperSize="9" scale="56" orientation="portrait" r:id="rId1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2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3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5"/>
    </customSheetView>
    <customSheetView guid="{B31C8DB7-3E78-4144-A6B5-8DE36DE63F0E}" hiddenRows="1" topLeftCell="A18">
      <selection activeCell="C34" sqref="C34"/>
      <pageMargins left="0.7" right="0.7" top="0.75" bottom="0.75" header="0.3" footer="0.3"/>
      <pageSetup paperSize="9" scale="62" orientation="portrait" r:id="rId6"/>
    </customSheetView>
    <customSheetView guid="{B30CE22D-C12F-4E12-8BB9-3AAE0A6991CC}" scale="70" showPageBreaks="1" hiddenRows="1" view="pageBreakPreview" topLeftCell="A32">
      <selection activeCell="F67" sqref="F67"/>
      <pageMargins left="0.70866141732283472" right="0.70866141732283472" top="0.74803149606299213" bottom="0.74803149606299213" header="0.31496062992125984" footer="0.31496062992125984"/>
      <pageSetup paperSize="9" scale="52" orientation="portrait" r:id="rId7"/>
    </customSheetView>
    <customSheetView guid="{1718F1EE-9F48-4DBE-9531-3B70F9C4A5DD}" scale="70" showPageBreaks="1" hiddenRows="1" view="pageBreakPreview" topLeftCell="A35">
      <selection activeCell="D77" sqref="D77"/>
      <pageMargins left="0.7" right="0.7" top="0.75" bottom="0.75" header="0.3" footer="0.3"/>
      <pageSetup paperSize="9" scale="64" orientation="portrait" r:id="rId8"/>
    </customSheetView>
    <customSheetView guid="{61528DAC-5C4C-48F4-ADE2-8A724B05A086}" scale="70" showPageBreaks="1" hiddenRows="1" view="pageBreakPreview" topLeftCell="A32">
      <selection activeCell="C72" sqref="C72"/>
      <pageMargins left="0.70866141732283472" right="0.70866141732283472" top="0.74803149606299213" bottom="0.74803149606299213" header="0.31496062992125984" footer="0.31496062992125984"/>
      <pageSetup paperSize="9" scale="57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N33"/>
  <sheetViews>
    <sheetView view="pageBreakPreview" topLeftCell="DG10" zoomScale="70" zoomScaleSheetLayoutView="70" workbookViewId="0">
      <selection activeCell="EW26" sqref="EW26"/>
    </sheetView>
  </sheetViews>
  <sheetFormatPr defaultRowHeight="15"/>
  <cols>
    <col min="1" max="1" width="6.140625" style="141" customWidth="1"/>
    <col min="2" max="2" width="26.42578125" style="141" customWidth="1"/>
    <col min="3" max="3" width="18" style="141" customWidth="1"/>
    <col min="4" max="4" width="16.5703125" style="142" customWidth="1"/>
    <col min="5" max="5" width="9.28515625" style="141" customWidth="1"/>
    <col min="6" max="6" width="15.42578125" style="141" customWidth="1"/>
    <col min="7" max="7" width="15.28515625" style="141" customWidth="1"/>
    <col min="8" max="8" width="9" style="141" customWidth="1"/>
    <col min="9" max="9" width="13.28515625" style="141" customWidth="1"/>
    <col min="10" max="10" width="13.5703125" style="141" customWidth="1"/>
    <col min="11" max="11" width="11" style="141" customWidth="1"/>
    <col min="12" max="12" width="13.85546875" style="141" customWidth="1"/>
    <col min="13" max="13" width="14.85546875" style="141" customWidth="1"/>
    <col min="14" max="14" width="10.7109375" style="141" customWidth="1"/>
    <col min="15" max="15" width="10.140625" style="141" customWidth="1"/>
    <col min="16" max="16" width="13.85546875" style="141" customWidth="1"/>
    <col min="17" max="17" width="10.140625" style="141" customWidth="1"/>
    <col min="18" max="18" width="13.85546875" style="141" customWidth="1"/>
    <col min="19" max="19" width="14" style="141" customWidth="1"/>
    <col min="20" max="20" width="10" style="141" customWidth="1"/>
    <col min="21" max="21" width="10.5703125" style="141" customWidth="1"/>
    <col min="22" max="22" width="16.28515625" style="141" customWidth="1"/>
    <col min="23" max="23" width="12.28515625" style="141" customWidth="1"/>
    <col min="24" max="24" width="13.28515625" style="141" customWidth="1"/>
    <col min="25" max="25" width="11.5703125" style="141" customWidth="1"/>
    <col min="26" max="26" width="9.7109375" style="141" customWidth="1"/>
    <col min="27" max="28" width="14.85546875" style="141" customWidth="1"/>
    <col min="29" max="29" width="10.7109375" style="141" customWidth="1"/>
    <col min="30" max="30" width="14.5703125" style="141" customWidth="1"/>
    <col min="31" max="31" width="16.5703125" style="141" customWidth="1"/>
    <col min="32" max="32" width="10" style="141" customWidth="1"/>
    <col min="33" max="33" width="13.85546875" style="141" customWidth="1"/>
    <col min="34" max="34" width="12.28515625" style="141" customWidth="1"/>
    <col min="35" max="35" width="11.85546875" style="141" customWidth="1"/>
    <col min="36" max="36" width="12.85546875" style="141" customWidth="1"/>
    <col min="37" max="37" width="8.7109375" style="141" customWidth="1"/>
    <col min="38" max="38" width="13.7109375" style="141" customWidth="1"/>
    <col min="39" max="39" width="10.28515625" style="141" customWidth="1"/>
    <col min="40" max="40" width="10.42578125" style="141" customWidth="1"/>
    <col min="41" max="41" width="16.28515625" style="141" customWidth="1"/>
    <col min="42" max="42" width="14.28515625" style="141" customWidth="1"/>
    <col min="43" max="43" width="16.140625" style="141" customWidth="1"/>
    <col min="44" max="44" width="9.42578125" style="141" customWidth="1"/>
    <col min="45" max="45" width="12.85546875" style="141" customWidth="1"/>
    <col min="46" max="46" width="13.28515625" style="141" customWidth="1"/>
    <col min="47" max="47" width="10.42578125" style="141" customWidth="1"/>
    <col min="48" max="48" width="9.42578125" style="141" hidden="1" customWidth="1"/>
    <col min="49" max="49" width="9.7109375" style="141" hidden="1" customWidth="1"/>
    <col min="50" max="50" width="11.85546875" style="141" hidden="1" customWidth="1"/>
    <col min="51" max="51" width="13.28515625" style="141" customWidth="1"/>
    <col min="52" max="52" width="13.7109375" style="141" customWidth="1"/>
    <col min="53" max="53" width="11.7109375" style="141" customWidth="1"/>
    <col min="54" max="56" width="9.85546875" style="141" hidden="1" customWidth="1"/>
    <col min="57" max="57" width="16.42578125" style="141" customWidth="1"/>
    <col min="58" max="58" width="14.85546875" style="141" customWidth="1"/>
    <col min="59" max="59" width="16" style="141" customWidth="1"/>
    <col min="60" max="61" width="9.7109375" style="141" hidden="1" customWidth="1"/>
    <col min="62" max="62" width="17.7109375" style="141" hidden="1" customWidth="1"/>
    <col min="63" max="63" width="0.42578125" style="141" customWidth="1"/>
    <col min="64" max="64" width="20.5703125" style="141" hidden="1" customWidth="1"/>
    <col min="65" max="65" width="10.140625" style="141" hidden="1" customWidth="1"/>
    <col min="66" max="66" width="12.7109375" style="141" customWidth="1"/>
    <col min="67" max="67" width="15.28515625" style="141" customWidth="1"/>
    <col min="68" max="68" width="14.85546875" style="141" customWidth="1"/>
    <col min="69" max="69" width="15.28515625" style="141" customWidth="1"/>
    <col min="70" max="70" width="15" style="141" customWidth="1"/>
    <col min="71" max="71" width="12.42578125" style="141" customWidth="1"/>
    <col min="72" max="73" width="9.7109375" style="141" hidden="1" customWidth="1"/>
    <col min="74" max="74" width="9.5703125" style="141" hidden="1" customWidth="1"/>
    <col min="75" max="75" width="9.42578125" style="141" hidden="1" customWidth="1"/>
    <col min="76" max="76" width="9.7109375" style="141" hidden="1" customWidth="1"/>
    <col min="77" max="77" width="10.140625" style="141" hidden="1" customWidth="1"/>
    <col min="78" max="78" width="15.85546875" style="141" customWidth="1"/>
    <col min="79" max="79" width="18.5703125" style="141" customWidth="1"/>
    <col min="80" max="80" width="14.28515625" style="141" customWidth="1"/>
    <col min="81" max="81" width="15.28515625" style="141" customWidth="1"/>
    <col min="82" max="82" width="15.7109375" style="141" customWidth="1"/>
    <col min="83" max="83" width="12.140625" style="141" customWidth="1"/>
    <col min="84" max="84" width="16.5703125" style="141" customWidth="1"/>
    <col min="85" max="85" width="15.7109375" style="141" customWidth="1"/>
    <col min="86" max="86" width="12.5703125" style="141" customWidth="1"/>
    <col min="87" max="87" width="16.7109375" style="141" customWidth="1"/>
    <col min="88" max="88" width="16" style="141" customWidth="1"/>
    <col min="89" max="89" width="11.140625" style="141" customWidth="1"/>
    <col min="90" max="90" width="14" style="141" customWidth="1"/>
    <col min="91" max="91" width="16" style="141" customWidth="1"/>
    <col min="92" max="92" width="11.28515625" style="141" customWidth="1"/>
    <col min="93" max="93" width="19.85546875" style="141" customWidth="1"/>
    <col min="94" max="94" width="15.7109375" style="141" customWidth="1"/>
    <col min="95" max="95" width="11.140625" style="141" customWidth="1"/>
    <col min="96" max="96" width="21.42578125" style="141" customWidth="1"/>
    <col min="97" max="97" width="19.7109375" style="141" customWidth="1"/>
    <col min="98" max="98" width="17.7109375" style="141" customWidth="1"/>
    <col min="99" max="99" width="15" style="141" customWidth="1"/>
    <col min="100" max="100" width="6.7109375" style="141" customWidth="1"/>
    <col min="101" max="101" width="9.85546875" style="141" customWidth="1"/>
    <col min="102" max="103" width="9.85546875" style="141" hidden="1" customWidth="1"/>
    <col min="104" max="104" width="14.42578125" style="141" hidden="1" customWidth="1"/>
    <col min="105" max="106" width="9.85546875" style="141" hidden="1" customWidth="1"/>
    <col min="107" max="107" width="14.42578125" style="141" hidden="1" customWidth="1"/>
    <col min="108" max="109" width="9.85546875" style="141" hidden="1" customWidth="1"/>
    <col min="110" max="110" width="0.140625" style="141" hidden="1" customWidth="1"/>
    <col min="111" max="111" width="17.5703125" style="141" customWidth="1"/>
    <col min="112" max="112" width="20.28515625" style="141" customWidth="1"/>
    <col min="113" max="113" width="13" style="141" bestFit="1" customWidth="1"/>
    <col min="114" max="114" width="18" style="141" bestFit="1" customWidth="1"/>
    <col min="115" max="115" width="20.5703125" style="141" customWidth="1"/>
    <col min="116" max="116" width="13.28515625" style="141" customWidth="1"/>
    <col min="117" max="117" width="16.7109375" style="141" customWidth="1"/>
    <col min="118" max="118" width="16.85546875" style="141" customWidth="1"/>
    <col min="119" max="119" width="12.28515625" style="141" customWidth="1"/>
    <col min="120" max="120" width="15.28515625" style="141" customWidth="1"/>
    <col min="121" max="121" width="14.28515625" style="141" customWidth="1"/>
    <col min="122" max="122" width="13.85546875" style="141" customWidth="1"/>
    <col min="123" max="123" width="15.42578125" style="141" customWidth="1"/>
    <col min="124" max="124" width="13.7109375" style="141" customWidth="1"/>
    <col min="125" max="125" width="10.140625" style="141" customWidth="1"/>
    <col min="126" max="126" width="16" style="141" customWidth="1"/>
    <col min="127" max="127" width="14.28515625" style="141" customWidth="1"/>
    <col min="128" max="128" width="10.140625" style="141" customWidth="1"/>
    <col min="129" max="129" width="15.140625" style="141" customWidth="1"/>
    <col min="130" max="130" width="13.28515625" style="141" customWidth="1"/>
    <col min="131" max="131" width="10.85546875" style="141" customWidth="1"/>
    <col min="132" max="132" width="11.85546875" style="141" customWidth="1"/>
    <col min="133" max="133" width="13.42578125" style="141" customWidth="1"/>
    <col min="134" max="134" width="10.140625" style="141" customWidth="1"/>
    <col min="135" max="135" width="18" style="141" customWidth="1"/>
    <col min="136" max="136" width="14.85546875" style="141" customWidth="1"/>
    <col min="137" max="137" width="7.7109375" style="141" customWidth="1"/>
    <col min="138" max="138" width="14.7109375" style="141" customWidth="1"/>
    <col min="139" max="139" width="14.28515625" style="141" customWidth="1"/>
    <col min="140" max="140" width="7.140625" style="141" customWidth="1"/>
    <col min="141" max="141" width="16.5703125" style="141" customWidth="1"/>
    <col min="142" max="142" width="14.85546875" style="141" customWidth="1"/>
    <col min="143" max="143" width="10.140625" style="141" customWidth="1"/>
    <col min="144" max="144" width="13.28515625" style="141" customWidth="1"/>
    <col min="145" max="145" width="10.85546875" style="141" customWidth="1"/>
    <col min="146" max="146" width="11.42578125" style="141" customWidth="1"/>
    <col min="147" max="147" width="11.85546875" style="141" customWidth="1"/>
    <col min="148" max="148" width="14.140625" style="141" customWidth="1"/>
    <col min="149" max="149" width="10" style="141" customWidth="1"/>
    <col min="150" max="150" width="8.28515625" style="141" customWidth="1"/>
    <col min="151" max="151" width="8.5703125" style="141" customWidth="1"/>
    <col min="152" max="152" width="12.5703125" style="141" customWidth="1"/>
    <col min="153" max="153" width="19.85546875" style="141" customWidth="1"/>
    <col min="154" max="154" width="19" style="141" customWidth="1"/>
    <col min="155" max="155" width="12.7109375" style="141" customWidth="1"/>
    <col min="156" max="156" width="14.85546875" style="141" customWidth="1"/>
    <col min="157" max="16384" width="9.140625" style="141"/>
  </cols>
  <sheetData>
    <row r="1" spans="1:159" ht="18" customHeight="1">
      <c r="X1" s="523" t="s">
        <v>134</v>
      </c>
      <c r="Y1" s="523"/>
      <c r="Z1" s="523"/>
      <c r="AA1" s="144"/>
      <c r="AB1" s="144"/>
      <c r="AC1" s="144"/>
      <c r="AD1" s="518"/>
      <c r="AE1" s="518"/>
      <c r="AF1" s="518"/>
      <c r="AG1" s="145"/>
      <c r="AH1" s="145"/>
      <c r="AI1" s="145"/>
      <c r="AJ1" s="145"/>
      <c r="AK1" s="145"/>
      <c r="AL1" s="145"/>
    </row>
    <row r="2" spans="1:159" ht="19.5" customHeight="1">
      <c r="X2" s="145" t="s">
        <v>135</v>
      </c>
      <c r="Y2" s="145"/>
      <c r="Z2" s="145"/>
      <c r="AA2" s="143"/>
      <c r="AB2" s="143"/>
      <c r="AC2" s="143"/>
      <c r="AD2" s="518"/>
      <c r="AE2" s="518"/>
      <c r="AF2" s="518"/>
      <c r="AG2" s="145"/>
      <c r="AH2" s="145"/>
      <c r="AI2" s="145"/>
      <c r="AJ2" s="145"/>
      <c r="AK2" s="145"/>
      <c r="AL2" s="145"/>
    </row>
    <row r="3" spans="1:159" ht="30.75" customHeight="1">
      <c r="A3" s="146"/>
      <c r="B3" s="326"/>
      <c r="C3" s="326"/>
      <c r="D3" s="327"/>
      <c r="E3" s="326"/>
      <c r="F3" s="326"/>
      <c r="G3" s="326"/>
      <c r="H3" s="326"/>
      <c r="I3" s="326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528" t="s">
        <v>136</v>
      </c>
      <c r="Y3" s="528"/>
      <c r="Z3" s="528"/>
      <c r="AA3" s="146"/>
      <c r="AB3" s="146"/>
      <c r="AC3" s="146"/>
      <c r="AD3" s="522"/>
      <c r="AE3" s="522"/>
      <c r="AF3" s="522"/>
      <c r="AG3" s="147"/>
      <c r="AH3" s="147"/>
      <c r="AI3" s="147"/>
      <c r="AJ3" s="147"/>
      <c r="AK3" s="147"/>
      <c r="AL3" s="147"/>
      <c r="AM3" s="146"/>
      <c r="AN3" s="146"/>
      <c r="AO3" s="146"/>
      <c r="AP3" s="146"/>
      <c r="AQ3" s="146"/>
      <c r="AR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</row>
    <row r="4" spans="1:159" ht="24" customHeight="1">
      <c r="B4" s="526" t="s">
        <v>137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148"/>
      <c r="AB4" s="148"/>
      <c r="AC4" s="148"/>
      <c r="AD4" s="148"/>
      <c r="AE4" s="148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</row>
    <row r="5" spans="1:159" ht="20.25" customHeight="1">
      <c r="B5" s="524" t="s">
        <v>404</v>
      </c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149"/>
      <c r="AB5" s="149"/>
      <c r="AC5" s="149"/>
      <c r="AD5" s="149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</row>
    <row r="6" spans="1:159" ht="15" customHeight="1">
      <c r="A6" s="146"/>
      <c r="B6" s="329"/>
      <c r="C6" s="330"/>
      <c r="D6" s="331"/>
      <c r="E6" s="329"/>
      <c r="F6" s="329"/>
      <c r="G6" s="332"/>
      <c r="H6" s="332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329"/>
      <c r="Z6" s="332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W6" s="146"/>
      <c r="EX6" s="146"/>
      <c r="EY6" s="146"/>
    </row>
    <row r="7" spans="1:159" s="150" customFormat="1" ht="15" customHeight="1">
      <c r="A7" s="517" t="s">
        <v>138</v>
      </c>
      <c r="B7" s="517" t="s">
        <v>139</v>
      </c>
      <c r="C7" s="508" t="s">
        <v>140</v>
      </c>
      <c r="D7" s="509"/>
      <c r="E7" s="510"/>
      <c r="F7" s="254" t="s">
        <v>141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6"/>
      <c r="DD7" s="255"/>
      <c r="DE7" s="255"/>
      <c r="DF7" s="256"/>
      <c r="DG7" s="508" t="s">
        <v>142</v>
      </c>
      <c r="DH7" s="509"/>
      <c r="DI7" s="510"/>
      <c r="DJ7" s="508"/>
      <c r="DK7" s="509"/>
      <c r="DL7" s="509"/>
      <c r="DM7" s="509"/>
      <c r="DN7" s="509"/>
      <c r="DO7" s="509"/>
      <c r="DP7" s="509"/>
      <c r="DQ7" s="509"/>
      <c r="DR7" s="509"/>
      <c r="DS7" s="509"/>
      <c r="DT7" s="509"/>
      <c r="DU7" s="509"/>
      <c r="DV7" s="509"/>
      <c r="DW7" s="509"/>
      <c r="DX7" s="509"/>
      <c r="DY7" s="509"/>
      <c r="DZ7" s="509"/>
      <c r="EA7" s="509"/>
      <c r="EB7" s="509"/>
      <c r="EC7" s="509"/>
      <c r="ED7" s="509"/>
      <c r="EE7" s="509"/>
      <c r="EF7" s="509"/>
      <c r="EG7" s="509"/>
      <c r="EH7" s="509"/>
      <c r="EI7" s="509"/>
      <c r="EJ7" s="509"/>
      <c r="EK7" s="509"/>
      <c r="EL7" s="509"/>
      <c r="EM7" s="509"/>
      <c r="EN7" s="509"/>
      <c r="EO7" s="509"/>
      <c r="EP7" s="509"/>
      <c r="EQ7" s="509"/>
      <c r="ER7" s="509"/>
      <c r="ES7" s="509"/>
      <c r="ET7" s="509"/>
      <c r="EU7" s="509"/>
      <c r="EV7" s="510"/>
      <c r="EW7" s="508" t="s">
        <v>143</v>
      </c>
      <c r="EX7" s="509"/>
      <c r="EY7" s="510"/>
    </row>
    <row r="8" spans="1:159" s="150" customFormat="1" ht="15" customHeight="1">
      <c r="A8" s="517"/>
      <c r="B8" s="517"/>
      <c r="C8" s="511"/>
      <c r="D8" s="512"/>
      <c r="E8" s="513"/>
      <c r="F8" s="511" t="s">
        <v>144</v>
      </c>
      <c r="G8" s="512"/>
      <c r="H8" s="513"/>
      <c r="I8" s="519" t="s">
        <v>145</v>
      </c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  <c r="X8" s="520"/>
      <c r="Y8" s="520"/>
      <c r="Z8" s="520"/>
      <c r="AA8" s="520"/>
      <c r="AB8" s="520"/>
      <c r="AC8" s="520"/>
      <c r="AD8" s="520"/>
      <c r="AE8" s="520"/>
      <c r="AF8" s="520"/>
      <c r="AG8" s="520"/>
      <c r="AH8" s="520"/>
      <c r="AI8" s="520"/>
      <c r="AJ8" s="520"/>
      <c r="AK8" s="520"/>
      <c r="AL8" s="520"/>
      <c r="AM8" s="520"/>
      <c r="AN8" s="520"/>
      <c r="AO8" s="520"/>
      <c r="AP8" s="520"/>
      <c r="AQ8" s="520"/>
      <c r="AR8" s="520"/>
      <c r="AS8" s="520"/>
      <c r="AT8" s="520"/>
      <c r="AU8" s="520"/>
      <c r="AV8" s="520"/>
      <c r="AW8" s="520"/>
      <c r="AX8" s="521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8"/>
      <c r="BT8" s="259"/>
      <c r="BU8" s="259"/>
      <c r="BV8" s="259"/>
      <c r="BW8" s="260"/>
      <c r="BX8" s="260"/>
      <c r="BY8" s="260"/>
      <c r="BZ8" s="517" t="s">
        <v>146</v>
      </c>
      <c r="CA8" s="517"/>
      <c r="CB8" s="517"/>
      <c r="CC8" s="514" t="s">
        <v>145</v>
      </c>
      <c r="CD8" s="515"/>
      <c r="CE8" s="515"/>
      <c r="CF8" s="515"/>
      <c r="CG8" s="515"/>
      <c r="CH8" s="515"/>
      <c r="CI8" s="515"/>
      <c r="CJ8" s="515"/>
      <c r="CK8" s="515"/>
      <c r="CL8" s="515"/>
      <c r="CM8" s="515"/>
      <c r="CN8" s="515"/>
      <c r="CO8" s="261"/>
      <c r="CP8" s="261"/>
      <c r="CQ8" s="261"/>
      <c r="CR8" s="261"/>
      <c r="CS8" s="261"/>
      <c r="CT8" s="261"/>
      <c r="CU8" s="262"/>
      <c r="CV8" s="262"/>
      <c r="CW8" s="263"/>
      <c r="CX8" s="511" t="s">
        <v>147</v>
      </c>
      <c r="CY8" s="512"/>
      <c r="CZ8" s="513"/>
      <c r="DA8" s="505"/>
      <c r="DB8" s="506"/>
      <c r="DC8" s="507"/>
      <c r="DD8" s="505"/>
      <c r="DE8" s="506"/>
      <c r="DF8" s="507"/>
      <c r="DG8" s="511"/>
      <c r="DH8" s="512"/>
      <c r="DI8" s="513"/>
      <c r="DJ8" s="511" t="s">
        <v>145</v>
      </c>
      <c r="DK8" s="512"/>
      <c r="DL8" s="512"/>
      <c r="DM8" s="512"/>
      <c r="DN8" s="512"/>
      <c r="DO8" s="512"/>
      <c r="DP8" s="512"/>
      <c r="DQ8" s="512"/>
      <c r="DR8" s="512"/>
      <c r="DS8" s="512"/>
      <c r="DT8" s="512"/>
      <c r="DU8" s="512"/>
      <c r="DV8" s="512"/>
      <c r="DW8" s="512"/>
      <c r="DX8" s="512"/>
      <c r="DY8" s="512"/>
      <c r="DZ8" s="512"/>
      <c r="EA8" s="512"/>
      <c r="EB8" s="512"/>
      <c r="EC8" s="512"/>
      <c r="ED8" s="512"/>
      <c r="EE8" s="512"/>
      <c r="EF8" s="512"/>
      <c r="EG8" s="512"/>
      <c r="EH8" s="512"/>
      <c r="EI8" s="512"/>
      <c r="EJ8" s="512"/>
      <c r="EK8" s="512"/>
      <c r="EL8" s="512"/>
      <c r="EM8" s="512"/>
      <c r="EN8" s="512"/>
      <c r="EO8" s="512"/>
      <c r="EP8" s="512"/>
      <c r="EQ8" s="512"/>
      <c r="ER8" s="512"/>
      <c r="ES8" s="512"/>
      <c r="ET8" s="512"/>
      <c r="EU8" s="512"/>
      <c r="EV8" s="513"/>
      <c r="EW8" s="511"/>
      <c r="EX8" s="512"/>
      <c r="EY8" s="513"/>
    </row>
    <row r="9" spans="1:159" s="150" customFormat="1" ht="15" customHeight="1">
      <c r="A9" s="517"/>
      <c r="B9" s="517"/>
      <c r="C9" s="511"/>
      <c r="D9" s="512"/>
      <c r="E9" s="513"/>
      <c r="F9" s="511"/>
      <c r="G9" s="512"/>
      <c r="H9" s="513"/>
      <c r="I9" s="508" t="s">
        <v>148</v>
      </c>
      <c r="J9" s="509"/>
      <c r="K9" s="510"/>
      <c r="L9" s="508" t="s">
        <v>262</v>
      </c>
      <c r="M9" s="509"/>
      <c r="N9" s="510"/>
      <c r="O9" s="508" t="s">
        <v>265</v>
      </c>
      <c r="P9" s="509"/>
      <c r="Q9" s="510"/>
      <c r="R9" s="508" t="s">
        <v>263</v>
      </c>
      <c r="S9" s="509"/>
      <c r="T9" s="510"/>
      <c r="U9" s="508" t="s">
        <v>264</v>
      </c>
      <c r="V9" s="509"/>
      <c r="W9" s="510"/>
      <c r="X9" s="508" t="s">
        <v>149</v>
      </c>
      <c r="Y9" s="509"/>
      <c r="Z9" s="510"/>
      <c r="AA9" s="508" t="s">
        <v>150</v>
      </c>
      <c r="AB9" s="509"/>
      <c r="AC9" s="510"/>
      <c r="AD9" s="508" t="s">
        <v>151</v>
      </c>
      <c r="AE9" s="509"/>
      <c r="AF9" s="510"/>
      <c r="AG9" s="517" t="s">
        <v>152</v>
      </c>
      <c r="AH9" s="517"/>
      <c r="AI9" s="517"/>
      <c r="AJ9" s="508" t="s">
        <v>228</v>
      </c>
      <c r="AK9" s="509"/>
      <c r="AL9" s="510"/>
      <c r="AM9" s="508" t="s">
        <v>153</v>
      </c>
      <c r="AN9" s="509"/>
      <c r="AO9" s="510"/>
      <c r="AP9" s="508" t="s">
        <v>308</v>
      </c>
      <c r="AQ9" s="509"/>
      <c r="AR9" s="510"/>
      <c r="AS9" s="508" t="s">
        <v>154</v>
      </c>
      <c r="AT9" s="509"/>
      <c r="AU9" s="510"/>
      <c r="AV9" s="508" t="s">
        <v>155</v>
      </c>
      <c r="AW9" s="509"/>
      <c r="AX9" s="510"/>
      <c r="AY9" s="508" t="s">
        <v>230</v>
      </c>
      <c r="AZ9" s="509"/>
      <c r="BA9" s="510"/>
      <c r="BB9" s="508" t="s">
        <v>318</v>
      </c>
      <c r="BC9" s="509"/>
      <c r="BD9" s="510"/>
      <c r="BE9" s="508" t="s">
        <v>381</v>
      </c>
      <c r="BF9" s="509"/>
      <c r="BG9" s="510"/>
      <c r="BH9" s="508" t="s">
        <v>156</v>
      </c>
      <c r="BI9" s="509"/>
      <c r="BJ9" s="510"/>
      <c r="BK9" s="508" t="s">
        <v>255</v>
      </c>
      <c r="BL9" s="509"/>
      <c r="BM9" s="510"/>
      <c r="BN9" s="508" t="s">
        <v>226</v>
      </c>
      <c r="BO9" s="509"/>
      <c r="BP9" s="510"/>
      <c r="BQ9" s="508" t="s">
        <v>157</v>
      </c>
      <c r="BR9" s="509"/>
      <c r="BS9" s="510"/>
      <c r="BT9" s="508" t="s">
        <v>158</v>
      </c>
      <c r="BU9" s="509"/>
      <c r="BV9" s="510"/>
      <c r="BW9" s="511" t="s">
        <v>159</v>
      </c>
      <c r="BX9" s="512"/>
      <c r="BY9" s="512"/>
      <c r="BZ9" s="517"/>
      <c r="CA9" s="517"/>
      <c r="CB9" s="517"/>
      <c r="CC9" s="508" t="s">
        <v>309</v>
      </c>
      <c r="CD9" s="509"/>
      <c r="CE9" s="510"/>
      <c r="CF9" s="508" t="s">
        <v>310</v>
      </c>
      <c r="CG9" s="509"/>
      <c r="CH9" s="510"/>
      <c r="CI9" s="508" t="s">
        <v>160</v>
      </c>
      <c r="CJ9" s="509"/>
      <c r="CK9" s="510"/>
      <c r="CL9" s="508" t="s">
        <v>161</v>
      </c>
      <c r="CM9" s="509"/>
      <c r="CN9" s="510"/>
      <c r="CO9" s="508" t="s">
        <v>21</v>
      </c>
      <c r="CP9" s="509"/>
      <c r="CQ9" s="510"/>
      <c r="CR9" s="508" t="s">
        <v>272</v>
      </c>
      <c r="CS9" s="509"/>
      <c r="CT9" s="510"/>
      <c r="CU9" s="508" t="s">
        <v>311</v>
      </c>
      <c r="CV9" s="509"/>
      <c r="CW9" s="510"/>
      <c r="CX9" s="511"/>
      <c r="CY9" s="512"/>
      <c r="CZ9" s="513"/>
      <c r="DA9" s="508" t="s">
        <v>240</v>
      </c>
      <c r="DB9" s="509"/>
      <c r="DC9" s="510"/>
      <c r="DD9" s="517" t="s">
        <v>162</v>
      </c>
      <c r="DE9" s="517"/>
      <c r="DF9" s="517"/>
      <c r="DG9" s="511"/>
      <c r="DH9" s="512"/>
      <c r="DI9" s="513"/>
      <c r="DJ9" s="537" t="s">
        <v>163</v>
      </c>
      <c r="DK9" s="538"/>
      <c r="DL9" s="539"/>
      <c r="DM9" s="531" t="s">
        <v>141</v>
      </c>
      <c r="DN9" s="532"/>
      <c r="DO9" s="532"/>
      <c r="DP9" s="532"/>
      <c r="DQ9" s="532"/>
      <c r="DR9" s="532"/>
      <c r="DS9" s="532"/>
      <c r="DT9" s="532"/>
      <c r="DU9" s="532"/>
      <c r="DV9" s="532"/>
      <c r="DW9" s="532"/>
      <c r="DX9" s="533"/>
      <c r="DY9" s="537" t="s">
        <v>164</v>
      </c>
      <c r="DZ9" s="538"/>
      <c r="EA9" s="539"/>
      <c r="EB9" s="537" t="s">
        <v>165</v>
      </c>
      <c r="EC9" s="538"/>
      <c r="ED9" s="539"/>
      <c r="EE9" s="537" t="s">
        <v>166</v>
      </c>
      <c r="EF9" s="538"/>
      <c r="EG9" s="539"/>
      <c r="EH9" s="537" t="s">
        <v>167</v>
      </c>
      <c r="EI9" s="538"/>
      <c r="EJ9" s="539"/>
      <c r="EK9" s="508" t="s">
        <v>266</v>
      </c>
      <c r="EL9" s="509"/>
      <c r="EM9" s="510"/>
      <c r="EN9" s="508" t="s">
        <v>168</v>
      </c>
      <c r="EO9" s="509"/>
      <c r="EP9" s="510"/>
      <c r="EQ9" s="508" t="s">
        <v>298</v>
      </c>
      <c r="ER9" s="509"/>
      <c r="ES9" s="510"/>
      <c r="ET9" s="517" t="s">
        <v>268</v>
      </c>
      <c r="EU9" s="517"/>
      <c r="EV9" s="517"/>
      <c r="EW9" s="511"/>
      <c r="EX9" s="512"/>
      <c r="EY9" s="513"/>
    </row>
    <row r="10" spans="1:159" s="150" customFormat="1" ht="62.25" customHeight="1">
      <c r="A10" s="517"/>
      <c r="B10" s="517"/>
      <c r="C10" s="511"/>
      <c r="D10" s="512"/>
      <c r="E10" s="513"/>
      <c r="F10" s="511"/>
      <c r="G10" s="512"/>
      <c r="H10" s="513"/>
      <c r="I10" s="511"/>
      <c r="J10" s="512"/>
      <c r="K10" s="513"/>
      <c r="L10" s="511"/>
      <c r="M10" s="512"/>
      <c r="N10" s="513"/>
      <c r="O10" s="511"/>
      <c r="P10" s="512"/>
      <c r="Q10" s="513"/>
      <c r="R10" s="511"/>
      <c r="S10" s="512"/>
      <c r="T10" s="513"/>
      <c r="U10" s="511"/>
      <c r="V10" s="512"/>
      <c r="W10" s="513"/>
      <c r="X10" s="511"/>
      <c r="Y10" s="512"/>
      <c r="Z10" s="513"/>
      <c r="AA10" s="511"/>
      <c r="AB10" s="512"/>
      <c r="AC10" s="513"/>
      <c r="AD10" s="511"/>
      <c r="AE10" s="512"/>
      <c r="AF10" s="513"/>
      <c r="AG10" s="517"/>
      <c r="AH10" s="517"/>
      <c r="AI10" s="517"/>
      <c r="AJ10" s="511"/>
      <c r="AK10" s="512"/>
      <c r="AL10" s="513"/>
      <c r="AM10" s="511"/>
      <c r="AN10" s="512"/>
      <c r="AO10" s="513"/>
      <c r="AP10" s="511"/>
      <c r="AQ10" s="512"/>
      <c r="AR10" s="513"/>
      <c r="AS10" s="511"/>
      <c r="AT10" s="512"/>
      <c r="AU10" s="513"/>
      <c r="AV10" s="511"/>
      <c r="AW10" s="512"/>
      <c r="AX10" s="513"/>
      <c r="AY10" s="511"/>
      <c r="AZ10" s="512"/>
      <c r="BA10" s="513"/>
      <c r="BB10" s="511"/>
      <c r="BC10" s="512"/>
      <c r="BD10" s="513"/>
      <c r="BE10" s="511"/>
      <c r="BF10" s="512"/>
      <c r="BG10" s="513"/>
      <c r="BH10" s="511"/>
      <c r="BI10" s="512"/>
      <c r="BJ10" s="513"/>
      <c r="BK10" s="511"/>
      <c r="BL10" s="512"/>
      <c r="BM10" s="513"/>
      <c r="BN10" s="511"/>
      <c r="BO10" s="512"/>
      <c r="BP10" s="513"/>
      <c r="BQ10" s="511"/>
      <c r="BR10" s="512"/>
      <c r="BS10" s="513"/>
      <c r="BT10" s="511"/>
      <c r="BU10" s="512"/>
      <c r="BV10" s="513"/>
      <c r="BW10" s="511"/>
      <c r="BX10" s="512"/>
      <c r="BY10" s="512"/>
      <c r="BZ10" s="517"/>
      <c r="CA10" s="517"/>
      <c r="CB10" s="517"/>
      <c r="CC10" s="511"/>
      <c r="CD10" s="512"/>
      <c r="CE10" s="513"/>
      <c r="CF10" s="511"/>
      <c r="CG10" s="512"/>
      <c r="CH10" s="513"/>
      <c r="CI10" s="511"/>
      <c r="CJ10" s="512"/>
      <c r="CK10" s="513"/>
      <c r="CL10" s="511"/>
      <c r="CM10" s="512"/>
      <c r="CN10" s="513"/>
      <c r="CO10" s="511"/>
      <c r="CP10" s="512"/>
      <c r="CQ10" s="513"/>
      <c r="CR10" s="511"/>
      <c r="CS10" s="512"/>
      <c r="CT10" s="513"/>
      <c r="CU10" s="511"/>
      <c r="CV10" s="512"/>
      <c r="CW10" s="513"/>
      <c r="CX10" s="511"/>
      <c r="CY10" s="512"/>
      <c r="CZ10" s="513"/>
      <c r="DA10" s="511"/>
      <c r="DB10" s="512"/>
      <c r="DC10" s="513"/>
      <c r="DD10" s="517"/>
      <c r="DE10" s="517"/>
      <c r="DF10" s="517"/>
      <c r="DG10" s="511"/>
      <c r="DH10" s="512"/>
      <c r="DI10" s="513"/>
      <c r="DJ10" s="540"/>
      <c r="DK10" s="541"/>
      <c r="DL10" s="542"/>
      <c r="DM10" s="264"/>
      <c r="DN10" s="265"/>
      <c r="DO10" s="265"/>
      <c r="DP10" s="266"/>
      <c r="DQ10" s="266"/>
      <c r="DR10" s="266"/>
      <c r="DS10" s="265"/>
      <c r="DT10" s="265"/>
      <c r="DU10" s="265"/>
      <c r="DV10" s="265"/>
      <c r="DW10" s="265"/>
      <c r="DX10" s="267"/>
      <c r="DY10" s="540"/>
      <c r="DZ10" s="541"/>
      <c r="EA10" s="542"/>
      <c r="EB10" s="540"/>
      <c r="EC10" s="541"/>
      <c r="ED10" s="542"/>
      <c r="EE10" s="540"/>
      <c r="EF10" s="541"/>
      <c r="EG10" s="542"/>
      <c r="EH10" s="540"/>
      <c r="EI10" s="541"/>
      <c r="EJ10" s="542"/>
      <c r="EK10" s="511"/>
      <c r="EL10" s="512"/>
      <c r="EM10" s="513"/>
      <c r="EN10" s="511"/>
      <c r="EO10" s="512"/>
      <c r="EP10" s="513"/>
      <c r="EQ10" s="511"/>
      <c r="ER10" s="512"/>
      <c r="ES10" s="513"/>
      <c r="ET10" s="517"/>
      <c r="EU10" s="517"/>
      <c r="EV10" s="517"/>
      <c r="EW10" s="511"/>
      <c r="EX10" s="512"/>
      <c r="EY10" s="513"/>
    </row>
    <row r="11" spans="1:159" s="150" customFormat="1" ht="109.5" customHeight="1">
      <c r="A11" s="517"/>
      <c r="B11" s="517"/>
      <c r="C11" s="514"/>
      <c r="D11" s="515"/>
      <c r="E11" s="527"/>
      <c r="F11" s="514"/>
      <c r="G11" s="515"/>
      <c r="H11" s="516"/>
      <c r="I11" s="514"/>
      <c r="J11" s="515"/>
      <c r="K11" s="516"/>
      <c r="L11" s="514"/>
      <c r="M11" s="515"/>
      <c r="N11" s="516"/>
      <c r="O11" s="514"/>
      <c r="P11" s="515"/>
      <c r="Q11" s="516"/>
      <c r="R11" s="514"/>
      <c r="S11" s="515"/>
      <c r="T11" s="516"/>
      <c r="U11" s="514"/>
      <c r="V11" s="515"/>
      <c r="W11" s="516"/>
      <c r="X11" s="514"/>
      <c r="Y11" s="515"/>
      <c r="Z11" s="516"/>
      <c r="AA11" s="514"/>
      <c r="AB11" s="515"/>
      <c r="AC11" s="516"/>
      <c r="AD11" s="514"/>
      <c r="AE11" s="515"/>
      <c r="AF11" s="516"/>
      <c r="AG11" s="517"/>
      <c r="AH11" s="517"/>
      <c r="AI11" s="517"/>
      <c r="AJ11" s="514"/>
      <c r="AK11" s="515"/>
      <c r="AL11" s="516"/>
      <c r="AM11" s="514"/>
      <c r="AN11" s="515"/>
      <c r="AO11" s="516"/>
      <c r="AP11" s="514"/>
      <c r="AQ11" s="515"/>
      <c r="AR11" s="516"/>
      <c r="AS11" s="514"/>
      <c r="AT11" s="515"/>
      <c r="AU11" s="516"/>
      <c r="AV11" s="514"/>
      <c r="AW11" s="515"/>
      <c r="AX11" s="516"/>
      <c r="AY11" s="514"/>
      <c r="AZ11" s="515"/>
      <c r="BA11" s="516"/>
      <c r="BB11" s="514"/>
      <c r="BC11" s="515"/>
      <c r="BD11" s="516"/>
      <c r="BE11" s="514"/>
      <c r="BF11" s="515"/>
      <c r="BG11" s="516"/>
      <c r="BH11" s="514"/>
      <c r="BI11" s="515"/>
      <c r="BJ11" s="516"/>
      <c r="BK11" s="514"/>
      <c r="BL11" s="515"/>
      <c r="BM11" s="516"/>
      <c r="BN11" s="514"/>
      <c r="BO11" s="515"/>
      <c r="BP11" s="516"/>
      <c r="BQ11" s="514"/>
      <c r="BR11" s="515"/>
      <c r="BS11" s="516"/>
      <c r="BT11" s="514"/>
      <c r="BU11" s="515"/>
      <c r="BV11" s="516"/>
      <c r="BW11" s="514"/>
      <c r="BX11" s="515"/>
      <c r="BY11" s="515"/>
      <c r="BZ11" s="517"/>
      <c r="CA11" s="517"/>
      <c r="CB11" s="517"/>
      <c r="CC11" s="514"/>
      <c r="CD11" s="515"/>
      <c r="CE11" s="516"/>
      <c r="CF11" s="514"/>
      <c r="CG11" s="515"/>
      <c r="CH11" s="516"/>
      <c r="CI11" s="514"/>
      <c r="CJ11" s="515"/>
      <c r="CK11" s="516"/>
      <c r="CL11" s="514"/>
      <c r="CM11" s="515"/>
      <c r="CN11" s="516"/>
      <c r="CO11" s="514"/>
      <c r="CP11" s="515"/>
      <c r="CQ11" s="516"/>
      <c r="CR11" s="514"/>
      <c r="CS11" s="515"/>
      <c r="CT11" s="516"/>
      <c r="CU11" s="514"/>
      <c r="CV11" s="515"/>
      <c r="CW11" s="516"/>
      <c r="CX11" s="514"/>
      <c r="CY11" s="515"/>
      <c r="CZ11" s="516"/>
      <c r="DA11" s="514"/>
      <c r="DB11" s="515"/>
      <c r="DC11" s="516"/>
      <c r="DD11" s="517"/>
      <c r="DE11" s="517"/>
      <c r="DF11" s="517"/>
      <c r="DG11" s="514"/>
      <c r="DH11" s="515"/>
      <c r="DI11" s="516"/>
      <c r="DJ11" s="534"/>
      <c r="DK11" s="535"/>
      <c r="DL11" s="536"/>
      <c r="DM11" s="534" t="s">
        <v>169</v>
      </c>
      <c r="DN11" s="535"/>
      <c r="DO11" s="536"/>
      <c r="DP11" s="531" t="s">
        <v>170</v>
      </c>
      <c r="DQ11" s="532"/>
      <c r="DR11" s="533"/>
      <c r="DS11" s="534" t="s">
        <v>171</v>
      </c>
      <c r="DT11" s="535"/>
      <c r="DU11" s="536"/>
      <c r="DV11" s="534" t="s">
        <v>223</v>
      </c>
      <c r="DW11" s="535"/>
      <c r="DX11" s="536"/>
      <c r="DY11" s="534"/>
      <c r="DZ11" s="535"/>
      <c r="EA11" s="536"/>
      <c r="EB11" s="534"/>
      <c r="EC11" s="535"/>
      <c r="ED11" s="536"/>
      <c r="EE11" s="534"/>
      <c r="EF11" s="535"/>
      <c r="EG11" s="536"/>
      <c r="EH11" s="534"/>
      <c r="EI11" s="535"/>
      <c r="EJ11" s="536"/>
      <c r="EK11" s="514"/>
      <c r="EL11" s="515"/>
      <c r="EM11" s="516"/>
      <c r="EN11" s="514"/>
      <c r="EO11" s="515"/>
      <c r="EP11" s="516"/>
      <c r="EQ11" s="514"/>
      <c r="ER11" s="515"/>
      <c r="ES11" s="516"/>
      <c r="ET11" s="517"/>
      <c r="EU11" s="517"/>
      <c r="EV11" s="517"/>
      <c r="EW11" s="514"/>
      <c r="EX11" s="515"/>
      <c r="EY11" s="516"/>
      <c r="FA11" s="151"/>
      <c r="FB11" s="151"/>
      <c r="FC11" s="151"/>
    </row>
    <row r="12" spans="1:159" s="150" customFormat="1" ht="42.75" customHeight="1">
      <c r="A12" s="517"/>
      <c r="B12" s="517"/>
      <c r="C12" s="268" t="s">
        <v>172</v>
      </c>
      <c r="D12" s="269" t="s">
        <v>173</v>
      </c>
      <c r="E12" s="268" t="s">
        <v>388</v>
      </c>
      <c r="F12" s="268" t="s">
        <v>172</v>
      </c>
      <c r="G12" s="268" t="s">
        <v>173</v>
      </c>
      <c r="H12" s="268" t="s">
        <v>388</v>
      </c>
      <c r="I12" s="268" t="s">
        <v>172</v>
      </c>
      <c r="J12" s="268" t="s">
        <v>173</v>
      </c>
      <c r="K12" s="268" t="s">
        <v>388</v>
      </c>
      <c r="L12" s="268" t="s">
        <v>172</v>
      </c>
      <c r="M12" s="268" t="s">
        <v>173</v>
      </c>
      <c r="N12" s="268" t="s">
        <v>388</v>
      </c>
      <c r="O12" s="268" t="s">
        <v>172</v>
      </c>
      <c r="P12" s="268" t="s">
        <v>173</v>
      </c>
      <c r="Q12" s="268" t="s">
        <v>388</v>
      </c>
      <c r="R12" s="268" t="s">
        <v>172</v>
      </c>
      <c r="S12" s="268" t="s">
        <v>173</v>
      </c>
      <c r="T12" s="268" t="s">
        <v>388</v>
      </c>
      <c r="U12" s="268" t="s">
        <v>172</v>
      </c>
      <c r="V12" s="268" t="s">
        <v>173</v>
      </c>
      <c r="W12" s="268" t="s">
        <v>388</v>
      </c>
      <c r="X12" s="268" t="s">
        <v>172</v>
      </c>
      <c r="Y12" s="268" t="s">
        <v>173</v>
      </c>
      <c r="Z12" s="268" t="s">
        <v>388</v>
      </c>
      <c r="AA12" s="268" t="s">
        <v>172</v>
      </c>
      <c r="AB12" s="268" t="s">
        <v>173</v>
      </c>
      <c r="AC12" s="268" t="s">
        <v>388</v>
      </c>
      <c r="AD12" s="268" t="s">
        <v>172</v>
      </c>
      <c r="AE12" s="268" t="s">
        <v>173</v>
      </c>
      <c r="AF12" s="268" t="s">
        <v>388</v>
      </c>
      <c r="AG12" s="268" t="s">
        <v>172</v>
      </c>
      <c r="AH12" s="268" t="s">
        <v>173</v>
      </c>
      <c r="AI12" s="268" t="s">
        <v>388</v>
      </c>
      <c r="AJ12" s="268" t="s">
        <v>172</v>
      </c>
      <c r="AK12" s="268" t="s">
        <v>173</v>
      </c>
      <c r="AL12" s="268" t="s">
        <v>388</v>
      </c>
      <c r="AM12" s="268" t="s">
        <v>172</v>
      </c>
      <c r="AN12" s="268" t="s">
        <v>173</v>
      </c>
      <c r="AO12" s="268" t="s">
        <v>388</v>
      </c>
      <c r="AP12" s="268" t="s">
        <v>172</v>
      </c>
      <c r="AQ12" s="268" t="s">
        <v>173</v>
      </c>
      <c r="AR12" s="268" t="s">
        <v>388</v>
      </c>
      <c r="AS12" s="268" t="s">
        <v>172</v>
      </c>
      <c r="AT12" s="268" t="s">
        <v>173</v>
      </c>
      <c r="AU12" s="268" t="s">
        <v>388</v>
      </c>
      <c r="AV12" s="268" t="s">
        <v>172</v>
      </c>
      <c r="AW12" s="268" t="s">
        <v>173</v>
      </c>
      <c r="AX12" s="268" t="s">
        <v>174</v>
      </c>
      <c r="AY12" s="268" t="s">
        <v>172</v>
      </c>
      <c r="AZ12" s="268" t="s">
        <v>173</v>
      </c>
      <c r="BA12" s="268" t="s">
        <v>388</v>
      </c>
      <c r="BB12" s="268"/>
      <c r="BC12" s="268"/>
      <c r="BD12" s="268"/>
      <c r="BE12" s="268" t="s">
        <v>175</v>
      </c>
      <c r="BF12" s="268" t="s">
        <v>173</v>
      </c>
      <c r="BG12" s="268" t="s">
        <v>388</v>
      </c>
      <c r="BH12" s="268" t="s">
        <v>172</v>
      </c>
      <c r="BI12" s="268" t="s">
        <v>173</v>
      </c>
      <c r="BJ12" s="268" t="s">
        <v>174</v>
      </c>
      <c r="BK12" s="268" t="s">
        <v>172</v>
      </c>
      <c r="BL12" s="268" t="s">
        <v>173</v>
      </c>
      <c r="BM12" s="268" t="s">
        <v>174</v>
      </c>
      <c r="BN12" s="268" t="s">
        <v>175</v>
      </c>
      <c r="BO12" s="268" t="s">
        <v>173</v>
      </c>
      <c r="BP12" s="268" t="s">
        <v>388</v>
      </c>
      <c r="BQ12" s="268" t="s">
        <v>175</v>
      </c>
      <c r="BR12" s="268" t="s">
        <v>173</v>
      </c>
      <c r="BS12" s="268" t="s">
        <v>388</v>
      </c>
      <c r="BT12" s="268" t="s">
        <v>175</v>
      </c>
      <c r="BU12" s="268" t="s">
        <v>173</v>
      </c>
      <c r="BV12" s="268" t="s">
        <v>174</v>
      </c>
      <c r="BW12" s="268" t="s">
        <v>175</v>
      </c>
      <c r="BX12" s="268" t="s">
        <v>173</v>
      </c>
      <c r="BY12" s="268" t="s">
        <v>174</v>
      </c>
      <c r="BZ12" s="268" t="s">
        <v>172</v>
      </c>
      <c r="CA12" s="268" t="s">
        <v>173</v>
      </c>
      <c r="CB12" s="268" t="s">
        <v>388</v>
      </c>
      <c r="CC12" s="268" t="s">
        <v>172</v>
      </c>
      <c r="CD12" s="268" t="s">
        <v>173</v>
      </c>
      <c r="CE12" s="268" t="s">
        <v>388</v>
      </c>
      <c r="CF12" s="268" t="s">
        <v>172</v>
      </c>
      <c r="CG12" s="268" t="s">
        <v>173</v>
      </c>
      <c r="CH12" s="268" t="s">
        <v>388</v>
      </c>
      <c r="CI12" s="268" t="s">
        <v>172</v>
      </c>
      <c r="CJ12" s="268" t="s">
        <v>173</v>
      </c>
      <c r="CK12" s="268" t="s">
        <v>388</v>
      </c>
      <c r="CL12" s="268" t="s">
        <v>172</v>
      </c>
      <c r="CM12" s="268" t="s">
        <v>173</v>
      </c>
      <c r="CN12" s="268" t="s">
        <v>388</v>
      </c>
      <c r="CO12" s="268" t="s">
        <v>172</v>
      </c>
      <c r="CP12" s="268" t="s">
        <v>173</v>
      </c>
      <c r="CQ12" s="268" t="s">
        <v>388</v>
      </c>
      <c r="CR12" s="268" t="s">
        <v>172</v>
      </c>
      <c r="CS12" s="268" t="s">
        <v>173</v>
      </c>
      <c r="CT12" s="268" t="s">
        <v>388</v>
      </c>
      <c r="CU12" s="268" t="s">
        <v>172</v>
      </c>
      <c r="CV12" s="268" t="s">
        <v>173</v>
      </c>
      <c r="CW12" s="268" t="s">
        <v>388</v>
      </c>
      <c r="CX12" s="268" t="s">
        <v>172</v>
      </c>
      <c r="CY12" s="268" t="s">
        <v>173</v>
      </c>
      <c r="CZ12" s="268" t="s">
        <v>174</v>
      </c>
      <c r="DA12" s="268" t="s">
        <v>172</v>
      </c>
      <c r="DB12" s="268" t="s">
        <v>173</v>
      </c>
      <c r="DC12" s="268" t="s">
        <v>174</v>
      </c>
      <c r="DD12" s="268" t="s">
        <v>172</v>
      </c>
      <c r="DE12" s="268" t="s">
        <v>173</v>
      </c>
      <c r="DF12" s="268" t="s">
        <v>174</v>
      </c>
      <c r="DG12" s="268" t="s">
        <v>172</v>
      </c>
      <c r="DH12" s="268" t="s">
        <v>173</v>
      </c>
      <c r="DI12" s="268" t="s">
        <v>388</v>
      </c>
      <c r="DJ12" s="268" t="s">
        <v>172</v>
      </c>
      <c r="DK12" s="268" t="s">
        <v>173</v>
      </c>
      <c r="DL12" s="268" t="s">
        <v>388</v>
      </c>
      <c r="DM12" s="268" t="s">
        <v>172</v>
      </c>
      <c r="DN12" s="268" t="s">
        <v>173</v>
      </c>
      <c r="DO12" s="268" t="s">
        <v>388</v>
      </c>
      <c r="DP12" s="268" t="s">
        <v>172</v>
      </c>
      <c r="DQ12" s="268" t="s">
        <v>173</v>
      </c>
      <c r="DR12" s="268" t="s">
        <v>388</v>
      </c>
      <c r="DS12" s="268" t="s">
        <v>172</v>
      </c>
      <c r="DT12" s="268" t="s">
        <v>173</v>
      </c>
      <c r="DU12" s="268" t="s">
        <v>388</v>
      </c>
      <c r="DV12" s="268" t="s">
        <v>172</v>
      </c>
      <c r="DW12" s="268" t="s">
        <v>173</v>
      </c>
      <c r="DX12" s="268" t="s">
        <v>388</v>
      </c>
      <c r="DY12" s="268" t="s">
        <v>172</v>
      </c>
      <c r="DZ12" s="268" t="s">
        <v>173</v>
      </c>
      <c r="EA12" s="268" t="s">
        <v>388</v>
      </c>
      <c r="EB12" s="268" t="s">
        <v>172</v>
      </c>
      <c r="EC12" s="268" t="s">
        <v>173</v>
      </c>
      <c r="ED12" s="268" t="s">
        <v>388</v>
      </c>
      <c r="EE12" s="268" t="s">
        <v>172</v>
      </c>
      <c r="EF12" s="268" t="s">
        <v>173</v>
      </c>
      <c r="EG12" s="268" t="s">
        <v>388</v>
      </c>
      <c r="EH12" s="268" t="s">
        <v>172</v>
      </c>
      <c r="EI12" s="268" t="s">
        <v>173</v>
      </c>
      <c r="EJ12" s="268" t="s">
        <v>388</v>
      </c>
      <c r="EK12" s="268" t="s">
        <v>172</v>
      </c>
      <c r="EL12" s="268" t="s">
        <v>173</v>
      </c>
      <c r="EM12" s="268" t="s">
        <v>388</v>
      </c>
      <c r="EN12" s="268" t="s">
        <v>172</v>
      </c>
      <c r="EO12" s="268" t="s">
        <v>173</v>
      </c>
      <c r="EP12" s="268" t="s">
        <v>388</v>
      </c>
      <c r="EQ12" s="268" t="s">
        <v>172</v>
      </c>
      <c r="ER12" s="268" t="s">
        <v>173</v>
      </c>
      <c r="ES12" s="268" t="s">
        <v>388</v>
      </c>
      <c r="ET12" s="268" t="s">
        <v>172</v>
      </c>
      <c r="EU12" s="268" t="s">
        <v>173</v>
      </c>
      <c r="EV12" s="268" t="s">
        <v>388</v>
      </c>
      <c r="EW12" s="268" t="s">
        <v>172</v>
      </c>
      <c r="EX12" s="268" t="s">
        <v>173</v>
      </c>
      <c r="EY12" s="268" t="s">
        <v>388</v>
      </c>
      <c r="FA12" s="151"/>
      <c r="FB12" s="151"/>
      <c r="FC12" s="151"/>
    </row>
    <row r="13" spans="1:159" s="150" customFormat="1" ht="24" customHeight="1">
      <c r="A13" s="270">
        <v>1</v>
      </c>
      <c r="B13" s="268">
        <v>2</v>
      </c>
      <c r="C13" s="270">
        <v>3</v>
      </c>
      <c r="D13" s="269">
        <v>4</v>
      </c>
      <c r="E13" s="270">
        <v>5</v>
      </c>
      <c r="F13" s="268">
        <v>6</v>
      </c>
      <c r="G13" s="270">
        <v>7</v>
      </c>
      <c r="H13" s="268">
        <v>8</v>
      </c>
      <c r="I13" s="270">
        <v>9</v>
      </c>
      <c r="J13" s="268">
        <v>10</v>
      </c>
      <c r="K13" s="270">
        <v>11</v>
      </c>
      <c r="L13" s="270">
        <v>12</v>
      </c>
      <c r="M13" s="270">
        <v>13</v>
      </c>
      <c r="N13" s="270">
        <v>14</v>
      </c>
      <c r="O13" s="270">
        <v>15</v>
      </c>
      <c r="P13" s="270">
        <v>16</v>
      </c>
      <c r="Q13" s="270">
        <v>17</v>
      </c>
      <c r="R13" s="270">
        <v>18</v>
      </c>
      <c r="S13" s="270">
        <v>19</v>
      </c>
      <c r="T13" s="270">
        <v>20</v>
      </c>
      <c r="U13" s="270">
        <v>21</v>
      </c>
      <c r="V13" s="270">
        <v>22</v>
      </c>
      <c r="W13" s="270">
        <v>23</v>
      </c>
      <c r="X13" s="268">
        <v>24</v>
      </c>
      <c r="Y13" s="270">
        <v>25</v>
      </c>
      <c r="Z13" s="268">
        <v>26</v>
      </c>
      <c r="AA13" s="270">
        <v>27</v>
      </c>
      <c r="AB13" s="268">
        <v>28</v>
      </c>
      <c r="AC13" s="270">
        <v>29</v>
      </c>
      <c r="AD13" s="268">
        <v>30</v>
      </c>
      <c r="AE13" s="270">
        <v>31</v>
      </c>
      <c r="AF13" s="268">
        <v>32</v>
      </c>
      <c r="AG13" s="270">
        <v>33</v>
      </c>
      <c r="AH13" s="268">
        <v>34</v>
      </c>
      <c r="AI13" s="270">
        <v>35</v>
      </c>
      <c r="AJ13" s="270">
        <v>36</v>
      </c>
      <c r="AK13" s="270">
        <v>37</v>
      </c>
      <c r="AL13" s="270">
        <v>38</v>
      </c>
      <c r="AM13" s="268">
        <v>39</v>
      </c>
      <c r="AN13" s="270">
        <v>40</v>
      </c>
      <c r="AO13" s="268">
        <v>41</v>
      </c>
      <c r="AP13" s="270">
        <v>42</v>
      </c>
      <c r="AQ13" s="268">
        <v>43</v>
      </c>
      <c r="AR13" s="270">
        <v>44</v>
      </c>
      <c r="AS13" s="270">
        <v>45</v>
      </c>
      <c r="AT13" s="268">
        <v>46</v>
      </c>
      <c r="AU13" s="270">
        <v>47</v>
      </c>
      <c r="AV13" s="270">
        <v>48</v>
      </c>
      <c r="AW13" s="268">
        <v>49</v>
      </c>
      <c r="AX13" s="270">
        <v>50</v>
      </c>
      <c r="AY13" s="270">
        <v>48</v>
      </c>
      <c r="AZ13" s="268">
        <v>49</v>
      </c>
      <c r="BA13" s="270">
        <v>50</v>
      </c>
      <c r="BB13" s="270">
        <v>51</v>
      </c>
      <c r="BC13" s="270">
        <v>52</v>
      </c>
      <c r="BD13" s="270">
        <v>56</v>
      </c>
      <c r="BE13" s="268">
        <v>51</v>
      </c>
      <c r="BF13" s="270">
        <v>52</v>
      </c>
      <c r="BG13" s="268">
        <v>53</v>
      </c>
      <c r="BH13" s="270">
        <v>60</v>
      </c>
      <c r="BI13" s="271">
        <v>61</v>
      </c>
      <c r="BJ13" s="272">
        <v>62</v>
      </c>
      <c r="BK13" s="270">
        <v>63</v>
      </c>
      <c r="BL13" s="270">
        <v>64</v>
      </c>
      <c r="BM13" s="270">
        <v>65</v>
      </c>
      <c r="BN13" s="270">
        <v>66</v>
      </c>
      <c r="BO13" s="270">
        <v>67</v>
      </c>
      <c r="BP13" s="270">
        <v>68</v>
      </c>
      <c r="BQ13" s="268">
        <v>54</v>
      </c>
      <c r="BR13" s="270">
        <v>55</v>
      </c>
      <c r="BS13" s="268">
        <v>56</v>
      </c>
      <c r="BT13" s="270">
        <v>72</v>
      </c>
      <c r="BU13" s="268">
        <v>73</v>
      </c>
      <c r="BV13" s="270">
        <v>74</v>
      </c>
      <c r="BW13" s="268">
        <v>75</v>
      </c>
      <c r="BX13" s="270">
        <v>76</v>
      </c>
      <c r="BY13" s="268">
        <v>77</v>
      </c>
      <c r="BZ13" s="270">
        <v>57</v>
      </c>
      <c r="CA13" s="268">
        <v>58</v>
      </c>
      <c r="CB13" s="270">
        <v>59</v>
      </c>
      <c r="CC13" s="268">
        <v>60</v>
      </c>
      <c r="CD13" s="270">
        <v>61</v>
      </c>
      <c r="CE13" s="268">
        <v>62</v>
      </c>
      <c r="CF13" s="270">
        <v>63</v>
      </c>
      <c r="CG13" s="268">
        <v>64</v>
      </c>
      <c r="CH13" s="270">
        <v>65</v>
      </c>
      <c r="CI13" s="268">
        <v>66</v>
      </c>
      <c r="CJ13" s="270">
        <v>67</v>
      </c>
      <c r="CK13" s="268">
        <v>68</v>
      </c>
      <c r="CL13" s="270">
        <v>69</v>
      </c>
      <c r="CM13" s="268">
        <v>70</v>
      </c>
      <c r="CN13" s="270">
        <v>71</v>
      </c>
      <c r="CO13" s="270">
        <v>72</v>
      </c>
      <c r="CP13" s="270">
        <v>73</v>
      </c>
      <c r="CQ13" s="270">
        <v>74</v>
      </c>
      <c r="CR13" s="270">
        <v>75</v>
      </c>
      <c r="CS13" s="270">
        <v>76</v>
      </c>
      <c r="CT13" s="270">
        <v>77</v>
      </c>
      <c r="CU13" s="270">
        <v>78</v>
      </c>
      <c r="CV13" s="270">
        <v>79</v>
      </c>
      <c r="CW13" s="270">
        <v>80</v>
      </c>
      <c r="CX13" s="268">
        <v>96</v>
      </c>
      <c r="CY13" s="270">
        <v>97</v>
      </c>
      <c r="CZ13" s="268">
        <v>98</v>
      </c>
      <c r="DA13" s="268">
        <v>99</v>
      </c>
      <c r="DB13" s="268">
        <v>100</v>
      </c>
      <c r="DC13" s="268">
        <v>101</v>
      </c>
      <c r="DD13" s="268">
        <v>102</v>
      </c>
      <c r="DE13" s="268">
        <v>103</v>
      </c>
      <c r="DF13" s="268">
        <v>104</v>
      </c>
      <c r="DG13" s="270">
        <v>81</v>
      </c>
      <c r="DH13" s="268">
        <v>82</v>
      </c>
      <c r="DI13" s="270">
        <v>83</v>
      </c>
      <c r="DJ13" s="268">
        <v>84</v>
      </c>
      <c r="DK13" s="270">
        <v>85</v>
      </c>
      <c r="DL13" s="268">
        <v>86</v>
      </c>
      <c r="DM13" s="270">
        <v>87</v>
      </c>
      <c r="DN13" s="268">
        <v>88</v>
      </c>
      <c r="DO13" s="270">
        <v>89</v>
      </c>
      <c r="DP13" s="268">
        <v>90</v>
      </c>
      <c r="DQ13" s="270">
        <v>91</v>
      </c>
      <c r="DR13" s="268">
        <v>92</v>
      </c>
      <c r="DS13" s="270">
        <v>93</v>
      </c>
      <c r="DT13" s="268">
        <v>94</v>
      </c>
      <c r="DU13" s="270">
        <v>95</v>
      </c>
      <c r="DV13" s="268">
        <v>96</v>
      </c>
      <c r="DW13" s="268">
        <v>97</v>
      </c>
      <c r="DX13" s="268">
        <v>98</v>
      </c>
      <c r="DY13" s="270">
        <v>99</v>
      </c>
      <c r="DZ13" s="268">
        <v>100</v>
      </c>
      <c r="EA13" s="270">
        <v>101</v>
      </c>
      <c r="EB13" s="268">
        <v>102</v>
      </c>
      <c r="EC13" s="270">
        <v>103</v>
      </c>
      <c r="ED13" s="268">
        <v>104</v>
      </c>
      <c r="EE13" s="270">
        <v>105</v>
      </c>
      <c r="EF13" s="268">
        <v>106</v>
      </c>
      <c r="EG13" s="270">
        <v>107</v>
      </c>
      <c r="EH13" s="268">
        <v>108</v>
      </c>
      <c r="EI13" s="270">
        <v>109</v>
      </c>
      <c r="EJ13" s="268">
        <v>110</v>
      </c>
      <c r="EK13" s="270">
        <v>111</v>
      </c>
      <c r="EL13" s="268">
        <v>112</v>
      </c>
      <c r="EM13" s="270">
        <v>113</v>
      </c>
      <c r="EN13" s="268">
        <v>114</v>
      </c>
      <c r="EO13" s="270">
        <v>115</v>
      </c>
      <c r="EP13" s="268">
        <v>116</v>
      </c>
      <c r="EQ13" s="270">
        <v>117</v>
      </c>
      <c r="ER13" s="268">
        <v>118</v>
      </c>
      <c r="ES13" s="270">
        <v>119</v>
      </c>
      <c r="ET13" s="268">
        <v>120</v>
      </c>
      <c r="EU13" s="270">
        <v>121</v>
      </c>
      <c r="EV13" s="268">
        <v>122</v>
      </c>
      <c r="EW13" s="270">
        <v>123</v>
      </c>
      <c r="EX13" s="268">
        <v>124</v>
      </c>
      <c r="EY13" s="270">
        <v>125</v>
      </c>
    </row>
    <row r="14" spans="1:159" s="150" customFormat="1" ht="25.5" customHeight="1">
      <c r="A14" s="317">
        <v>1</v>
      </c>
      <c r="B14" s="318" t="s">
        <v>273</v>
      </c>
      <c r="C14" s="273">
        <f t="shared" ref="C14:C29" si="0">F14+BZ14</f>
        <v>4615.2939999999999</v>
      </c>
      <c r="D14" s="274">
        <f t="shared" ref="D14:D29" si="1">G14+CA14+CY14</f>
        <v>4675.0962</v>
      </c>
      <c r="E14" s="275">
        <f t="shared" ref="E14:E29" si="2">D14/C14*100</f>
        <v>101.29573977302422</v>
      </c>
      <c r="F14" s="276">
        <f t="shared" ref="F14:F29" si="3">I14+X14+AA14+AD14+AG14+AM14+AS14+BE14+BQ14+BN14+AJ14+AY14+L14+R14+O14+U14+AP14</f>
        <v>669.78</v>
      </c>
      <c r="G14" s="276">
        <f t="shared" ref="G14:G29" si="4">J14+Y14+AB14+AE14+AH14+AN14+AT14+BF14+AK14+BR14+BO14+AZ14+M14+S14+P14+V14+AQ14</f>
        <v>729.58220000000006</v>
      </c>
      <c r="H14" s="275">
        <f>G14/F14*100</f>
        <v>108.9286332825704</v>
      </c>
      <c r="I14" s="277">
        <f>Але!C6</f>
        <v>89.8</v>
      </c>
      <c r="J14" s="424">
        <f>Але!D6</f>
        <v>60.655880000000003</v>
      </c>
      <c r="K14" s="275">
        <f>J14/I14*100</f>
        <v>67.545523385300683</v>
      </c>
      <c r="L14" s="275">
        <f>Але!C8</f>
        <v>95.74</v>
      </c>
      <c r="M14" s="275">
        <f>Але!D8</f>
        <v>112.42793</v>
      </c>
      <c r="N14" s="275">
        <f>M14/L14*100</f>
        <v>117.4304679339879</v>
      </c>
      <c r="O14" s="275">
        <f>Але!C9</f>
        <v>1.03</v>
      </c>
      <c r="P14" s="430">
        <f>Але!D9</f>
        <v>0.80417000000000005</v>
      </c>
      <c r="Q14" s="275">
        <f>P14/O14*100</f>
        <v>78.074757281553403</v>
      </c>
      <c r="R14" s="275">
        <f>Але!C10</f>
        <v>159.91</v>
      </c>
      <c r="S14" s="275">
        <f>Але!D10</f>
        <v>151.24717000000001</v>
      </c>
      <c r="T14" s="275">
        <f>S14/R14*100</f>
        <v>94.582684009755496</v>
      </c>
      <c r="U14" s="275">
        <f>Але!C11</f>
        <v>0</v>
      </c>
      <c r="V14" s="464">
        <f>Але!D11</f>
        <v>-20.726600000000001</v>
      </c>
      <c r="W14" s="275" t="e">
        <f>V14/U14*100</f>
        <v>#DIV/0!</v>
      </c>
      <c r="X14" s="280">
        <f>Але!C13</f>
        <v>35</v>
      </c>
      <c r="Y14" s="423">
        <f>Але!D13</f>
        <v>24.1173</v>
      </c>
      <c r="Z14" s="275">
        <f>Y14/X14*100</f>
        <v>68.906571428571425</v>
      </c>
      <c r="AA14" s="280">
        <f>Але!C15</f>
        <v>38</v>
      </c>
      <c r="AB14" s="281">
        <f>Але!D15</f>
        <v>58.26511</v>
      </c>
      <c r="AC14" s="275">
        <f>AB14/AA14*100</f>
        <v>153.32923684210527</v>
      </c>
      <c r="AD14" s="280">
        <f>Але!C16</f>
        <v>193</v>
      </c>
      <c r="AE14" s="280">
        <f>Але!D16</f>
        <v>254.22162</v>
      </c>
      <c r="AF14" s="275">
        <f t="shared" ref="AF14:AF29" si="5">AE14/AD14*100</f>
        <v>131.72104663212437</v>
      </c>
      <c r="AG14" s="275">
        <f>Але!C18</f>
        <v>3</v>
      </c>
      <c r="AH14" s="275">
        <f>Але!D18</f>
        <v>2.1</v>
      </c>
      <c r="AI14" s="275">
        <f>AH14/AG14*100</f>
        <v>70</v>
      </c>
      <c r="AJ14" s="275"/>
      <c r="AK14" s="275"/>
      <c r="AL14" s="282" t="e">
        <f t="shared" ref="AL14:AL23" si="6">AK14/AJ14*100</f>
        <v>#DIV/0!</v>
      </c>
      <c r="AM14" s="280">
        <v>0</v>
      </c>
      <c r="AN14" s="280">
        <v>0</v>
      </c>
      <c r="AO14" s="282" t="e">
        <f t="shared" ref="AO14:AO29" si="7">AN14/AM14*100</f>
        <v>#DIV/0!</v>
      </c>
      <c r="AP14" s="280">
        <f>Але!C27</f>
        <v>54.3</v>
      </c>
      <c r="AQ14" s="283">
        <f>Але!D27</f>
        <v>54.284680000000002</v>
      </c>
      <c r="AR14" s="275">
        <f>AQ14/AP14*100</f>
        <v>99.971786372007372</v>
      </c>
      <c r="AS14" s="284">
        <f>Але!C28</f>
        <v>0</v>
      </c>
      <c r="AT14" s="484">
        <f>Але!D28</f>
        <v>27.00844</v>
      </c>
      <c r="AU14" s="275" t="e">
        <f>AT14/AS14*100</f>
        <v>#DIV/0!</v>
      </c>
      <c r="AV14" s="280"/>
      <c r="AW14" s="280"/>
      <c r="AX14" s="275" t="e">
        <f>AW14/AV14*100</f>
        <v>#DIV/0!</v>
      </c>
      <c r="AY14" s="275">
        <f>Але!C29</f>
        <v>0</v>
      </c>
      <c r="AZ14" s="285">
        <f>Але!D29</f>
        <v>0</v>
      </c>
      <c r="BA14" s="275" t="e">
        <f>AZ14/AY14*100</f>
        <v>#DIV/0!</v>
      </c>
      <c r="BB14" s="275">
        <f>Але!C30</f>
        <v>0</v>
      </c>
      <c r="BC14" s="275">
        <f>Але!D30</f>
        <v>0</v>
      </c>
      <c r="BD14" s="275" t="e">
        <f>BC14/BB14*100</f>
        <v>#DIV/0!</v>
      </c>
      <c r="BE14" s="275">
        <f>Але!C32</f>
        <v>0</v>
      </c>
      <c r="BF14" s="430">
        <f>Але!D31</f>
        <v>0</v>
      </c>
      <c r="BG14" s="275" t="e">
        <f>BF14/BE14*100</f>
        <v>#DIV/0!</v>
      </c>
      <c r="BH14" s="275"/>
      <c r="BI14" s="275"/>
      <c r="BJ14" s="275" t="e">
        <f>BI14/BH14*100</f>
        <v>#DIV/0!</v>
      </c>
      <c r="BK14" s="275"/>
      <c r="BL14" s="275"/>
      <c r="BM14" s="275"/>
      <c r="BN14" s="275"/>
      <c r="BO14" s="430">
        <f>Але!D34</f>
        <v>5.1764999999999999</v>
      </c>
      <c r="BP14" s="275" t="e">
        <f>BO14/BN14*100</f>
        <v>#DIV/0!</v>
      </c>
      <c r="BQ14" s="275">
        <f>Але!C34</f>
        <v>0</v>
      </c>
      <c r="BR14" s="430"/>
      <c r="BS14" s="275" t="e">
        <f>BR14/BQ14*100</f>
        <v>#DIV/0!</v>
      </c>
      <c r="BT14" s="275"/>
      <c r="BU14" s="275"/>
      <c r="BV14" s="287" t="e">
        <f>BT14/BU14*100</f>
        <v>#DIV/0!</v>
      </c>
      <c r="BW14" s="287"/>
      <c r="BX14" s="287"/>
      <c r="BY14" s="287" t="e">
        <f>BW14/BX14*100</f>
        <v>#DIV/0!</v>
      </c>
      <c r="BZ14" s="280">
        <f>CC14+CF14+CI14+CL14+CR14+CO14</f>
        <v>3945.5140000000001</v>
      </c>
      <c r="CA14" s="280">
        <f>CD14+CG14+CJ14+CM14+CS14+CP14+CV14</f>
        <v>3945.5140000000001</v>
      </c>
      <c r="CB14" s="275">
        <f>CA14/BZ14*100</f>
        <v>100</v>
      </c>
      <c r="CC14" s="282">
        <f>Але!C38</f>
        <v>1194.4000000000001</v>
      </c>
      <c r="CD14" s="282">
        <f>Але!D38</f>
        <v>1194.4000000000001</v>
      </c>
      <c r="CE14" s="275">
        <f>CD14/CC14*100</f>
        <v>100</v>
      </c>
      <c r="CF14" s="275">
        <f>Але!C39</f>
        <v>600</v>
      </c>
      <c r="CG14" s="275">
        <f>Але!D39</f>
        <v>600</v>
      </c>
      <c r="CH14" s="275">
        <f>CG14/CF14*100</f>
        <v>100</v>
      </c>
      <c r="CI14" s="275">
        <f>Але!C40</f>
        <v>751.93</v>
      </c>
      <c r="CJ14" s="275">
        <f>Але!D40</f>
        <v>751.93</v>
      </c>
      <c r="CK14" s="275">
        <f t="shared" ref="CK14:CK29" si="8">CJ14/CI14*100</f>
        <v>100</v>
      </c>
      <c r="CL14" s="275">
        <f>Але!C41</f>
        <v>99.183999999999997</v>
      </c>
      <c r="CM14" s="275">
        <f>Але!D41</f>
        <v>99.183999999999997</v>
      </c>
      <c r="CN14" s="275">
        <f t="shared" ref="CN14:CN31" si="9">CM14/CL14*100</f>
        <v>100</v>
      </c>
      <c r="CO14" s="430">
        <f>Але!C43</f>
        <v>1300</v>
      </c>
      <c r="CP14" s="275">
        <f>Але!D43</f>
        <v>1300</v>
      </c>
      <c r="CQ14" s="275">
        <f>CP14/CO14*100</f>
        <v>100</v>
      </c>
      <c r="CR14" s="279">
        <f>Але!C42</f>
        <v>0</v>
      </c>
      <c r="CS14" s="275">
        <f>Але!D42</f>
        <v>0</v>
      </c>
      <c r="CT14" s="275" t="e">
        <f t="shared" ref="CT14:CT31" si="10">CS14/CR14*100</f>
        <v>#DIV/0!</v>
      </c>
      <c r="CU14" s="275"/>
      <c r="CV14" s="275">
        <f>Але!D44</f>
        <v>0</v>
      </c>
      <c r="CW14" s="275" t="e">
        <f>CV13:CV14/CU14*100</f>
        <v>#DIV/0!</v>
      </c>
      <c r="CX14" s="280"/>
      <c r="CY14" s="280"/>
      <c r="CZ14" s="275" t="e">
        <f>CY14/CX14*100</f>
        <v>#DIV/0!</v>
      </c>
      <c r="DA14" s="275"/>
      <c r="DB14" s="275"/>
      <c r="DC14" s="275"/>
      <c r="DD14" s="275"/>
      <c r="DE14" s="275"/>
      <c r="DF14" s="275"/>
      <c r="DG14" s="284">
        <f>DJ14+DY14+EB14+EE14+EH14+EK14+EN14+EQ14+ET14</f>
        <v>4770.0520400000005</v>
      </c>
      <c r="DH14" s="284">
        <f>DK14+DZ14+EC14+EF14+EI14+EL14+EO14+ER14+EU14</f>
        <v>4135.1742400000003</v>
      </c>
      <c r="DI14" s="275">
        <f>DH14/DG14*100</f>
        <v>86.690338078575763</v>
      </c>
      <c r="DJ14" s="280">
        <f>DM14+DP14+DS14+DV14</f>
        <v>1757.7750000000001</v>
      </c>
      <c r="DK14" s="280">
        <f>DN14+DQ14+DT14+DW14</f>
        <v>1634.14229</v>
      </c>
      <c r="DL14" s="275">
        <f>DK14/DJ14*100</f>
        <v>92.966522450256718</v>
      </c>
      <c r="DM14" s="275">
        <f>Але!C53</f>
        <v>1714</v>
      </c>
      <c r="DN14" s="275">
        <f>Але!D53</f>
        <v>1596.64229</v>
      </c>
      <c r="DO14" s="275">
        <f>DN14/DM14*100</f>
        <v>93.152992415402565</v>
      </c>
      <c r="DP14" s="275">
        <f>Але!C56</f>
        <v>12</v>
      </c>
      <c r="DQ14" s="275">
        <f>Але!D56</f>
        <v>12</v>
      </c>
      <c r="DR14" s="275">
        <f>DQ14/DP14*100</f>
        <v>100</v>
      </c>
      <c r="DS14" s="275">
        <f>Але!C57</f>
        <v>5</v>
      </c>
      <c r="DT14" s="275">
        <f>Але!D57</f>
        <v>0</v>
      </c>
      <c r="DU14" s="275">
        <f>DT14/DS14*100</f>
        <v>0</v>
      </c>
      <c r="DV14" s="275">
        <f>Але!C58</f>
        <v>26.774999999999999</v>
      </c>
      <c r="DW14" s="275">
        <f>Але!D58</f>
        <v>25.5</v>
      </c>
      <c r="DX14" s="275">
        <f>DW14/DV14*100</f>
        <v>95.238095238095241</v>
      </c>
      <c r="DY14" s="275">
        <f>Але!C60</f>
        <v>99.183999999999997</v>
      </c>
      <c r="DZ14" s="275">
        <f>Але!D60</f>
        <v>99.183999999999997</v>
      </c>
      <c r="EA14" s="275">
        <f>DZ14/DY14*100</f>
        <v>100</v>
      </c>
      <c r="EB14" s="275">
        <f>Але!C61</f>
        <v>12.821999999999999</v>
      </c>
      <c r="EC14" s="275">
        <f>Але!D61</f>
        <v>8.89025</v>
      </c>
      <c r="ED14" s="275">
        <f>EC14/EB14*100</f>
        <v>69.335907034783972</v>
      </c>
      <c r="EE14" s="459">
        <f>Але!C67</f>
        <v>1178.8680400000001</v>
      </c>
      <c r="EF14" s="280">
        <f>Але!D67</f>
        <v>1166.5880400000001</v>
      </c>
      <c r="EG14" s="275">
        <f>EF14/EE14*100</f>
        <v>98.958322765285928</v>
      </c>
      <c r="EH14" s="280">
        <f>Але!C72</f>
        <v>1436.403</v>
      </c>
      <c r="EI14" s="280">
        <f>Але!D72</f>
        <v>943.36965999999995</v>
      </c>
      <c r="EJ14" s="275">
        <f>EI14/EH14*100</f>
        <v>65.675834706555193</v>
      </c>
      <c r="EK14" s="280">
        <f>Але!C76</f>
        <v>283</v>
      </c>
      <c r="EL14" s="288">
        <f>Але!D76</f>
        <v>283</v>
      </c>
      <c r="EM14" s="275">
        <f t="shared" ref="EM14:EM29" si="11">EL14/EK14*100</f>
        <v>100</v>
      </c>
      <c r="EN14" s="275">
        <f>Але!C78</f>
        <v>0</v>
      </c>
      <c r="EO14" s="275">
        <f>Але!D78</f>
        <v>0</v>
      </c>
      <c r="EP14" s="275" t="e">
        <f t="shared" ref="EP14:EP29" si="12">EO14/EN14*100</f>
        <v>#DIV/0!</v>
      </c>
      <c r="EQ14" s="276">
        <f>Але!C83</f>
        <v>2</v>
      </c>
      <c r="ER14" s="276">
        <f>Але!D83</f>
        <v>0</v>
      </c>
      <c r="ES14" s="275">
        <f>ER14/EQ14*100</f>
        <v>0</v>
      </c>
      <c r="ET14" s="275">
        <f>Але!C89</f>
        <v>0</v>
      </c>
      <c r="EU14" s="275">
        <f>Але!D89</f>
        <v>0</v>
      </c>
      <c r="EV14" s="275" t="e">
        <f>EU14/ET14*100</f>
        <v>#DIV/0!</v>
      </c>
      <c r="EW14" s="289">
        <f>SUM(C14-DG14)</f>
        <v>-154.75804000000062</v>
      </c>
      <c r="EX14" s="289">
        <f>SUM(D14-DH14)</f>
        <v>539.92195999999967</v>
      </c>
      <c r="EY14" s="275">
        <f>EX14/EW14*100%</f>
        <v>-3.4888136344967764</v>
      </c>
      <c r="EZ14" s="152"/>
      <c r="FA14" s="153"/>
      <c r="FC14" s="153"/>
    </row>
    <row r="15" spans="1:159" s="154" customFormat="1" ht="22.5" customHeight="1">
      <c r="A15" s="317">
        <v>2</v>
      </c>
      <c r="B15" s="319" t="s">
        <v>274</v>
      </c>
      <c r="C15" s="273">
        <f t="shared" si="0"/>
        <v>15253.444959999999</v>
      </c>
      <c r="D15" s="482">
        <f t="shared" si="1"/>
        <v>15043.895</v>
      </c>
      <c r="E15" s="282">
        <f t="shared" si="2"/>
        <v>98.62621223894331</v>
      </c>
      <c r="F15" s="276">
        <f t="shared" si="3"/>
        <v>3998.06</v>
      </c>
      <c r="G15" s="276">
        <f t="shared" si="4"/>
        <v>3890.9921900000004</v>
      </c>
      <c r="H15" s="282">
        <f t="shared" ref="H15:H29" si="13">G15/F15*100</f>
        <v>97.322005922872606</v>
      </c>
      <c r="I15" s="290">
        <f>Сун!C6</f>
        <v>403.6</v>
      </c>
      <c r="J15" s="481">
        <f>Сун!D6</f>
        <v>345.43527</v>
      </c>
      <c r="K15" s="282">
        <f t="shared" ref="K15:K29" si="14">J15/I15*100</f>
        <v>85.588520812685815</v>
      </c>
      <c r="L15" s="282">
        <f>Сун!C8</f>
        <v>275.86</v>
      </c>
      <c r="M15" s="448">
        <f>Сун!D8</f>
        <v>323.92603000000003</v>
      </c>
      <c r="N15" s="275">
        <f t="shared" ref="N15:N29" si="15">M15/L15*100</f>
        <v>117.42406655549917</v>
      </c>
      <c r="O15" s="275">
        <f>Сун!C9</f>
        <v>2.95</v>
      </c>
      <c r="P15" s="430">
        <f>Сун!D9</f>
        <v>2.3169499999999998</v>
      </c>
      <c r="Q15" s="275">
        <f t="shared" ref="Q15:Q29" si="16">P15/O15*100</f>
        <v>78.540677966101683</v>
      </c>
      <c r="R15" s="275">
        <f>Сун!C10</f>
        <v>460.75</v>
      </c>
      <c r="S15" s="275">
        <f>Сун!D10</f>
        <v>435.77154999999999</v>
      </c>
      <c r="T15" s="275">
        <f t="shared" ref="T15:T29" si="17">S15/R15*100</f>
        <v>94.578741182854046</v>
      </c>
      <c r="U15" s="275">
        <f>Сун!C11</f>
        <v>0</v>
      </c>
      <c r="V15" s="464">
        <f>Сун!D11</f>
        <v>-59.717210000000001</v>
      </c>
      <c r="W15" s="275" t="e">
        <f t="shared" ref="W15:W29" si="18">V15/U15*100</f>
        <v>#DIV/0!</v>
      </c>
      <c r="X15" s="290">
        <f>Сун!C13</f>
        <v>40</v>
      </c>
      <c r="Y15" s="290">
        <f>Сун!D13</f>
        <v>29.3325</v>
      </c>
      <c r="Z15" s="282">
        <f t="shared" ref="Z15:Z29" si="19">Y15/X15*100</f>
        <v>73.331249999999997</v>
      </c>
      <c r="AA15" s="290">
        <f>Сун!C15</f>
        <v>1120</v>
      </c>
      <c r="AB15" s="281">
        <f>Сун!D15</f>
        <v>847.13923</v>
      </c>
      <c r="AC15" s="282">
        <f t="shared" ref="AC15:AC29" si="20">AB15/AA15*100</f>
        <v>75.637431249999992</v>
      </c>
      <c r="AD15" s="290">
        <f>Сун!C16</f>
        <v>1241</v>
      </c>
      <c r="AE15" s="290">
        <f>Сун!D16</f>
        <v>1284.8080600000001</v>
      </c>
      <c r="AF15" s="282">
        <f t="shared" si="5"/>
        <v>103.53006124093473</v>
      </c>
      <c r="AG15" s="282">
        <f>Сун!C18</f>
        <v>10</v>
      </c>
      <c r="AH15" s="282">
        <f>Сун!D18</f>
        <v>9.11</v>
      </c>
      <c r="AI15" s="282">
        <f t="shared" ref="AI15:AI31" si="21">AH15/AG15*100</f>
        <v>91.1</v>
      </c>
      <c r="AJ15" s="282"/>
      <c r="AK15" s="282"/>
      <c r="AL15" s="282" t="e">
        <f t="shared" si="6"/>
        <v>#DIV/0!</v>
      </c>
      <c r="AM15" s="290">
        <f>Сун!C27</f>
        <v>0</v>
      </c>
      <c r="AN15" s="290">
        <f>Сун!D27</f>
        <v>0</v>
      </c>
      <c r="AO15" s="282" t="e">
        <f t="shared" si="7"/>
        <v>#DIV/0!</v>
      </c>
      <c r="AP15" s="290">
        <f>Сун!C28</f>
        <v>193.9</v>
      </c>
      <c r="AQ15" s="291">
        <f>Сун!D28</f>
        <v>232.33</v>
      </c>
      <c r="AR15" s="282">
        <f t="shared" ref="AR15:AR29" si="22">AQ15/AP15*100</f>
        <v>119.81949458483754</v>
      </c>
      <c r="AS15" s="284">
        <f>Сун!C29</f>
        <v>50</v>
      </c>
      <c r="AT15" s="291">
        <f>Сун!D29</f>
        <v>50.003999999999998</v>
      </c>
      <c r="AU15" s="282">
        <f t="shared" ref="AU15:AU29" si="23">AT15/AS15*100</f>
        <v>100.00799999999998</v>
      </c>
      <c r="AV15" s="290"/>
      <c r="AW15" s="290"/>
      <c r="AX15" s="282" t="e">
        <f t="shared" ref="AX15:AX29" si="24">AW15/AV15*100</f>
        <v>#DIV/0!</v>
      </c>
      <c r="AY15" s="282">
        <f>Сун!C31</f>
        <v>200</v>
      </c>
      <c r="AZ15" s="449">
        <f>Сун!D31</f>
        <v>93.305350000000004</v>
      </c>
      <c r="BA15" s="282">
        <f t="shared" ref="BA15:BA31" si="25">AZ15/AY15*100</f>
        <v>46.652675000000002</v>
      </c>
      <c r="BB15" s="282"/>
      <c r="BC15" s="282"/>
      <c r="BD15" s="282"/>
      <c r="BE15" s="282">
        <f>Сун!C32</f>
        <v>0</v>
      </c>
      <c r="BF15" s="467">
        <f>Сун!D32</f>
        <v>284.35000000000002</v>
      </c>
      <c r="BG15" s="282" t="e">
        <f t="shared" ref="BG15:BG31" si="26">BF15/BE15*100</f>
        <v>#DIV/0!</v>
      </c>
      <c r="BH15" s="282"/>
      <c r="BI15" s="282"/>
      <c r="BJ15" s="282" t="e">
        <f t="shared" ref="BJ15:BJ29" si="27">BI15/BH15*100</f>
        <v>#DIV/0!</v>
      </c>
      <c r="BK15" s="282">
        <f>Сун!C35</f>
        <v>0</v>
      </c>
      <c r="BL15" s="282">
        <f>Сун!D35</f>
        <v>12.836869999999999</v>
      </c>
      <c r="BM15" s="282"/>
      <c r="BN15" s="282">
        <f>Сун!C35</f>
        <v>0</v>
      </c>
      <c r="BO15" s="282">
        <f>Сун!D35</f>
        <v>12.836869999999999</v>
      </c>
      <c r="BP15" s="275" t="e">
        <f t="shared" ref="BP15:BP29" si="28">BO15/BN15*100</f>
        <v>#DIV/0!</v>
      </c>
      <c r="BQ15" s="282">
        <f>Сун!C37</f>
        <v>0</v>
      </c>
      <c r="BR15" s="5">
        <v>4.3589999999999997E-2</v>
      </c>
      <c r="BS15" s="282" t="e">
        <f t="shared" ref="BS15:BS29" si="29">BR15/BQ15*100</f>
        <v>#DIV/0!</v>
      </c>
      <c r="BT15" s="282"/>
      <c r="BU15" s="282"/>
      <c r="BV15" s="292" t="e">
        <f t="shared" ref="BV15:BV29" si="30">BT15/BU15*100</f>
        <v>#DIV/0!</v>
      </c>
      <c r="BW15" s="292"/>
      <c r="BX15" s="292"/>
      <c r="BY15" s="292" t="e">
        <f t="shared" ref="BY15:BY29" si="31">BW15/BX15*100</f>
        <v>#DIV/0!</v>
      </c>
      <c r="BZ15" s="280">
        <f t="shared" ref="BZ15:BZ29" si="32">CC15+CF15+CI15+CL15+CR15+CO15</f>
        <v>11255.384959999999</v>
      </c>
      <c r="CA15" s="280">
        <f t="shared" ref="CA15:CA29" si="33">CD15+CG15+CJ15+CM15+CS15+CP15+CV15</f>
        <v>11152.90281</v>
      </c>
      <c r="CB15" s="282">
        <f>CA15/BZ15*100</f>
        <v>99.089483386270601</v>
      </c>
      <c r="CC15" s="282">
        <f>Сун!C42</f>
        <v>3283.9</v>
      </c>
      <c r="CD15" s="282">
        <f>Сун!D42</f>
        <v>3283.9</v>
      </c>
      <c r="CE15" s="282">
        <f t="shared" ref="CE15:CE29" si="34">CD15/CC15*100</f>
        <v>100</v>
      </c>
      <c r="CF15" s="282">
        <f>Сун!C43</f>
        <v>572</v>
      </c>
      <c r="CG15" s="282">
        <f>Сун!D43</f>
        <v>572</v>
      </c>
      <c r="CH15" s="282">
        <f t="shared" ref="CH15:CH29" si="35">CG15/CF15*100</f>
        <v>100</v>
      </c>
      <c r="CI15" s="469">
        <f>Сун!C44</f>
        <v>3786.41896</v>
      </c>
      <c r="CJ15" s="282">
        <f>Сун!D44</f>
        <v>3766.0111900000002</v>
      </c>
      <c r="CK15" s="282">
        <f t="shared" si="8"/>
        <v>99.461027154797478</v>
      </c>
      <c r="CL15" s="282">
        <f>Сун!C46</f>
        <v>198.36600000000001</v>
      </c>
      <c r="CM15" s="282">
        <f>Сун!D46</f>
        <v>198.36600000000001</v>
      </c>
      <c r="CN15" s="282">
        <f t="shared" si="9"/>
        <v>100</v>
      </c>
      <c r="CO15" s="448">
        <f>Сун!C47</f>
        <v>3353.6034</v>
      </c>
      <c r="CP15" s="282">
        <f>Сун!D47</f>
        <v>3321.5290199999999</v>
      </c>
      <c r="CQ15" s="275">
        <f t="shared" ref="CQ15:CQ29" si="36">CP15/CO15*100</f>
        <v>99.043584581289494</v>
      </c>
      <c r="CR15" s="293">
        <f>Сун!C48</f>
        <v>61.096600000000002</v>
      </c>
      <c r="CS15" s="282">
        <f>Сун!D48</f>
        <v>11.0966</v>
      </c>
      <c r="CT15" s="282">
        <f t="shared" si="10"/>
        <v>18.162385468258464</v>
      </c>
      <c r="CU15" s="282"/>
      <c r="CV15" s="282"/>
      <c r="CW15" s="282"/>
      <c r="CX15" s="290"/>
      <c r="CY15" s="290"/>
      <c r="CZ15" s="282" t="e">
        <f t="shared" ref="CZ15:CZ29" si="37">CY15/CX15*100</f>
        <v>#DIV/0!</v>
      </c>
      <c r="DA15" s="282"/>
      <c r="DB15" s="282"/>
      <c r="DC15" s="282"/>
      <c r="DD15" s="282"/>
      <c r="DE15" s="282"/>
      <c r="DF15" s="282"/>
      <c r="DG15" s="284">
        <f>DJ15+DY15+EB15+EE15+EH15+EK15+EN15+EQ15+ET15</f>
        <v>15603.436020000001</v>
      </c>
      <c r="DH15" s="284">
        <f t="shared" ref="DG15:DH29" si="38">DK15+DZ15+EC15+EF15+EI15+EL15+EO15+ER15+EU15</f>
        <v>14556.167590000001</v>
      </c>
      <c r="DI15" s="282">
        <f t="shared" ref="DI15:DI29" si="39">DH15/DG15*100</f>
        <v>93.288219154693593</v>
      </c>
      <c r="DJ15" s="290">
        <f>DM15+DP15+DS15+DV15</f>
        <v>1900.25694</v>
      </c>
      <c r="DK15" s="290">
        <f t="shared" ref="DJ15:DK29" si="40">DN15+DQ15+DT15+DW15</f>
        <v>1850.2811799999999</v>
      </c>
      <c r="DL15" s="282">
        <f t="shared" ref="DL15:DL29" si="41">DK15/DJ15*100</f>
        <v>97.370052494059038</v>
      </c>
      <c r="DM15" s="282">
        <f>Сун!C59</f>
        <v>1836.4139399999999</v>
      </c>
      <c r="DN15" s="282">
        <f>Сун!D59</f>
        <v>1796.2811799999999</v>
      </c>
      <c r="DO15" s="282">
        <f t="shared" ref="DO15:DO29" si="42">DN15/DM15*100</f>
        <v>97.814612537737545</v>
      </c>
      <c r="DP15" s="282">
        <f>Сун!C62</f>
        <v>53</v>
      </c>
      <c r="DQ15" s="282">
        <f>Сун!D62</f>
        <v>53</v>
      </c>
      <c r="DR15" s="282">
        <f t="shared" ref="DR15:DR29" si="43">DQ15/DP15*100</f>
        <v>100</v>
      </c>
      <c r="DS15" s="282">
        <f>Сун!C63</f>
        <v>5</v>
      </c>
      <c r="DT15" s="282">
        <f>Сун!D63</f>
        <v>0</v>
      </c>
      <c r="DU15" s="282">
        <f t="shared" ref="DU15:DU29" si="44">DT15/DS15*100</f>
        <v>0</v>
      </c>
      <c r="DV15" s="282">
        <f>Сун!C64</f>
        <v>5.843</v>
      </c>
      <c r="DW15" s="282">
        <f>Сун!D64</f>
        <v>1</v>
      </c>
      <c r="DX15" s="282">
        <f t="shared" ref="DX15:DX29" si="45">DW15/DV15*100</f>
        <v>17.114495978093444</v>
      </c>
      <c r="DY15" s="282">
        <f>Сун!C66</f>
        <v>198.36600000000001</v>
      </c>
      <c r="DZ15" s="282">
        <f>Сун!D66</f>
        <v>198.36600000000001</v>
      </c>
      <c r="EA15" s="282">
        <f t="shared" ref="EA15:EA31" si="46">DZ15/DY15*100</f>
        <v>100</v>
      </c>
      <c r="EB15" s="282">
        <f>Сун!C67</f>
        <v>11.3</v>
      </c>
      <c r="EC15" s="282">
        <f>Сун!D67</f>
        <v>6.9219100000000005</v>
      </c>
      <c r="ED15" s="282">
        <f t="shared" ref="ED15:ED31" si="47">EC15/EB15*100</f>
        <v>61.255840707964602</v>
      </c>
      <c r="EE15" s="290">
        <f>Сун!C73</f>
        <v>4277.33302</v>
      </c>
      <c r="EF15" s="290">
        <f>Сун!D73</f>
        <v>4059.5810700000002</v>
      </c>
      <c r="EG15" s="282">
        <f t="shared" ref="EG15:EG29" si="48">EF15/EE15*100</f>
        <v>94.90916538455545</v>
      </c>
      <c r="EH15" s="290">
        <f>Сун!C78</f>
        <v>6353.2590600000003</v>
      </c>
      <c r="EI15" s="290">
        <f>Сун!D78</f>
        <v>5670.9844300000004</v>
      </c>
      <c r="EJ15" s="282">
        <f t="shared" ref="EJ15:EJ29" si="49">EI15/EH15*100</f>
        <v>89.261029283449361</v>
      </c>
      <c r="EK15" s="290">
        <f>Сун!C83</f>
        <v>2843.51</v>
      </c>
      <c r="EL15" s="294">
        <f>Сун!D83</f>
        <v>2755.098</v>
      </c>
      <c r="EM15" s="282">
        <f t="shared" si="11"/>
        <v>96.890744185882923</v>
      </c>
      <c r="EN15" s="282">
        <f>Сун!C86</f>
        <v>2</v>
      </c>
      <c r="EO15" s="282">
        <f>Сун!D86</f>
        <v>2</v>
      </c>
      <c r="EP15" s="282">
        <f t="shared" si="12"/>
        <v>100</v>
      </c>
      <c r="EQ15" s="295">
        <f>Сун!C91</f>
        <v>17.411000000000001</v>
      </c>
      <c r="ER15" s="295">
        <f>Сун!D91</f>
        <v>12.935</v>
      </c>
      <c r="ES15" s="282">
        <f t="shared" ref="ES15:ES29" si="50">ER15/EQ15*100</f>
        <v>74.292114180690362</v>
      </c>
      <c r="ET15" s="282">
        <f>Сун!C97</f>
        <v>0</v>
      </c>
      <c r="EU15" s="282">
        <f>Сун!D97</f>
        <v>0</v>
      </c>
      <c r="EV15" s="275" t="e">
        <f>EU15/ET15*100</f>
        <v>#DIV/0!</v>
      </c>
      <c r="EW15" s="289">
        <f t="shared" ref="EW15:EW29" si="51">SUM(C15-DG15)</f>
        <v>-349.99106000000211</v>
      </c>
      <c r="EX15" s="289">
        <f t="shared" ref="EX15:EX29" si="52">SUM(D15-DH15)</f>
        <v>487.72740999999951</v>
      </c>
      <c r="EY15" s="275">
        <f>EX15/EW15*100%</f>
        <v>-1.3935424807707848</v>
      </c>
      <c r="EZ15" s="152"/>
      <c r="FA15" s="153"/>
      <c r="FC15" s="153"/>
    </row>
    <row r="16" spans="1:159" s="150" customFormat="1" ht="25.5" customHeight="1">
      <c r="A16" s="317">
        <v>3</v>
      </c>
      <c r="B16" s="319" t="s">
        <v>275</v>
      </c>
      <c r="C16" s="296">
        <f t="shared" si="0"/>
        <v>27528.490709999998</v>
      </c>
      <c r="D16" s="274">
        <f t="shared" si="1"/>
        <v>22442.665919999999</v>
      </c>
      <c r="E16" s="282">
        <f t="shared" si="2"/>
        <v>81.525232009350518</v>
      </c>
      <c r="F16" s="276">
        <f t="shared" si="3"/>
        <v>2280.7840000000001</v>
      </c>
      <c r="G16" s="276">
        <f t="shared" si="4"/>
        <v>2203.4012499999994</v>
      </c>
      <c r="H16" s="282">
        <f t="shared" si="13"/>
        <v>96.607186388540057</v>
      </c>
      <c r="I16" s="297">
        <f>Иль!C6</f>
        <v>71.7</v>
      </c>
      <c r="J16" s="424">
        <f>Иль!D6</f>
        <v>72.813370000000006</v>
      </c>
      <c r="K16" s="282">
        <f t="shared" si="14"/>
        <v>101.55281729428174</v>
      </c>
      <c r="L16" s="282">
        <f>Иль!C8</f>
        <v>260.69</v>
      </c>
      <c r="M16" s="282">
        <f>Иль!D8</f>
        <v>306.11568</v>
      </c>
      <c r="N16" s="275">
        <f t="shared" si="15"/>
        <v>117.42517165982585</v>
      </c>
      <c r="O16" s="275">
        <f>Иль!C9</f>
        <v>2.79</v>
      </c>
      <c r="P16" s="430">
        <f>Иль!D9</f>
        <v>2.1895600000000002</v>
      </c>
      <c r="Q16" s="275">
        <f t="shared" si="16"/>
        <v>78.478853046594992</v>
      </c>
      <c r="R16" s="275">
        <f>Иль!C10</f>
        <v>435.41</v>
      </c>
      <c r="S16" s="275">
        <f>Иль!D10</f>
        <v>411.8116</v>
      </c>
      <c r="T16" s="275">
        <f t="shared" si="17"/>
        <v>94.580188787579516</v>
      </c>
      <c r="U16" s="275">
        <f>Иль!C11</f>
        <v>0</v>
      </c>
      <c r="V16" s="464">
        <f>Иль!D11</f>
        <v>-56.433770000000003</v>
      </c>
      <c r="W16" s="275" t="e">
        <f t="shared" si="18"/>
        <v>#DIV/0!</v>
      </c>
      <c r="X16" s="290">
        <f>Иль!C13</f>
        <v>10</v>
      </c>
      <c r="Y16" s="290">
        <f>Иль!D13</f>
        <v>7.3159299999999998</v>
      </c>
      <c r="Z16" s="282">
        <f t="shared" si="19"/>
        <v>73.159299999999988</v>
      </c>
      <c r="AA16" s="290">
        <f>Иль!C15</f>
        <v>310</v>
      </c>
      <c r="AB16" s="281">
        <f>Иль!D15</f>
        <v>292.95361000000003</v>
      </c>
      <c r="AC16" s="282">
        <f t="shared" si="20"/>
        <v>94.501164516129037</v>
      </c>
      <c r="AD16" s="290">
        <f>Иль!C16</f>
        <v>750</v>
      </c>
      <c r="AE16" s="290">
        <f>Иль!D16</f>
        <v>760.84622000000002</v>
      </c>
      <c r="AF16" s="282">
        <f t="shared" si="5"/>
        <v>101.44616266666667</v>
      </c>
      <c r="AG16" s="282">
        <f>Иль!C18</f>
        <v>4</v>
      </c>
      <c r="AH16" s="282">
        <f>Иль!D18</f>
        <v>3.5</v>
      </c>
      <c r="AI16" s="282">
        <f t="shared" si="21"/>
        <v>87.5</v>
      </c>
      <c r="AJ16" s="282"/>
      <c r="AK16" s="282"/>
      <c r="AL16" s="282" t="e">
        <f t="shared" si="6"/>
        <v>#DIV/0!</v>
      </c>
      <c r="AM16" s="290">
        <f>Иль!C27</f>
        <v>0</v>
      </c>
      <c r="AN16" s="290">
        <f>Иль!D27</f>
        <v>0</v>
      </c>
      <c r="AO16" s="282" t="e">
        <f t="shared" si="7"/>
        <v>#DIV/0!</v>
      </c>
      <c r="AP16" s="290">
        <f>Иль!C28</f>
        <v>328.6</v>
      </c>
      <c r="AQ16" s="291">
        <f>Иль!D28</f>
        <v>316.07209</v>
      </c>
      <c r="AR16" s="282">
        <f t="shared" si="22"/>
        <v>96.18748934875228</v>
      </c>
      <c r="AS16" s="284">
        <f>Иль!C29</f>
        <v>30.6</v>
      </c>
      <c r="AT16" s="291">
        <f>Иль!D29</f>
        <v>23.790749999999999</v>
      </c>
      <c r="AU16" s="282">
        <f t="shared" si="23"/>
        <v>77.747549019607845</v>
      </c>
      <c r="AV16" s="290"/>
      <c r="AW16" s="290"/>
      <c r="AX16" s="282" t="e">
        <f t="shared" si="24"/>
        <v>#DIV/0!</v>
      </c>
      <c r="AY16" s="282">
        <f>Иль!C30</f>
        <v>60</v>
      </c>
      <c r="AZ16" s="285">
        <f>Иль!D30</f>
        <v>19.76031</v>
      </c>
      <c r="BA16" s="282">
        <f t="shared" si="25"/>
        <v>32.933850000000007</v>
      </c>
      <c r="BB16" s="282"/>
      <c r="BC16" s="282"/>
      <c r="BD16" s="282"/>
      <c r="BE16" s="282">
        <f>Иль!C32</f>
        <v>16.994</v>
      </c>
      <c r="BF16" s="467">
        <f>Иль!D33</f>
        <v>16.994</v>
      </c>
      <c r="BG16" s="282">
        <f t="shared" si="26"/>
        <v>100</v>
      </c>
      <c r="BH16" s="282"/>
      <c r="BI16" s="282"/>
      <c r="BJ16" s="282" t="e">
        <f t="shared" si="27"/>
        <v>#DIV/0!</v>
      </c>
      <c r="BK16" s="282"/>
      <c r="BL16" s="282"/>
      <c r="BM16" s="282"/>
      <c r="BN16" s="282">
        <f>Иль!C35</f>
        <v>0</v>
      </c>
      <c r="BO16" s="282">
        <f>Иль!D35</f>
        <v>25.671900000000001</v>
      </c>
      <c r="BP16" s="275" t="e">
        <f t="shared" si="28"/>
        <v>#DIV/0!</v>
      </c>
      <c r="BQ16" s="282">
        <v>0</v>
      </c>
      <c r="BR16" s="437">
        <f>Иль!D38</f>
        <v>0</v>
      </c>
      <c r="BS16" s="282" t="e">
        <f t="shared" si="29"/>
        <v>#DIV/0!</v>
      </c>
      <c r="BT16" s="282"/>
      <c r="BU16" s="282"/>
      <c r="BV16" s="292" t="e">
        <f t="shared" si="30"/>
        <v>#DIV/0!</v>
      </c>
      <c r="BW16" s="292"/>
      <c r="BX16" s="292"/>
      <c r="BY16" s="292" t="e">
        <f t="shared" si="31"/>
        <v>#DIV/0!</v>
      </c>
      <c r="BZ16" s="280">
        <f>CC16+CF16+CI16+CL16+CR16+CO16</f>
        <v>25247.706709999999</v>
      </c>
      <c r="CA16" s="280">
        <f>CD16+CG16+CJ16+CM16+CS16+CP16+CV16</f>
        <v>20239.26467</v>
      </c>
      <c r="CB16" s="282">
        <f>CA16/BZ16*100</f>
        <v>80.162784297489182</v>
      </c>
      <c r="CC16" s="282">
        <f>Иль!C43</f>
        <v>1706.8</v>
      </c>
      <c r="CD16" s="282">
        <f>Иль!D43</f>
        <v>1706.8</v>
      </c>
      <c r="CE16" s="282">
        <f t="shared" si="34"/>
        <v>100</v>
      </c>
      <c r="CF16" s="282">
        <v>1077.5129999999999</v>
      </c>
      <c r="CG16" s="483">
        <v>1077.5129999999999</v>
      </c>
      <c r="CH16" s="282">
        <f t="shared" si="35"/>
        <v>100</v>
      </c>
      <c r="CI16" s="275">
        <f>SUM(Иль!C45)</f>
        <v>4810.0342199999996</v>
      </c>
      <c r="CJ16" s="282">
        <f>SUM(Иль!D45)</f>
        <v>4011.3590300000001</v>
      </c>
      <c r="CK16" s="282">
        <f>CJ16/CI16*100</f>
        <v>83.395644324542886</v>
      </c>
      <c r="CL16" s="282">
        <f>Иль!C47</f>
        <v>198.36600000000001</v>
      </c>
      <c r="CM16" s="282">
        <f>Иль!D47</f>
        <v>198.36600000000001</v>
      </c>
      <c r="CN16" s="282">
        <f t="shared" si="9"/>
        <v>100</v>
      </c>
      <c r="CO16" s="448">
        <f>Иль!C48</f>
        <v>17217.79621</v>
      </c>
      <c r="CP16" s="282">
        <f>Иль!D48</f>
        <v>12632.81864</v>
      </c>
      <c r="CQ16" s="275">
        <f t="shared" si="36"/>
        <v>73.370706017898669</v>
      </c>
      <c r="CR16" s="293">
        <f>Иль!C49</f>
        <v>237.19728000000001</v>
      </c>
      <c r="CS16" s="282">
        <f>Иль!D49</f>
        <v>612.40800000000002</v>
      </c>
      <c r="CT16" s="282">
        <f t="shared" si="10"/>
        <v>258.18508542762379</v>
      </c>
      <c r="CU16" s="282"/>
      <c r="CV16" s="282"/>
      <c r="CW16" s="282"/>
      <c r="CX16" s="290"/>
      <c r="CY16" s="290"/>
      <c r="CZ16" s="282" t="e">
        <f t="shared" si="37"/>
        <v>#DIV/0!</v>
      </c>
      <c r="DA16" s="282"/>
      <c r="DB16" s="282"/>
      <c r="DC16" s="282"/>
      <c r="DD16" s="282"/>
      <c r="DE16" s="282"/>
      <c r="DF16" s="282">
        <v>0</v>
      </c>
      <c r="DG16" s="284">
        <f t="shared" si="38"/>
        <v>27987.0039</v>
      </c>
      <c r="DH16" s="284">
        <f t="shared" si="38"/>
        <v>22272.394419999997</v>
      </c>
      <c r="DI16" s="282">
        <f t="shared" si="39"/>
        <v>79.58120311692241</v>
      </c>
      <c r="DJ16" s="290">
        <f t="shared" si="40"/>
        <v>2147.0930000000003</v>
      </c>
      <c r="DK16" s="290">
        <f t="shared" si="40"/>
        <v>2108.3781899999999</v>
      </c>
      <c r="DL16" s="282">
        <f t="shared" si="41"/>
        <v>98.19687316758052</v>
      </c>
      <c r="DM16" s="282">
        <f>Иль!C59</f>
        <v>2114.1930000000002</v>
      </c>
      <c r="DN16" s="282">
        <f>Иль!D59</f>
        <v>2080.4781899999998</v>
      </c>
      <c r="DO16" s="282">
        <f t="shared" si="42"/>
        <v>98.405310678826368</v>
      </c>
      <c r="DP16" s="282">
        <f>Иль!C62</f>
        <v>23</v>
      </c>
      <c r="DQ16" s="282">
        <f>Иль!D62</f>
        <v>23</v>
      </c>
      <c r="DR16" s="282">
        <f t="shared" si="43"/>
        <v>100</v>
      </c>
      <c r="DS16" s="282">
        <f>Иль!C63</f>
        <v>5</v>
      </c>
      <c r="DT16" s="282">
        <f>Иль!D63</f>
        <v>0</v>
      </c>
      <c r="DU16" s="282">
        <f t="shared" si="44"/>
        <v>0</v>
      </c>
      <c r="DV16" s="282">
        <f>Иль!C64</f>
        <v>4.9000000000000004</v>
      </c>
      <c r="DW16" s="282">
        <f>Иль!D64</f>
        <v>4.9000000000000004</v>
      </c>
      <c r="DX16" s="282">
        <f t="shared" si="45"/>
        <v>100</v>
      </c>
      <c r="DY16" s="282">
        <f>Иль!C66</f>
        <v>198.36600000000001</v>
      </c>
      <c r="DZ16" s="282">
        <f>Иль!D66</f>
        <v>198.36600000000001</v>
      </c>
      <c r="EA16" s="282">
        <f t="shared" si="46"/>
        <v>100</v>
      </c>
      <c r="EB16" s="282">
        <f>Иль!C67</f>
        <v>7</v>
      </c>
      <c r="EC16" s="282">
        <f>Иль!D67</f>
        <v>4.8696000000000002</v>
      </c>
      <c r="ED16" s="282">
        <f t="shared" si="47"/>
        <v>69.565714285714293</v>
      </c>
      <c r="EE16" s="290">
        <f>Иль!C73</f>
        <v>5313.8140199999998</v>
      </c>
      <c r="EF16" s="290">
        <f>Иль!D73</f>
        <v>4201.9843899999996</v>
      </c>
      <c r="EG16" s="282">
        <f t="shared" si="48"/>
        <v>79.076617551624423</v>
      </c>
      <c r="EH16" s="290">
        <f>Иль!C80</f>
        <v>6560.9486699999998</v>
      </c>
      <c r="EI16" s="290">
        <f>Иль!D80</f>
        <v>6539.5964299999996</v>
      </c>
      <c r="EJ16" s="282">
        <f t="shared" si="49"/>
        <v>99.67455560050891</v>
      </c>
      <c r="EK16" s="290">
        <f>Иль!C84</f>
        <v>13759.782209999999</v>
      </c>
      <c r="EL16" s="294">
        <f>Иль!D84</f>
        <v>9219.1998100000001</v>
      </c>
      <c r="EM16" s="282">
        <f t="shared" si="11"/>
        <v>67.001059095978249</v>
      </c>
      <c r="EN16" s="282">
        <f>Иль!C86</f>
        <v>0</v>
      </c>
      <c r="EO16" s="282">
        <f>Иль!D86</f>
        <v>0</v>
      </c>
      <c r="EP16" s="282" t="e">
        <f t="shared" si="12"/>
        <v>#DIV/0!</v>
      </c>
      <c r="EQ16" s="295">
        <f>Иль!C91</f>
        <v>0</v>
      </c>
      <c r="ER16" s="295">
        <f>Иль!D91</f>
        <v>0</v>
      </c>
      <c r="ES16" s="282" t="e">
        <f t="shared" si="50"/>
        <v>#DIV/0!</v>
      </c>
      <c r="ET16" s="282">
        <f>Иль!C97</f>
        <v>0</v>
      </c>
      <c r="EU16" s="282">
        <f>Иль!D97</f>
        <v>0</v>
      </c>
      <c r="EV16" s="275" t="e">
        <f t="shared" ref="EV16:EV29" si="53">EU16/ET16*100</f>
        <v>#DIV/0!</v>
      </c>
      <c r="EW16" s="289">
        <f t="shared" si="51"/>
        <v>-458.51319000000149</v>
      </c>
      <c r="EX16" s="289">
        <f t="shared" si="52"/>
        <v>170.27150000000256</v>
      </c>
      <c r="EY16" s="275">
        <f>EX16/EW16*100</f>
        <v>-37.135572915580035</v>
      </c>
      <c r="EZ16" s="152"/>
      <c r="FA16" s="153"/>
      <c r="FC16" s="153"/>
    </row>
    <row r="17" spans="1:170" s="150" customFormat="1" ht="22.5" customHeight="1">
      <c r="A17" s="317">
        <v>4</v>
      </c>
      <c r="B17" s="319" t="s">
        <v>276</v>
      </c>
      <c r="C17" s="296">
        <f t="shared" si="0"/>
        <v>10231.887580000001</v>
      </c>
      <c r="D17" s="274">
        <f t="shared" si="1"/>
        <v>11220.050369999999</v>
      </c>
      <c r="E17" s="282">
        <f t="shared" si="2"/>
        <v>109.65767833426487</v>
      </c>
      <c r="F17" s="276">
        <f t="shared" si="3"/>
        <v>5020.0625799999998</v>
      </c>
      <c r="G17" s="276">
        <f t="shared" si="4"/>
        <v>6032.8603699999985</v>
      </c>
      <c r="H17" s="282">
        <f t="shared" si="13"/>
        <v>120.17500327655274</v>
      </c>
      <c r="I17" s="290">
        <f>Кад!C6</f>
        <v>484.2</v>
      </c>
      <c r="J17" s="425">
        <f>Кад!D6</f>
        <v>511.99216000000001</v>
      </c>
      <c r="K17" s="282">
        <f t="shared" si="14"/>
        <v>105.73980999586948</v>
      </c>
      <c r="L17" s="282">
        <f>Кад!C8</f>
        <v>310.93</v>
      </c>
      <c r="M17" s="282">
        <f>Кад!D8</f>
        <v>365.11255999999997</v>
      </c>
      <c r="N17" s="275">
        <f t="shared" si="15"/>
        <v>117.42596725951178</v>
      </c>
      <c r="O17" s="275">
        <f>Кад!C9</f>
        <v>3.33</v>
      </c>
      <c r="P17" s="430">
        <f>Кад!D9</f>
        <v>2.6115400000000002</v>
      </c>
      <c r="Q17" s="275">
        <f t="shared" si="16"/>
        <v>78.424624624624627</v>
      </c>
      <c r="R17" s="275">
        <f>Кад!C10</f>
        <v>519.33000000000004</v>
      </c>
      <c r="S17" s="275">
        <f>Кад!D10</f>
        <v>491.17892999999998</v>
      </c>
      <c r="T17" s="275">
        <f t="shared" si="17"/>
        <v>94.579348391196334</v>
      </c>
      <c r="U17" s="275">
        <f>Кад!C11</f>
        <v>0</v>
      </c>
      <c r="V17" s="464">
        <f>Кад!D11</f>
        <v>-67.310119999999998</v>
      </c>
      <c r="W17" s="275" t="e">
        <f t="shared" si="18"/>
        <v>#DIV/0!</v>
      </c>
      <c r="X17" s="290">
        <f>Кад!C13</f>
        <v>100</v>
      </c>
      <c r="Y17" s="290">
        <f>Кад!D13</f>
        <v>97.428650000000005</v>
      </c>
      <c r="Z17" s="282">
        <f t="shared" si="19"/>
        <v>97.428650000000005</v>
      </c>
      <c r="AA17" s="290">
        <f>Кад!C15</f>
        <v>340</v>
      </c>
      <c r="AB17" s="281">
        <f>Кад!D15</f>
        <v>490.12551000000002</v>
      </c>
      <c r="AC17" s="282">
        <f t="shared" si="20"/>
        <v>144.1545617647059</v>
      </c>
      <c r="AD17" s="290">
        <f>Кад!C16</f>
        <v>2944.7725799999998</v>
      </c>
      <c r="AE17" s="290">
        <f>Кад!D16</f>
        <v>3950.80114</v>
      </c>
      <c r="AF17" s="282">
        <f t="shared" si="5"/>
        <v>134.16320047370178</v>
      </c>
      <c r="AG17" s="282">
        <f>Кад!C18</f>
        <v>20</v>
      </c>
      <c r="AH17" s="282">
        <f>Кад!D18</f>
        <v>5.9</v>
      </c>
      <c r="AI17" s="282">
        <f t="shared" si="21"/>
        <v>29.500000000000004</v>
      </c>
      <c r="AJ17" s="282"/>
      <c r="AK17" s="282"/>
      <c r="AL17" s="282" t="e">
        <f t="shared" si="6"/>
        <v>#DIV/0!</v>
      </c>
      <c r="AM17" s="290">
        <v>0</v>
      </c>
      <c r="AN17" s="290">
        <v>0</v>
      </c>
      <c r="AO17" s="282" t="e">
        <f t="shared" si="7"/>
        <v>#DIV/0!</v>
      </c>
      <c r="AP17" s="290">
        <f>Кад!C27</f>
        <v>215.5</v>
      </c>
      <c r="AQ17" s="291">
        <f>Кад!D27</f>
        <v>70.754000000000005</v>
      </c>
      <c r="AR17" s="282">
        <f t="shared" si="22"/>
        <v>32.832482598607896</v>
      </c>
      <c r="AS17" s="284">
        <f>Кад!C28</f>
        <v>12</v>
      </c>
      <c r="AT17" s="291">
        <f>Кад!D28</f>
        <v>9</v>
      </c>
      <c r="AU17" s="282">
        <f t="shared" si="23"/>
        <v>75</v>
      </c>
      <c r="AV17" s="290"/>
      <c r="AW17" s="290"/>
      <c r="AX17" s="282" t="e">
        <f t="shared" si="24"/>
        <v>#DIV/0!</v>
      </c>
      <c r="AY17" s="282">
        <f>Кад!C30</f>
        <v>70</v>
      </c>
      <c r="AZ17" s="285">
        <f>Кад!D30</f>
        <v>84.393649999999994</v>
      </c>
      <c r="BA17" s="282">
        <f t="shared" si="25"/>
        <v>120.56235714285712</v>
      </c>
      <c r="BB17" s="282"/>
      <c r="BC17" s="282"/>
      <c r="BD17" s="282"/>
      <c r="BE17" s="282">
        <f>Кад!C33</f>
        <v>0</v>
      </c>
      <c r="BF17" s="467">
        <f>Кад!D33</f>
        <v>0</v>
      </c>
      <c r="BG17" s="282" t="e">
        <f t="shared" si="26"/>
        <v>#DIV/0!</v>
      </c>
      <c r="BH17" s="282"/>
      <c r="BI17" s="282"/>
      <c r="BJ17" s="282" t="e">
        <f t="shared" si="27"/>
        <v>#DIV/0!</v>
      </c>
      <c r="BK17" s="282"/>
      <c r="BL17" s="282"/>
      <c r="BM17" s="282"/>
      <c r="BN17" s="282">
        <f>Кад!C34</f>
        <v>0</v>
      </c>
      <c r="BO17" s="282">
        <f>Кад!D34</f>
        <v>20.872350000000001</v>
      </c>
      <c r="BP17" s="275" t="e">
        <f t="shared" si="28"/>
        <v>#DIV/0!</v>
      </c>
      <c r="BQ17" s="282">
        <f>Кад!C36</f>
        <v>0</v>
      </c>
      <c r="BR17" s="437">
        <f>Кад!D36</f>
        <v>0</v>
      </c>
      <c r="BS17" s="282" t="e">
        <f t="shared" si="29"/>
        <v>#DIV/0!</v>
      </c>
      <c r="BT17" s="282"/>
      <c r="BU17" s="282"/>
      <c r="BV17" s="292" t="e">
        <f t="shared" si="30"/>
        <v>#DIV/0!</v>
      </c>
      <c r="BW17" s="292"/>
      <c r="BX17" s="292"/>
      <c r="BY17" s="292" t="e">
        <f t="shared" si="31"/>
        <v>#DIV/0!</v>
      </c>
      <c r="BZ17" s="280">
        <f t="shared" si="32"/>
        <v>5211.8250000000007</v>
      </c>
      <c r="CA17" s="280">
        <f>CD17+CG17+CJ17+CM17+CS17+CP17+CV17</f>
        <v>5187.1900000000005</v>
      </c>
      <c r="CB17" s="282">
        <f>CA17/BZ17*100</f>
        <v>99.527324881399508</v>
      </c>
      <c r="CC17" s="282">
        <f>Кад!C41</f>
        <v>1196.5999999999999</v>
      </c>
      <c r="CD17" s="282">
        <f>Кад!D41</f>
        <v>1196.5999999999999</v>
      </c>
      <c r="CE17" s="282">
        <f t="shared" si="34"/>
        <v>100</v>
      </c>
      <c r="CF17" s="282">
        <f>Кад!C42</f>
        <v>0</v>
      </c>
      <c r="CG17" s="282">
        <f>Кад!D42</f>
        <v>0</v>
      </c>
      <c r="CH17" s="282" t="e">
        <f t="shared" si="35"/>
        <v>#DIV/0!</v>
      </c>
      <c r="CI17" s="275">
        <f>Кад!C43</f>
        <v>2518.0990000000002</v>
      </c>
      <c r="CJ17" s="282">
        <f>Кад!D43</f>
        <v>2493.4639999999999</v>
      </c>
      <c r="CK17" s="282">
        <f t="shared" si="8"/>
        <v>99.021682626457491</v>
      </c>
      <c r="CL17" s="282">
        <f>Кад!C45</f>
        <v>198.36600000000001</v>
      </c>
      <c r="CM17" s="282">
        <f>Кад!D45</f>
        <v>198.36600000000001</v>
      </c>
      <c r="CN17" s="282">
        <f t="shared" si="9"/>
        <v>100</v>
      </c>
      <c r="CO17" s="448">
        <f>Кад!C46</f>
        <v>1200</v>
      </c>
      <c r="CP17" s="282">
        <f>Кад!D46</f>
        <v>1200</v>
      </c>
      <c r="CQ17" s="275">
        <f t="shared" si="36"/>
        <v>100</v>
      </c>
      <c r="CR17" s="293">
        <f>Кад!C47</f>
        <v>98.76</v>
      </c>
      <c r="CS17" s="282">
        <f>Кад!D47</f>
        <v>98.76</v>
      </c>
      <c r="CT17" s="282">
        <f t="shared" si="10"/>
        <v>100</v>
      </c>
      <c r="CU17" s="282"/>
      <c r="CV17" s="282"/>
      <c r="CW17" s="282"/>
      <c r="CX17" s="290"/>
      <c r="CY17" s="290"/>
      <c r="CZ17" s="282" t="e">
        <f t="shared" si="37"/>
        <v>#DIV/0!</v>
      </c>
      <c r="DA17" s="282"/>
      <c r="DB17" s="282"/>
      <c r="DC17" s="282"/>
      <c r="DD17" s="282"/>
      <c r="DE17" s="282"/>
      <c r="DF17" s="282"/>
      <c r="DG17" s="284">
        <f t="shared" si="38"/>
        <v>10625.6577</v>
      </c>
      <c r="DH17" s="284">
        <f t="shared" si="38"/>
        <v>10207.19073</v>
      </c>
      <c r="DI17" s="282">
        <f t="shared" si="39"/>
        <v>96.061731124653122</v>
      </c>
      <c r="DJ17" s="290">
        <f t="shared" si="40"/>
        <v>1700.4994999999999</v>
      </c>
      <c r="DK17" s="290">
        <f t="shared" si="40"/>
        <v>1682.14878</v>
      </c>
      <c r="DL17" s="282">
        <f t="shared" si="41"/>
        <v>98.920862958207294</v>
      </c>
      <c r="DM17" s="282">
        <f>Кад!C57</f>
        <v>1643.0654999999999</v>
      </c>
      <c r="DN17" s="282">
        <f>Кад!D57</f>
        <v>1637.14878</v>
      </c>
      <c r="DO17" s="282">
        <f t="shared" si="42"/>
        <v>99.639897496478383</v>
      </c>
      <c r="DP17" s="282">
        <f>Кад!C60</f>
        <v>44</v>
      </c>
      <c r="DQ17" s="282">
        <f>Кад!D60</f>
        <v>44</v>
      </c>
      <c r="DR17" s="282">
        <f t="shared" si="43"/>
        <v>100</v>
      </c>
      <c r="DS17" s="282">
        <f>Кад!C61</f>
        <v>5</v>
      </c>
      <c r="DT17" s="282">
        <f>Кад!D61</f>
        <v>0</v>
      </c>
      <c r="DU17" s="282">
        <f t="shared" si="44"/>
        <v>0</v>
      </c>
      <c r="DV17" s="282">
        <f>Кад!C62</f>
        <v>8.4339999999999993</v>
      </c>
      <c r="DW17" s="282">
        <f>Кад!D62</f>
        <v>1</v>
      </c>
      <c r="DX17" s="282">
        <f t="shared" si="45"/>
        <v>11.856770215793219</v>
      </c>
      <c r="DY17" s="282">
        <f>Кад!C64</f>
        <v>198.36600000000001</v>
      </c>
      <c r="DZ17" s="282">
        <f>Кад!D64</f>
        <v>198.36600000000001</v>
      </c>
      <c r="EA17" s="282">
        <f t="shared" si="46"/>
        <v>100</v>
      </c>
      <c r="EB17" s="282">
        <f>Кад!C65</f>
        <v>7.2696000000000005</v>
      </c>
      <c r="EC17" s="282">
        <f>Кад!D65</f>
        <v>7.2696000000000005</v>
      </c>
      <c r="ED17" s="282">
        <f t="shared" si="47"/>
        <v>100</v>
      </c>
      <c r="EE17" s="290">
        <f>Кад!C71</f>
        <v>3142.2662999999998</v>
      </c>
      <c r="EF17" s="290">
        <f>Кад!D71</f>
        <v>2915.82089</v>
      </c>
      <c r="EG17" s="282">
        <f t="shared" si="48"/>
        <v>92.793563995514958</v>
      </c>
      <c r="EH17" s="290">
        <f>Кад!C76</f>
        <v>3722.0562999999997</v>
      </c>
      <c r="EI17" s="290">
        <f>Кад!D76</f>
        <v>3548.38546</v>
      </c>
      <c r="EJ17" s="282">
        <f t="shared" si="49"/>
        <v>95.334008247000455</v>
      </c>
      <c r="EK17" s="290">
        <f>Кад!C80</f>
        <v>1855.2</v>
      </c>
      <c r="EL17" s="294">
        <f>Кад!D80</f>
        <v>1855.2</v>
      </c>
      <c r="EM17" s="282">
        <f t="shared" si="11"/>
        <v>100</v>
      </c>
      <c r="EN17" s="282">
        <f>Кад!C82</f>
        <v>0</v>
      </c>
      <c r="EO17" s="282">
        <f>Кад!D82</f>
        <v>0</v>
      </c>
      <c r="EP17" s="282" t="e">
        <f t="shared" si="12"/>
        <v>#DIV/0!</v>
      </c>
      <c r="EQ17" s="295">
        <f>Кад!C87</f>
        <v>0</v>
      </c>
      <c r="ER17" s="295">
        <f>Кад!D87</f>
        <v>0</v>
      </c>
      <c r="ES17" s="282" t="e">
        <f t="shared" si="50"/>
        <v>#DIV/0!</v>
      </c>
      <c r="ET17" s="282">
        <f>Кад!C93</f>
        <v>0</v>
      </c>
      <c r="EU17" s="282">
        <f>Кад!D93</f>
        <v>0</v>
      </c>
      <c r="EV17" s="275" t="e">
        <f t="shared" si="53"/>
        <v>#DIV/0!</v>
      </c>
      <c r="EW17" s="289">
        <f t="shared" si="51"/>
        <v>-393.77011999999922</v>
      </c>
      <c r="EX17" s="289">
        <f t="shared" si="52"/>
        <v>1012.8596399999988</v>
      </c>
      <c r="EY17" s="275">
        <f>EX17/EW17*100</f>
        <v>-257.22105069831116</v>
      </c>
      <c r="EZ17" s="152"/>
      <c r="FA17" s="153"/>
      <c r="FC17" s="153"/>
    </row>
    <row r="18" spans="1:170" s="162" customFormat="1" ht="20.25" customHeight="1">
      <c r="A18" s="320">
        <v>5</v>
      </c>
      <c r="B18" s="321" t="s">
        <v>277</v>
      </c>
      <c r="C18" s="298">
        <f t="shared" si="0"/>
        <v>25819.572079999998</v>
      </c>
      <c r="D18" s="299">
        <f t="shared" si="1"/>
        <v>22446.053909999999</v>
      </c>
      <c r="E18" s="285">
        <f t="shared" si="2"/>
        <v>86.934259949981325</v>
      </c>
      <c r="F18" s="276">
        <f t="shared" si="3"/>
        <v>4922.71</v>
      </c>
      <c r="G18" s="300">
        <f t="shared" si="4"/>
        <v>5426.7240199999987</v>
      </c>
      <c r="H18" s="285">
        <f t="shared" si="13"/>
        <v>110.23854787302115</v>
      </c>
      <c r="I18" s="278">
        <f>Мор!C6</f>
        <v>1917</v>
      </c>
      <c r="J18" s="424">
        <f>Мор!D6</f>
        <v>2100.7537600000001</v>
      </c>
      <c r="K18" s="285">
        <f t="shared" si="14"/>
        <v>109.58548565466874</v>
      </c>
      <c r="L18" s="285">
        <f>Мор!C8</f>
        <v>153.57</v>
      </c>
      <c r="M18" s="285">
        <f>Мор!D8</f>
        <v>180.33004</v>
      </c>
      <c r="N18" s="285">
        <f t="shared" si="15"/>
        <v>117.42530442143648</v>
      </c>
      <c r="O18" s="285">
        <f>Мор!C9</f>
        <v>1.64</v>
      </c>
      <c r="P18" s="468">
        <f>Мор!D9</f>
        <v>1.28986</v>
      </c>
      <c r="Q18" s="285">
        <f t="shared" si="16"/>
        <v>78.650000000000006</v>
      </c>
      <c r="R18" s="285">
        <f>Мор!C10</f>
        <v>256.5</v>
      </c>
      <c r="S18" s="285">
        <f>Мор!D10</f>
        <v>242.59447</v>
      </c>
      <c r="T18" s="285">
        <f t="shared" si="17"/>
        <v>94.578740740740741</v>
      </c>
      <c r="U18" s="285">
        <f>Мор!C11</f>
        <v>0</v>
      </c>
      <c r="V18" s="465">
        <f>Мор!D11</f>
        <v>-33.244630000000001</v>
      </c>
      <c r="W18" s="285" t="e">
        <f t="shared" si="18"/>
        <v>#DIV/0!</v>
      </c>
      <c r="X18" s="284">
        <f>Мор!C13</f>
        <v>75</v>
      </c>
      <c r="Y18" s="284">
        <f>Мор!D13</f>
        <v>68.146619999999999</v>
      </c>
      <c r="Z18" s="285">
        <f t="shared" si="19"/>
        <v>90.862160000000003</v>
      </c>
      <c r="AA18" s="284">
        <f>Мор!C15</f>
        <v>980</v>
      </c>
      <c r="AB18" s="281">
        <f>Мор!D15</f>
        <v>965.31120999999996</v>
      </c>
      <c r="AC18" s="285">
        <f t="shared" si="20"/>
        <v>98.501143877551016</v>
      </c>
      <c r="AD18" s="284">
        <f>Мор!C16</f>
        <v>1499</v>
      </c>
      <c r="AE18" s="284">
        <f>Мор!D16</f>
        <v>1688.74288</v>
      </c>
      <c r="AF18" s="285">
        <f t="shared" si="5"/>
        <v>112.657963975984</v>
      </c>
      <c r="AG18" s="285">
        <f>Мор!C18</f>
        <v>0</v>
      </c>
      <c r="AH18" s="285">
        <f>Мор!D18</f>
        <v>0</v>
      </c>
      <c r="AI18" s="285" t="e">
        <f t="shared" si="21"/>
        <v>#DIV/0!</v>
      </c>
      <c r="AJ18" s="285">
        <f>Мор!C22</f>
        <v>0</v>
      </c>
      <c r="AK18" s="285">
        <f>Мор!D22</f>
        <v>0</v>
      </c>
      <c r="AL18" s="285" t="e">
        <f t="shared" si="6"/>
        <v>#DIV/0!</v>
      </c>
      <c r="AM18" s="284">
        <v>0</v>
      </c>
      <c r="AN18" s="284"/>
      <c r="AO18" s="285" t="e">
        <f t="shared" si="7"/>
        <v>#DIV/0!</v>
      </c>
      <c r="AP18" s="284">
        <f>Мор!C27</f>
        <v>0</v>
      </c>
      <c r="AQ18" s="291">
        <f>Мор!D27</f>
        <v>0</v>
      </c>
      <c r="AR18" s="285" t="e">
        <f t="shared" si="22"/>
        <v>#DIV/0!</v>
      </c>
      <c r="AS18" s="284">
        <f>Мор!C28</f>
        <v>0</v>
      </c>
      <c r="AT18" s="281">
        <f>Мор!D28</f>
        <v>0</v>
      </c>
      <c r="AU18" s="285" t="e">
        <f t="shared" si="23"/>
        <v>#DIV/0!</v>
      </c>
      <c r="AV18" s="284"/>
      <c r="AW18" s="284"/>
      <c r="AX18" s="285" t="e">
        <f t="shared" si="24"/>
        <v>#DIV/0!</v>
      </c>
      <c r="AY18" s="285">
        <f>Мор!C29</f>
        <v>0</v>
      </c>
      <c r="AZ18" s="285">
        <f>Мор!D29</f>
        <v>0</v>
      </c>
      <c r="BA18" s="285" t="e">
        <f t="shared" si="25"/>
        <v>#DIV/0!</v>
      </c>
      <c r="BB18" s="285"/>
      <c r="BC18" s="285"/>
      <c r="BD18" s="285"/>
      <c r="BE18" s="285">
        <f>Мор!C33</f>
        <v>0</v>
      </c>
      <c r="BF18" s="468">
        <f>Мор!D31</f>
        <v>14.04</v>
      </c>
      <c r="BG18" s="285" t="e">
        <f>Мор!E33</f>
        <v>#DIV/0!</v>
      </c>
      <c r="BH18" s="285">
        <f>Мор!F33</f>
        <v>0</v>
      </c>
      <c r="BI18" s="285">
        <f>Мор!G33</f>
        <v>0</v>
      </c>
      <c r="BJ18" s="285">
        <f>Мор!H33</f>
        <v>0</v>
      </c>
      <c r="BK18" s="285">
        <f>Мор!I33</f>
        <v>0</v>
      </c>
      <c r="BL18" s="285">
        <f>Мор!J33</f>
        <v>0</v>
      </c>
      <c r="BM18" s="285">
        <f>Мор!K33</f>
        <v>0</v>
      </c>
      <c r="BN18" s="285">
        <f>Мор!C34</f>
        <v>40</v>
      </c>
      <c r="BO18" s="285">
        <f>Мор!D34</f>
        <v>198.75981000000002</v>
      </c>
      <c r="BP18" s="275">
        <f t="shared" si="28"/>
        <v>496.8995250000001</v>
      </c>
      <c r="BQ18" s="285">
        <f>Мор!C37</f>
        <v>0</v>
      </c>
      <c r="BR18" s="438">
        <f>Мор!D37</f>
        <v>0</v>
      </c>
      <c r="BS18" s="285" t="e">
        <f t="shared" si="29"/>
        <v>#DIV/0!</v>
      </c>
      <c r="BT18" s="285"/>
      <c r="BU18" s="285"/>
      <c r="BV18" s="302" t="e">
        <f t="shared" si="30"/>
        <v>#DIV/0!</v>
      </c>
      <c r="BW18" s="302"/>
      <c r="BX18" s="302"/>
      <c r="BY18" s="302" t="e">
        <f t="shared" si="31"/>
        <v>#DIV/0!</v>
      </c>
      <c r="BZ18" s="284">
        <f t="shared" si="32"/>
        <v>20896.862079999999</v>
      </c>
      <c r="CA18" s="280">
        <f t="shared" si="33"/>
        <v>17019.329890000001</v>
      </c>
      <c r="CB18" s="285">
        <f t="shared" ref="CB18:CB31" si="54">CA18/BZ18*100</f>
        <v>81.44442847373189</v>
      </c>
      <c r="CC18" s="285">
        <f>Мор!C42</f>
        <v>5155.8</v>
      </c>
      <c r="CD18" s="285">
        <f>Мор!D42</f>
        <v>5155.8</v>
      </c>
      <c r="CE18" s="285">
        <f t="shared" si="34"/>
        <v>100</v>
      </c>
      <c r="CF18" s="285">
        <f>Мор!C43</f>
        <v>0</v>
      </c>
      <c r="CG18" s="285">
        <f>Мор!D43</f>
        <v>0</v>
      </c>
      <c r="CH18" s="285" t="e">
        <f t="shared" si="35"/>
        <v>#DIV/0!</v>
      </c>
      <c r="CI18" s="285">
        <f>Мор!C44</f>
        <v>14639.02043</v>
      </c>
      <c r="CJ18" s="285">
        <f>Мор!D44</f>
        <v>10889.58841</v>
      </c>
      <c r="CK18" s="285">
        <f t="shared" si="8"/>
        <v>74.387411794875121</v>
      </c>
      <c r="CL18" s="285">
        <f>Мор!C46</f>
        <v>69</v>
      </c>
      <c r="CM18" s="285">
        <f>Мор!D46</f>
        <v>0</v>
      </c>
      <c r="CN18" s="285">
        <f t="shared" si="9"/>
        <v>0</v>
      </c>
      <c r="CO18" s="449">
        <f>Мор!C47</f>
        <v>500</v>
      </c>
      <c r="CP18" s="285">
        <f>Мор!D47</f>
        <v>500</v>
      </c>
      <c r="CQ18" s="275">
        <f t="shared" si="36"/>
        <v>100</v>
      </c>
      <c r="CR18" s="301">
        <f>Мор!C49</f>
        <v>533.04165</v>
      </c>
      <c r="CS18" s="285">
        <f>Мор!D49</f>
        <v>473.94148000000001</v>
      </c>
      <c r="CT18" s="285">
        <f t="shared" si="10"/>
        <v>88.912654386388013</v>
      </c>
      <c r="CU18" s="285"/>
      <c r="CV18" s="285"/>
      <c r="CW18" s="285"/>
      <c r="CX18" s="284"/>
      <c r="CY18" s="284"/>
      <c r="CZ18" s="285" t="e">
        <f t="shared" si="37"/>
        <v>#DIV/0!</v>
      </c>
      <c r="DA18" s="285"/>
      <c r="DB18" s="285"/>
      <c r="DC18" s="285"/>
      <c r="DD18" s="285"/>
      <c r="DE18" s="285"/>
      <c r="DF18" s="285"/>
      <c r="DG18" s="284">
        <f t="shared" si="38"/>
        <v>25931.930619999999</v>
      </c>
      <c r="DH18" s="284">
        <f t="shared" si="38"/>
        <v>21433.774870000001</v>
      </c>
      <c r="DI18" s="285">
        <f t="shared" si="39"/>
        <v>82.653988181925826</v>
      </c>
      <c r="DJ18" s="284">
        <f t="shared" si="40"/>
        <v>2318.1618900000003</v>
      </c>
      <c r="DK18" s="284">
        <f t="shared" si="40"/>
        <v>2248.7051500000002</v>
      </c>
      <c r="DL18" s="285">
        <f t="shared" si="41"/>
        <v>97.003801145225452</v>
      </c>
      <c r="DM18" s="285">
        <f>Мор!C59</f>
        <v>2105.3618900000001</v>
      </c>
      <c r="DN18" s="285">
        <f>Мор!D59</f>
        <v>2090.90515</v>
      </c>
      <c r="DO18" s="285">
        <f t="shared" si="42"/>
        <v>99.313337052947219</v>
      </c>
      <c r="DP18" s="285">
        <f>Мор!C62</f>
        <v>90</v>
      </c>
      <c r="DQ18" s="285">
        <f>Мор!D62</f>
        <v>90</v>
      </c>
      <c r="DR18" s="285">
        <f t="shared" si="43"/>
        <v>100</v>
      </c>
      <c r="DS18" s="285">
        <f>Мор!C63</f>
        <v>55</v>
      </c>
      <c r="DT18" s="285">
        <f>Мор!D63</f>
        <v>0</v>
      </c>
      <c r="DU18" s="285">
        <f t="shared" si="44"/>
        <v>0</v>
      </c>
      <c r="DV18" s="285">
        <f>Мор!C64</f>
        <v>67.8</v>
      </c>
      <c r="DW18" s="285">
        <f>Мор!D64</f>
        <v>67.8</v>
      </c>
      <c r="DX18" s="285">
        <f t="shared" si="45"/>
        <v>100</v>
      </c>
      <c r="DY18" s="285">
        <f>Мор!C65</f>
        <v>0</v>
      </c>
      <c r="DZ18" s="285">
        <f>Мор!D65</f>
        <v>0</v>
      </c>
      <c r="EA18" s="285" t="e">
        <f t="shared" si="46"/>
        <v>#DIV/0!</v>
      </c>
      <c r="EB18" s="285">
        <f>Мор!C67</f>
        <v>7.5545999999999998</v>
      </c>
      <c r="EC18" s="285">
        <f>Мор!D67</f>
        <v>7.5545999999999998</v>
      </c>
      <c r="ED18" s="285">
        <f t="shared" si="47"/>
        <v>100</v>
      </c>
      <c r="EE18" s="284">
        <f>Мор!C73</f>
        <v>4431.1698200000001</v>
      </c>
      <c r="EF18" s="284">
        <f>Мор!D73</f>
        <v>4310.3131700000004</v>
      </c>
      <c r="EG18" s="285">
        <f t="shared" si="48"/>
        <v>97.272579140286709</v>
      </c>
      <c r="EH18" s="284">
        <f>Мор!C78</f>
        <v>14717.844309999999</v>
      </c>
      <c r="EI18" s="284">
        <f>Мор!D78</f>
        <v>10410.00195</v>
      </c>
      <c r="EJ18" s="285">
        <f t="shared" si="49"/>
        <v>70.730480162281324</v>
      </c>
      <c r="EK18" s="284">
        <f>Мор!C82</f>
        <v>4457.2</v>
      </c>
      <c r="EL18" s="303">
        <f>Мор!D82</f>
        <v>4457.2</v>
      </c>
      <c r="EM18" s="285">
        <f t="shared" si="11"/>
        <v>100</v>
      </c>
      <c r="EN18" s="285">
        <f>Мор!C85</f>
        <v>0</v>
      </c>
      <c r="EO18" s="285">
        <f>Мор!D85</f>
        <v>0</v>
      </c>
      <c r="EP18" s="285" t="e">
        <f t="shared" si="12"/>
        <v>#DIV/0!</v>
      </c>
      <c r="EQ18" s="300">
        <f>Мор!C90</f>
        <v>0</v>
      </c>
      <c r="ER18" s="300">
        <f>Мор!D90</f>
        <v>0</v>
      </c>
      <c r="ES18" s="285" t="e">
        <f t="shared" si="50"/>
        <v>#DIV/0!</v>
      </c>
      <c r="ET18" s="285">
        <f>Мор!C96</f>
        <v>0</v>
      </c>
      <c r="EU18" s="285">
        <f>Мор!D96</f>
        <v>0</v>
      </c>
      <c r="EV18" s="285" t="e">
        <f t="shared" si="53"/>
        <v>#DIV/0!</v>
      </c>
      <c r="EW18" s="304">
        <f t="shared" si="51"/>
        <v>-112.35854000000108</v>
      </c>
      <c r="EX18" s="304">
        <f t="shared" si="52"/>
        <v>1012.2790399999976</v>
      </c>
      <c r="EY18" s="285">
        <f t="shared" ref="EY18:EY30" si="55">EX18/EW18*100</f>
        <v>-900.93644862240808</v>
      </c>
      <c r="EZ18" s="160"/>
      <c r="FA18" s="161"/>
      <c r="FC18" s="161"/>
    </row>
    <row r="19" spans="1:170" s="235" customFormat="1" ht="27.75" customHeight="1">
      <c r="A19" s="322">
        <v>6</v>
      </c>
      <c r="B19" s="319" t="s">
        <v>278</v>
      </c>
      <c r="C19" s="296">
        <f t="shared" si="0"/>
        <v>17317.143329999999</v>
      </c>
      <c r="D19" s="274">
        <f t="shared" si="1"/>
        <v>16526.366430000002</v>
      </c>
      <c r="E19" s="282">
        <f t="shared" si="2"/>
        <v>95.433560345775589</v>
      </c>
      <c r="F19" s="276">
        <f t="shared" si="3"/>
        <v>5368.6900000000005</v>
      </c>
      <c r="G19" s="295">
        <f t="shared" si="4"/>
        <v>5232.0427200000004</v>
      </c>
      <c r="H19" s="282">
        <f t="shared" si="13"/>
        <v>97.454737002881515</v>
      </c>
      <c r="I19" s="290">
        <f>Мос!C6</f>
        <v>1707.1</v>
      </c>
      <c r="J19" s="425">
        <f>Мос!D6</f>
        <v>1677.3857399999999</v>
      </c>
      <c r="K19" s="282">
        <f t="shared" si="14"/>
        <v>98.259372034444382</v>
      </c>
      <c r="L19" s="282">
        <f>Мос!C8</f>
        <v>288.18</v>
      </c>
      <c r="M19" s="282">
        <f>Мос!D8</f>
        <v>338.39697000000001</v>
      </c>
      <c r="N19" s="282">
        <f t="shared" si="15"/>
        <v>117.42555694357692</v>
      </c>
      <c r="O19" s="282">
        <f>Мос!C9</f>
        <v>3.09</v>
      </c>
      <c r="P19" s="467">
        <f>Мос!D9</f>
        <v>2.4204599999999998</v>
      </c>
      <c r="Q19" s="282">
        <f t="shared" si="16"/>
        <v>78.332038834951462</v>
      </c>
      <c r="R19" s="282">
        <f>Мос!C10</f>
        <v>481.32</v>
      </c>
      <c r="S19" s="282">
        <f>Мос!D10</f>
        <v>455.23901000000001</v>
      </c>
      <c r="T19" s="282">
        <f t="shared" si="17"/>
        <v>94.581361672068482</v>
      </c>
      <c r="U19" s="282">
        <f>Мос!C11</f>
        <v>0</v>
      </c>
      <c r="V19" s="466">
        <f>Мос!D11</f>
        <v>-62.384979999999999</v>
      </c>
      <c r="W19" s="282" t="e">
        <f t="shared" si="18"/>
        <v>#DIV/0!</v>
      </c>
      <c r="X19" s="290">
        <f>Мос!C13</f>
        <v>30</v>
      </c>
      <c r="Y19" s="290">
        <f>Мос!D13</f>
        <v>20.815799999999999</v>
      </c>
      <c r="Z19" s="282">
        <f t="shared" si="19"/>
        <v>69.38600000000001</v>
      </c>
      <c r="AA19" s="290">
        <f>Мос!C15</f>
        <v>450</v>
      </c>
      <c r="AB19" s="281">
        <f>Мос!D15</f>
        <v>620.23076000000003</v>
      </c>
      <c r="AC19" s="282">
        <f t="shared" si="20"/>
        <v>137.82905777777779</v>
      </c>
      <c r="AD19" s="290">
        <f>Мос!C16</f>
        <v>2351</v>
      </c>
      <c r="AE19" s="290">
        <f>Мос!D16</f>
        <v>2143.36906</v>
      </c>
      <c r="AF19" s="282">
        <f t="shared" si="5"/>
        <v>91.1683989791578</v>
      </c>
      <c r="AG19" s="282">
        <f>Мос!C18</f>
        <v>8</v>
      </c>
      <c r="AH19" s="282">
        <f>Мос!D18</f>
        <v>3</v>
      </c>
      <c r="AI19" s="282">
        <f t="shared" si="21"/>
        <v>37.5</v>
      </c>
      <c r="AJ19" s="282"/>
      <c r="AK19" s="282"/>
      <c r="AL19" s="282" t="e">
        <f t="shared" si="6"/>
        <v>#DIV/0!</v>
      </c>
      <c r="AM19" s="290">
        <f>Мос!C27</f>
        <v>0</v>
      </c>
      <c r="AN19" s="290">
        <v>0</v>
      </c>
      <c r="AO19" s="282" t="e">
        <f t="shared" si="7"/>
        <v>#DIV/0!</v>
      </c>
      <c r="AP19" s="290">
        <v>0</v>
      </c>
      <c r="AQ19" s="291">
        <f>Мос!D27</f>
        <v>1.78</v>
      </c>
      <c r="AR19" s="282" t="e">
        <f t="shared" si="22"/>
        <v>#DIV/0!</v>
      </c>
      <c r="AS19" s="290">
        <f>Мос!C26</f>
        <v>0</v>
      </c>
      <c r="AT19" s="291">
        <f>Мос!D28</f>
        <v>0</v>
      </c>
      <c r="AU19" s="282" t="e">
        <f t="shared" si="23"/>
        <v>#DIV/0!</v>
      </c>
      <c r="AV19" s="290"/>
      <c r="AW19" s="290"/>
      <c r="AX19" s="282" t="e">
        <f t="shared" si="24"/>
        <v>#DIV/0!</v>
      </c>
      <c r="AY19" s="282">
        <f>Мос!C30</f>
        <v>0</v>
      </c>
      <c r="AZ19" s="285">
        <f>Мос!D30</f>
        <v>0.42215999999999998</v>
      </c>
      <c r="BA19" s="282" t="e">
        <f t="shared" si="25"/>
        <v>#DIV/0!</v>
      </c>
      <c r="BB19" s="282"/>
      <c r="BC19" s="282"/>
      <c r="BD19" s="282"/>
      <c r="BE19" s="282">
        <f>Мос!C33</f>
        <v>0</v>
      </c>
      <c r="BF19" s="467">
        <f>Мос!D33</f>
        <v>0</v>
      </c>
      <c r="BG19" s="282" t="e">
        <f t="shared" si="26"/>
        <v>#DIV/0!</v>
      </c>
      <c r="BH19" s="282"/>
      <c r="BI19" s="282"/>
      <c r="BJ19" s="282" t="e">
        <f t="shared" si="27"/>
        <v>#DIV/0!</v>
      </c>
      <c r="BK19" s="282"/>
      <c r="BL19" s="282"/>
      <c r="BM19" s="282"/>
      <c r="BN19" s="282">
        <f>Мос!C34</f>
        <v>50</v>
      </c>
      <c r="BO19" s="282">
        <f>Мос!D34</f>
        <v>33.147739999999999</v>
      </c>
      <c r="BP19" s="275">
        <f t="shared" si="28"/>
        <v>66.295479999999998</v>
      </c>
      <c r="BQ19" s="282">
        <f>Мос!C37</f>
        <v>0</v>
      </c>
      <c r="BR19" s="437">
        <f>Мос!D37</f>
        <v>-1.78</v>
      </c>
      <c r="BS19" s="282" t="e">
        <f t="shared" si="29"/>
        <v>#DIV/0!</v>
      </c>
      <c r="BT19" s="282"/>
      <c r="BU19" s="282"/>
      <c r="BV19" s="292" t="e">
        <f t="shared" si="30"/>
        <v>#DIV/0!</v>
      </c>
      <c r="BW19" s="292"/>
      <c r="BX19" s="292"/>
      <c r="BY19" s="292" t="e">
        <f t="shared" si="31"/>
        <v>#DIV/0!</v>
      </c>
      <c r="BZ19" s="290">
        <f t="shared" si="32"/>
        <v>11948.45333</v>
      </c>
      <c r="CA19" s="290">
        <f t="shared" si="33"/>
        <v>11294.323710000001</v>
      </c>
      <c r="CB19" s="282">
        <f t="shared" si="54"/>
        <v>94.525403397964311</v>
      </c>
      <c r="CC19" s="282">
        <v>0</v>
      </c>
      <c r="CD19" s="282">
        <v>0</v>
      </c>
      <c r="CE19" s="282" t="e">
        <f>CD19/CC19*100</f>
        <v>#DIV/0!</v>
      </c>
      <c r="CF19" s="282">
        <f>SUM(Мос!C42)</f>
        <v>2230</v>
      </c>
      <c r="CG19" s="483">
        <v>2230</v>
      </c>
      <c r="CH19" s="282">
        <f t="shared" si="35"/>
        <v>100</v>
      </c>
      <c r="CI19" s="282">
        <f>Мос!C44</f>
        <v>5827.6904500000001</v>
      </c>
      <c r="CJ19" s="282">
        <f>Мос!D44</f>
        <v>5337.0690000000004</v>
      </c>
      <c r="CK19" s="282">
        <f t="shared" si="8"/>
        <v>91.581202635771447</v>
      </c>
      <c r="CL19" s="282">
        <f>Мос!C46</f>
        <v>198.36600000000001</v>
      </c>
      <c r="CM19" s="282">
        <f>Мос!D46</f>
        <v>198.36600000000001</v>
      </c>
      <c r="CN19" s="282">
        <f t="shared" si="9"/>
        <v>100</v>
      </c>
      <c r="CO19" s="448">
        <f>Мос!C47</f>
        <v>2800</v>
      </c>
      <c r="CP19" s="282">
        <f>Мос!D47</f>
        <v>2636.3317099999999</v>
      </c>
      <c r="CQ19" s="275">
        <f t="shared" si="36"/>
        <v>94.154703928571422</v>
      </c>
      <c r="CR19" s="293">
        <v>892.39688000000001</v>
      </c>
      <c r="CS19" s="282">
        <f>Мос!D52</f>
        <v>892.55700000000002</v>
      </c>
      <c r="CT19" s="282">
        <f t="shared" si="10"/>
        <v>100.01794268935589</v>
      </c>
      <c r="CU19" s="282"/>
      <c r="CV19" s="282"/>
      <c r="CW19" s="282"/>
      <c r="CX19" s="290"/>
      <c r="CY19" s="290"/>
      <c r="CZ19" s="282" t="e">
        <f t="shared" si="37"/>
        <v>#DIV/0!</v>
      </c>
      <c r="DA19" s="282"/>
      <c r="DB19" s="282"/>
      <c r="DC19" s="282"/>
      <c r="DD19" s="282"/>
      <c r="DE19" s="282"/>
      <c r="DF19" s="282"/>
      <c r="DG19" s="284">
        <f t="shared" si="38"/>
        <v>17317.143329999999</v>
      </c>
      <c r="DH19" s="284">
        <f t="shared" si="38"/>
        <v>16387.038929999999</v>
      </c>
      <c r="DI19" s="282">
        <f t="shared" si="39"/>
        <v>94.628996351905798</v>
      </c>
      <c r="DJ19" s="290">
        <f t="shared" si="40"/>
        <v>2264.94085</v>
      </c>
      <c r="DK19" s="290">
        <f t="shared" si="40"/>
        <v>2235.2028100000002</v>
      </c>
      <c r="DL19" s="282">
        <f t="shared" si="41"/>
        <v>98.687027963666267</v>
      </c>
      <c r="DM19" s="282">
        <f>Мос!C60</f>
        <v>2227.94085</v>
      </c>
      <c r="DN19" s="282">
        <f>Мос!D60</f>
        <v>2203.2028100000002</v>
      </c>
      <c r="DO19" s="282">
        <f t="shared" si="42"/>
        <v>98.889645566667554</v>
      </c>
      <c r="DP19" s="282">
        <f>Мос!C63</f>
        <v>32</v>
      </c>
      <c r="DQ19" s="282">
        <f>Мос!D63</f>
        <v>32</v>
      </c>
      <c r="DR19" s="282">
        <f t="shared" si="43"/>
        <v>100</v>
      </c>
      <c r="DS19" s="282">
        <f>Мос!C64</f>
        <v>5</v>
      </c>
      <c r="DT19" s="282">
        <f>Мос!D64</f>
        <v>0</v>
      </c>
      <c r="DU19" s="282">
        <f t="shared" si="44"/>
        <v>0</v>
      </c>
      <c r="DV19" s="282">
        <f>Мос!C65</f>
        <v>0</v>
      </c>
      <c r="DW19" s="282">
        <f>Мос!D65</f>
        <v>0</v>
      </c>
      <c r="DX19" s="282" t="e">
        <f t="shared" si="45"/>
        <v>#DIV/0!</v>
      </c>
      <c r="DY19" s="282">
        <f>Мос!C67</f>
        <v>198.36600000000001</v>
      </c>
      <c r="DZ19" s="282">
        <f>Мос!D67</f>
        <v>198.36600000000001</v>
      </c>
      <c r="EA19" s="282">
        <f t="shared" si="46"/>
        <v>100</v>
      </c>
      <c r="EB19" s="282">
        <f>Мос!C68</f>
        <v>2.4</v>
      </c>
      <c r="EC19" s="282">
        <f>Мос!D68</f>
        <v>2.4</v>
      </c>
      <c r="ED19" s="282">
        <f t="shared" si="47"/>
        <v>100</v>
      </c>
      <c r="EE19" s="290">
        <f>Мос!C74</f>
        <v>2283.4730199999999</v>
      </c>
      <c r="EF19" s="290">
        <f>Мос!D74</f>
        <v>2158.6456899999998</v>
      </c>
      <c r="EG19" s="282">
        <f t="shared" si="48"/>
        <v>94.533444060574013</v>
      </c>
      <c r="EH19" s="290">
        <f>Мос!C79</f>
        <v>11223.963459999999</v>
      </c>
      <c r="EI19" s="290">
        <f>Мос!D79</f>
        <v>10548.424429999999</v>
      </c>
      <c r="EJ19" s="282">
        <f t="shared" si="49"/>
        <v>93.981279140764414</v>
      </c>
      <c r="EK19" s="290">
        <f>Мос!C84</f>
        <v>1312</v>
      </c>
      <c r="EL19" s="294">
        <f>Мос!D84</f>
        <v>1212</v>
      </c>
      <c r="EM19" s="282">
        <f t="shared" si="11"/>
        <v>92.378048780487802</v>
      </c>
      <c r="EN19" s="282">
        <f>Мос!C92</f>
        <v>0</v>
      </c>
      <c r="EO19" s="282">
        <f>Мос!D92</f>
        <v>0</v>
      </c>
      <c r="EP19" s="282" t="e">
        <f t="shared" si="12"/>
        <v>#DIV/0!</v>
      </c>
      <c r="EQ19" s="295">
        <f>Мос!C94</f>
        <v>32</v>
      </c>
      <c r="ER19" s="295">
        <f>Мос!D94</f>
        <v>32</v>
      </c>
      <c r="ES19" s="282">
        <f t="shared" si="50"/>
        <v>100</v>
      </c>
      <c r="ET19" s="282">
        <f>Мос!C100</f>
        <v>0</v>
      </c>
      <c r="EU19" s="282">
        <f>Мос!D100</f>
        <v>0</v>
      </c>
      <c r="EV19" s="282" t="e">
        <f t="shared" si="53"/>
        <v>#DIV/0!</v>
      </c>
      <c r="EW19" s="305">
        <f t="shared" si="51"/>
        <v>0</v>
      </c>
      <c r="EX19" s="305">
        <f t="shared" si="52"/>
        <v>139.32750000000306</v>
      </c>
      <c r="EY19" s="282" t="e">
        <f t="shared" si="55"/>
        <v>#DIV/0!</v>
      </c>
      <c r="EZ19" s="233"/>
      <c r="FA19" s="234"/>
      <c r="FC19" s="234"/>
    </row>
    <row r="20" spans="1:170" s="150" customFormat="1" ht="24.75" customHeight="1">
      <c r="A20" s="317">
        <v>7</v>
      </c>
      <c r="B20" s="319" t="s">
        <v>279</v>
      </c>
      <c r="C20" s="273">
        <f t="shared" si="0"/>
        <v>20980.386699999999</v>
      </c>
      <c r="D20" s="274">
        <f t="shared" si="1"/>
        <v>13671.05305</v>
      </c>
      <c r="E20" s="282">
        <f t="shared" si="2"/>
        <v>65.161110924614178</v>
      </c>
      <c r="F20" s="276">
        <f t="shared" si="3"/>
        <v>2432.94</v>
      </c>
      <c r="G20" s="276">
        <f t="shared" si="4"/>
        <v>3053.9468600000005</v>
      </c>
      <c r="H20" s="282">
        <f t="shared" si="13"/>
        <v>125.52495581477557</v>
      </c>
      <c r="I20" s="297">
        <f>Ори!C6</f>
        <v>187.5</v>
      </c>
      <c r="J20" s="424">
        <f>Ори!D6</f>
        <v>247.44542000000001</v>
      </c>
      <c r="K20" s="282">
        <f t="shared" si="14"/>
        <v>131.97089066666666</v>
      </c>
      <c r="L20" s="282">
        <f>Ори!C8</f>
        <v>183.91</v>
      </c>
      <c r="M20" s="282">
        <f>Ори!D8</f>
        <v>215.95069000000001</v>
      </c>
      <c r="N20" s="275">
        <f t="shared" si="15"/>
        <v>117.42194007938667</v>
      </c>
      <c r="O20" s="275">
        <f>Ори!C9</f>
        <v>1.97</v>
      </c>
      <c r="P20" s="430">
        <f>Ори!D9</f>
        <v>1.54464</v>
      </c>
      <c r="Q20" s="275">
        <f t="shared" si="16"/>
        <v>78.408121827411165</v>
      </c>
      <c r="R20" s="275">
        <f>Ори!C10</f>
        <v>307.16000000000003</v>
      </c>
      <c r="S20" s="275">
        <f>Ори!D10</f>
        <v>290.51436000000001</v>
      </c>
      <c r="T20" s="275">
        <f t="shared" si="17"/>
        <v>94.580791769761689</v>
      </c>
      <c r="U20" s="275">
        <f>Ори!C11</f>
        <v>0</v>
      </c>
      <c r="V20" s="464">
        <f>Ори!D11</f>
        <v>-39.81147</v>
      </c>
      <c r="W20" s="275" t="e">
        <f t="shared" si="18"/>
        <v>#DIV/0!</v>
      </c>
      <c r="X20" s="290">
        <f>Ори!C13</f>
        <v>30</v>
      </c>
      <c r="Y20" s="290">
        <f>Ори!D13</f>
        <v>4.1540999999999997</v>
      </c>
      <c r="Z20" s="282">
        <f t="shared" si="19"/>
        <v>13.846999999999998</v>
      </c>
      <c r="AA20" s="290">
        <f>Ори!C15</f>
        <v>290</v>
      </c>
      <c r="AB20" s="281">
        <f>Ори!D15</f>
        <v>396.67943000000002</v>
      </c>
      <c r="AC20" s="282">
        <f t="shared" si="20"/>
        <v>136.78601034482762</v>
      </c>
      <c r="AD20" s="290">
        <f>Ори!C16</f>
        <v>1092</v>
      </c>
      <c r="AE20" s="290">
        <f>Ори!D16</f>
        <v>1536.1819700000001</v>
      </c>
      <c r="AF20" s="282">
        <f t="shared" si="5"/>
        <v>140.67600457875457</v>
      </c>
      <c r="AG20" s="282">
        <f>Ори!C18</f>
        <v>6</v>
      </c>
      <c r="AH20" s="282">
        <f>Ори!D18</f>
        <v>7.78</v>
      </c>
      <c r="AI20" s="282">
        <f t="shared" si="21"/>
        <v>129.66666666666666</v>
      </c>
      <c r="AJ20" s="282"/>
      <c r="AK20" s="282"/>
      <c r="AL20" s="282" t="e">
        <f t="shared" si="6"/>
        <v>#DIV/0!</v>
      </c>
      <c r="AM20" s="290">
        <v>0</v>
      </c>
      <c r="AN20" s="290">
        <v>0</v>
      </c>
      <c r="AO20" s="282" t="e">
        <f t="shared" si="7"/>
        <v>#DIV/0!</v>
      </c>
      <c r="AP20" s="290">
        <f>Ори!C27</f>
        <v>230.4</v>
      </c>
      <c r="AQ20" s="291">
        <f>Ори!D27</f>
        <v>250.34912</v>
      </c>
      <c r="AR20" s="282">
        <f t="shared" si="22"/>
        <v>108.65847222222223</v>
      </c>
      <c r="AS20" s="284">
        <f>Ори!C28</f>
        <v>54</v>
      </c>
      <c r="AT20" s="291">
        <f>Ори!D28</f>
        <v>58.5</v>
      </c>
      <c r="AU20" s="282">
        <f t="shared" si="23"/>
        <v>108.33333333333333</v>
      </c>
      <c r="AV20" s="290"/>
      <c r="AW20" s="290"/>
      <c r="AX20" s="282" t="e">
        <f t="shared" si="24"/>
        <v>#DIV/0!</v>
      </c>
      <c r="AY20" s="282">
        <f>Ори!C30</f>
        <v>50</v>
      </c>
      <c r="AZ20" s="285">
        <f>Ори!D30</f>
        <v>68.572720000000004</v>
      </c>
      <c r="BA20" s="282">
        <f t="shared" si="25"/>
        <v>137.14544000000001</v>
      </c>
      <c r="BB20" s="282"/>
      <c r="BC20" s="282"/>
      <c r="BD20" s="282"/>
      <c r="BE20" s="282">
        <f>Ори!C33</f>
        <v>0</v>
      </c>
      <c r="BF20" s="467">
        <f>Ори!D31</f>
        <v>7.68</v>
      </c>
      <c r="BG20" s="282" t="e">
        <f t="shared" si="26"/>
        <v>#DIV/0!</v>
      </c>
      <c r="BH20" s="282"/>
      <c r="BI20" s="282"/>
      <c r="BJ20" s="282" t="e">
        <f t="shared" si="27"/>
        <v>#DIV/0!</v>
      </c>
      <c r="BK20" s="282"/>
      <c r="BL20" s="282"/>
      <c r="BM20" s="282"/>
      <c r="BN20" s="282">
        <f>Ори!C35</f>
        <v>0</v>
      </c>
      <c r="BO20" s="282">
        <f>Ори!D34</f>
        <v>3.7558799999999999</v>
      </c>
      <c r="BP20" s="275" t="e">
        <f t="shared" si="28"/>
        <v>#DIV/0!</v>
      </c>
      <c r="BQ20" s="282">
        <f>Ори!C36</f>
        <v>0</v>
      </c>
      <c r="BR20" s="437">
        <f>Ори!D36</f>
        <v>4.6500000000000004</v>
      </c>
      <c r="BS20" s="282" t="e">
        <f t="shared" si="29"/>
        <v>#DIV/0!</v>
      </c>
      <c r="BT20" s="282"/>
      <c r="BU20" s="282"/>
      <c r="BV20" s="292" t="e">
        <f t="shared" si="30"/>
        <v>#DIV/0!</v>
      </c>
      <c r="BW20" s="292"/>
      <c r="BX20" s="292"/>
      <c r="BY20" s="292" t="e">
        <f t="shared" si="31"/>
        <v>#DIV/0!</v>
      </c>
      <c r="BZ20" s="280">
        <f t="shared" si="32"/>
        <v>18547.4467</v>
      </c>
      <c r="CA20" s="280">
        <f t="shared" si="33"/>
        <v>10617.10619</v>
      </c>
      <c r="CB20" s="282">
        <f t="shared" si="54"/>
        <v>57.242952961282811</v>
      </c>
      <c r="CC20" s="282">
        <f>Ори!C41</f>
        <v>1597</v>
      </c>
      <c r="CD20" s="282">
        <f>Ори!D41</f>
        <v>1597</v>
      </c>
      <c r="CE20" s="282">
        <f t="shared" si="34"/>
        <v>100</v>
      </c>
      <c r="CF20" s="282">
        <f>Ори!C42</f>
        <v>1011.6</v>
      </c>
      <c r="CG20" s="282">
        <f>Ори!D42</f>
        <v>1011.6</v>
      </c>
      <c r="CH20" s="282">
        <f t="shared" si="35"/>
        <v>100</v>
      </c>
      <c r="CI20" s="282">
        <f>Ори!C43</f>
        <v>12912.771210000001</v>
      </c>
      <c r="CJ20" s="282">
        <f>Ори!D43</f>
        <v>5221.2978000000003</v>
      </c>
      <c r="CK20" s="282">
        <f t="shared" si="8"/>
        <v>40.435145292100316</v>
      </c>
      <c r="CL20" s="282">
        <f>Ори!C45</f>
        <v>198.36600000000001</v>
      </c>
      <c r="CM20" s="282">
        <f>Ори!D45</f>
        <v>198.36600000000001</v>
      </c>
      <c r="CN20" s="282">
        <f t="shared" si="9"/>
        <v>100</v>
      </c>
      <c r="CO20" s="448">
        <f>Ори!C46</f>
        <v>2474.0160000000001</v>
      </c>
      <c r="CP20" s="282">
        <f>Ори!D46</f>
        <v>2235.1489000000001</v>
      </c>
      <c r="CQ20" s="275">
        <f t="shared" si="36"/>
        <v>90.344965432721537</v>
      </c>
      <c r="CR20" s="293">
        <f>Ори!C47</f>
        <v>353.69349</v>
      </c>
      <c r="CS20" s="282">
        <f>Ори!D47</f>
        <v>353.69349</v>
      </c>
      <c r="CT20" s="282">
        <f t="shared" si="10"/>
        <v>100</v>
      </c>
      <c r="CU20" s="282"/>
      <c r="CV20" s="282"/>
      <c r="CW20" s="282"/>
      <c r="CX20" s="290"/>
      <c r="CY20" s="290"/>
      <c r="CZ20" s="282" t="e">
        <f t="shared" si="37"/>
        <v>#DIV/0!</v>
      </c>
      <c r="DA20" s="282"/>
      <c r="DB20" s="282"/>
      <c r="DC20" s="282"/>
      <c r="DD20" s="282"/>
      <c r="DE20" s="282"/>
      <c r="DF20" s="282"/>
      <c r="DG20" s="284">
        <f t="shared" si="38"/>
        <v>21183.133319999994</v>
      </c>
      <c r="DH20" s="284">
        <f t="shared" si="38"/>
        <v>12982.724650000002</v>
      </c>
      <c r="DI20" s="282">
        <f t="shared" si="39"/>
        <v>61.288027856305845</v>
      </c>
      <c r="DJ20" s="290">
        <f t="shared" si="40"/>
        <v>2395.8979999999997</v>
      </c>
      <c r="DK20" s="290">
        <f t="shared" si="40"/>
        <v>2132.1031800000001</v>
      </c>
      <c r="DL20" s="282">
        <f t="shared" si="41"/>
        <v>88.989730781527442</v>
      </c>
      <c r="DM20" s="282">
        <f>Ори!C58</f>
        <v>2319.9029999999998</v>
      </c>
      <c r="DN20" s="282">
        <f>Ори!D58</f>
        <v>2064.1031800000001</v>
      </c>
      <c r="DO20" s="282">
        <f t="shared" si="42"/>
        <v>88.973684675609292</v>
      </c>
      <c r="DP20" s="282">
        <f>Ори!C61</f>
        <v>42</v>
      </c>
      <c r="DQ20" s="282">
        <f>Ори!D61</f>
        <v>42</v>
      </c>
      <c r="DR20" s="282">
        <f t="shared" si="43"/>
        <v>100</v>
      </c>
      <c r="DS20" s="282">
        <f>Ори!C62</f>
        <v>5</v>
      </c>
      <c r="DT20" s="282">
        <f>Ори!D62</f>
        <v>0</v>
      </c>
      <c r="DU20" s="282">
        <f t="shared" si="44"/>
        <v>0</v>
      </c>
      <c r="DV20" s="282">
        <f>Ори!C63</f>
        <v>28.995000000000001</v>
      </c>
      <c r="DW20" s="282">
        <f>Ори!D63</f>
        <v>26</v>
      </c>
      <c r="DX20" s="282">
        <f t="shared" si="45"/>
        <v>89.670632867735804</v>
      </c>
      <c r="DY20" s="282">
        <f>Ори!C65</f>
        <v>198.36600000000001</v>
      </c>
      <c r="DZ20" s="282">
        <f>Ори!D65</f>
        <v>198.36600000000001</v>
      </c>
      <c r="EA20" s="282">
        <f t="shared" si="46"/>
        <v>100</v>
      </c>
      <c r="EB20" s="282">
        <f>Ори!C66</f>
        <v>10.870000000000001</v>
      </c>
      <c r="EC20" s="282">
        <f>Ори!D66</f>
        <v>10.8696</v>
      </c>
      <c r="ED20" s="282">
        <f t="shared" si="47"/>
        <v>99.996320147194112</v>
      </c>
      <c r="EE20" s="290">
        <f>Ори!C72</f>
        <v>2672.2930299999998</v>
      </c>
      <c r="EF20" s="290">
        <f>Ори!D72</f>
        <v>2558.52468</v>
      </c>
      <c r="EG20" s="282">
        <f t="shared" si="48"/>
        <v>95.742669358382457</v>
      </c>
      <c r="EH20" s="290">
        <f>Ори!C77</f>
        <v>12880.791299999999</v>
      </c>
      <c r="EI20" s="290">
        <f>Ори!D77</f>
        <v>5057.9464800000005</v>
      </c>
      <c r="EJ20" s="282">
        <f t="shared" si="49"/>
        <v>39.267358364854502</v>
      </c>
      <c r="EK20" s="290">
        <f>Ори!C82</f>
        <v>3021.88499</v>
      </c>
      <c r="EL20" s="294">
        <f>Ори!D82</f>
        <v>3021.8847099999998</v>
      </c>
      <c r="EM20" s="282">
        <f t="shared" si="11"/>
        <v>99.999990734260209</v>
      </c>
      <c r="EN20" s="282">
        <f>Ори!C84</f>
        <v>0</v>
      </c>
      <c r="EO20" s="282">
        <f>Ори!D84</f>
        <v>0</v>
      </c>
      <c r="EP20" s="282" t="e">
        <f t="shared" si="12"/>
        <v>#DIV/0!</v>
      </c>
      <c r="EQ20" s="295">
        <f>Ори!C89</f>
        <v>3.03</v>
      </c>
      <c r="ER20" s="295">
        <f>Ори!D89</f>
        <v>3.03</v>
      </c>
      <c r="ES20" s="282">
        <f t="shared" si="50"/>
        <v>100</v>
      </c>
      <c r="ET20" s="282">
        <f>Ори!C95</f>
        <v>0</v>
      </c>
      <c r="EU20" s="282">
        <f>Ори!D95</f>
        <v>0</v>
      </c>
      <c r="EV20" s="275" t="e">
        <f t="shared" si="53"/>
        <v>#DIV/0!</v>
      </c>
      <c r="EW20" s="289">
        <f>SUM(C20-DG20)</f>
        <v>-202.74661999999444</v>
      </c>
      <c r="EX20" s="289">
        <f t="shared" si="52"/>
        <v>688.32839999999851</v>
      </c>
      <c r="EY20" s="275">
        <f t="shared" si="55"/>
        <v>-339.50178799529056</v>
      </c>
      <c r="EZ20" s="152"/>
      <c r="FA20" s="153"/>
      <c r="FC20" s="153"/>
      <c r="FF20" s="155"/>
      <c r="FG20" s="155"/>
      <c r="FH20" s="155"/>
      <c r="FI20" s="155"/>
      <c r="FJ20" s="155"/>
      <c r="FK20" s="155"/>
      <c r="FL20" s="155"/>
      <c r="FM20" s="155"/>
      <c r="FN20" s="155"/>
    </row>
    <row r="21" spans="1:170" s="150" customFormat="1" ht="24.75" customHeight="1">
      <c r="A21" s="317">
        <v>8</v>
      </c>
      <c r="B21" s="319" t="s">
        <v>280</v>
      </c>
      <c r="C21" s="273">
        <f t="shared" si="0"/>
        <v>15504.676819999997</v>
      </c>
      <c r="D21" s="274">
        <f t="shared" si="1"/>
        <v>11121.43367</v>
      </c>
      <c r="E21" s="282">
        <f t="shared" si="2"/>
        <v>71.729541989898777</v>
      </c>
      <c r="F21" s="276">
        <f t="shared" si="3"/>
        <v>2678.6930000000002</v>
      </c>
      <c r="G21" s="276">
        <f t="shared" si="4"/>
        <v>2321.9073400000002</v>
      </c>
      <c r="H21" s="282">
        <f t="shared" si="13"/>
        <v>86.680606549537416</v>
      </c>
      <c r="I21" s="290">
        <f>Сят!C6</f>
        <v>137.6</v>
      </c>
      <c r="J21" s="425">
        <f>Сят!D6</f>
        <v>143.65744000000001</v>
      </c>
      <c r="K21" s="282">
        <f t="shared" si="14"/>
        <v>104.4022093023256</v>
      </c>
      <c r="L21" s="282">
        <f>Сят!C8</f>
        <v>227.51</v>
      </c>
      <c r="M21" s="282">
        <f>Сят!D8</f>
        <v>267.15550000000002</v>
      </c>
      <c r="N21" s="275">
        <f t="shared" si="15"/>
        <v>117.42582743615667</v>
      </c>
      <c r="O21" s="275">
        <f>Сят!C9</f>
        <v>2.44</v>
      </c>
      <c r="P21" s="430">
        <f>Сят!D9</f>
        <v>1.91089</v>
      </c>
      <c r="Q21" s="275">
        <f t="shared" si="16"/>
        <v>78.315163934426238</v>
      </c>
      <c r="R21" s="275">
        <f>Сят!C10</f>
        <v>379.99</v>
      </c>
      <c r="S21" s="275">
        <f>Сят!D10</f>
        <v>359.39922000000001</v>
      </c>
      <c r="T21" s="275">
        <f t="shared" si="17"/>
        <v>94.581231085028548</v>
      </c>
      <c r="U21" s="275">
        <f>Сят!C11</f>
        <v>0</v>
      </c>
      <c r="V21" s="464">
        <f>Сят!D11</f>
        <v>-49.251300000000001</v>
      </c>
      <c r="W21" s="275" t="e">
        <f t="shared" si="18"/>
        <v>#DIV/0!</v>
      </c>
      <c r="X21" s="290">
        <f>Сят!C13</f>
        <v>50</v>
      </c>
      <c r="Y21" s="290">
        <f>Сят!D13</f>
        <v>95.045310000000001</v>
      </c>
      <c r="Z21" s="282">
        <f t="shared" si="19"/>
        <v>190.09062</v>
      </c>
      <c r="AA21" s="290">
        <f>Сят!C15</f>
        <v>150</v>
      </c>
      <c r="AB21" s="281">
        <f>Сят!D15</f>
        <v>180.79871</v>
      </c>
      <c r="AC21" s="282">
        <f t="shared" si="20"/>
        <v>120.53247333333333</v>
      </c>
      <c r="AD21" s="290">
        <f>Сят!C16</f>
        <v>1275</v>
      </c>
      <c r="AE21" s="290">
        <f>Сят!D16</f>
        <v>1000.25318</v>
      </c>
      <c r="AF21" s="282">
        <f t="shared" si="5"/>
        <v>78.451229803921578</v>
      </c>
      <c r="AG21" s="282">
        <f>Сят!C18</f>
        <v>4</v>
      </c>
      <c r="AH21" s="282">
        <f>Сят!D18</f>
        <v>4.8</v>
      </c>
      <c r="AI21" s="282">
        <f t="shared" si="21"/>
        <v>120</v>
      </c>
      <c r="AJ21" s="282">
        <f>Сят!C22</f>
        <v>0</v>
      </c>
      <c r="AK21" s="282">
        <f>Сят!D20</f>
        <v>0</v>
      </c>
      <c r="AL21" s="282" t="e">
        <f t="shared" si="6"/>
        <v>#DIV/0!</v>
      </c>
      <c r="AM21" s="290">
        <v>0</v>
      </c>
      <c r="AN21" s="290">
        <v>0</v>
      </c>
      <c r="AO21" s="282" t="e">
        <f t="shared" si="7"/>
        <v>#DIV/0!</v>
      </c>
      <c r="AP21" s="290">
        <f>Сят!C27</f>
        <v>445.45299999999997</v>
      </c>
      <c r="AQ21" s="291">
        <f>Сят!D27</f>
        <v>217.27</v>
      </c>
      <c r="AR21" s="282">
        <f t="shared" si="22"/>
        <v>48.775067178804505</v>
      </c>
      <c r="AS21" s="284">
        <f>Сят!C28</f>
        <v>6.7</v>
      </c>
      <c r="AT21" s="291">
        <f>Сят!D28</f>
        <v>6.7737600000000002</v>
      </c>
      <c r="AU21" s="282">
        <f t="shared" si="23"/>
        <v>101.10089552238806</v>
      </c>
      <c r="AV21" s="290"/>
      <c r="AW21" s="290"/>
      <c r="AX21" s="282" t="e">
        <f t="shared" si="24"/>
        <v>#DIV/0!</v>
      </c>
      <c r="AY21" s="282">
        <f>Сят!C30</f>
        <v>0</v>
      </c>
      <c r="AZ21" s="285">
        <f>Сят!D30</f>
        <v>2.9402900000000001</v>
      </c>
      <c r="BA21" s="282" t="e">
        <f t="shared" si="25"/>
        <v>#DIV/0!</v>
      </c>
      <c r="BB21" s="282"/>
      <c r="BC21" s="282"/>
      <c r="BD21" s="282"/>
      <c r="BE21" s="282">
        <f>Сят!C33</f>
        <v>0</v>
      </c>
      <c r="BF21" s="467">
        <f>Сят!D31</f>
        <v>4.1894999999999998</v>
      </c>
      <c r="BG21" s="282" t="e">
        <f t="shared" si="26"/>
        <v>#DIV/0!</v>
      </c>
      <c r="BH21" s="282"/>
      <c r="BI21" s="282"/>
      <c r="BJ21" s="282" t="e">
        <f t="shared" si="27"/>
        <v>#DIV/0!</v>
      </c>
      <c r="BK21" s="282"/>
      <c r="BL21" s="282"/>
      <c r="BM21" s="282"/>
      <c r="BN21" s="282">
        <f>Сят!C34</f>
        <v>0</v>
      </c>
      <c r="BO21" s="282">
        <f>Сят!D34</f>
        <v>86.964839999999995</v>
      </c>
      <c r="BP21" s="275" t="e">
        <f t="shared" si="28"/>
        <v>#DIV/0!</v>
      </c>
      <c r="BQ21" s="282">
        <f>Сят!C36</f>
        <v>0</v>
      </c>
      <c r="BR21" s="437">
        <f>Сят!D36</f>
        <v>0</v>
      </c>
      <c r="BS21" s="282" t="e">
        <f t="shared" si="29"/>
        <v>#DIV/0!</v>
      </c>
      <c r="BT21" s="282"/>
      <c r="BU21" s="282"/>
      <c r="BV21" s="292" t="e">
        <f t="shared" si="30"/>
        <v>#DIV/0!</v>
      </c>
      <c r="BW21" s="292"/>
      <c r="BX21" s="292"/>
      <c r="BY21" s="292" t="e">
        <f t="shared" si="31"/>
        <v>#DIV/0!</v>
      </c>
      <c r="BZ21" s="280">
        <f t="shared" si="32"/>
        <v>12825.983819999998</v>
      </c>
      <c r="CA21" s="280">
        <f t="shared" si="33"/>
        <v>8799.5263300000006</v>
      </c>
      <c r="CB21" s="282">
        <f t="shared" si="54"/>
        <v>68.607028150765288</v>
      </c>
      <c r="CC21" s="282">
        <f>Сят!C41</f>
        <v>3036.7</v>
      </c>
      <c r="CD21" s="282">
        <f>Сят!D41</f>
        <v>3036.7</v>
      </c>
      <c r="CE21" s="282">
        <f t="shared" si="34"/>
        <v>100</v>
      </c>
      <c r="CF21" s="282">
        <f>Сят!C42</f>
        <v>70</v>
      </c>
      <c r="CG21" s="282">
        <f>Сят!D42</f>
        <v>70</v>
      </c>
      <c r="CH21" s="282">
        <f t="shared" si="35"/>
        <v>100</v>
      </c>
      <c r="CI21" s="282">
        <f>Сят!C43</f>
        <v>7561.0952500000003</v>
      </c>
      <c r="CJ21" s="282">
        <f>Сят!D43</f>
        <v>3561.9570800000001</v>
      </c>
      <c r="CK21" s="282">
        <f t="shared" si="8"/>
        <v>47.109009504939117</v>
      </c>
      <c r="CL21" s="282">
        <f>Сят!C44</f>
        <v>198.36600000000001</v>
      </c>
      <c r="CM21" s="282">
        <f>Сят!D44</f>
        <v>198.36600000000001</v>
      </c>
      <c r="CN21" s="282">
        <f t="shared" si="9"/>
        <v>100</v>
      </c>
      <c r="CO21" s="448">
        <f>Сят!C48</f>
        <v>1499.2719999999999</v>
      </c>
      <c r="CP21" s="282">
        <f>Сят!D48</f>
        <v>1499.2719999999999</v>
      </c>
      <c r="CQ21" s="275">
        <f t="shared" si="36"/>
        <v>100</v>
      </c>
      <c r="CR21" s="293">
        <f>Сят!C49</f>
        <v>460.55056999999999</v>
      </c>
      <c r="CS21" s="282">
        <f>Сят!D49</f>
        <v>433.23124999999999</v>
      </c>
      <c r="CT21" s="282">
        <f t="shared" si="10"/>
        <v>94.068117210233822</v>
      </c>
      <c r="CU21" s="282"/>
      <c r="CV21" s="282">
        <f>Сят!D50</f>
        <v>0</v>
      </c>
      <c r="CW21" s="282"/>
      <c r="CX21" s="290"/>
      <c r="CY21" s="290"/>
      <c r="CZ21" s="282" t="e">
        <f t="shared" si="37"/>
        <v>#DIV/0!</v>
      </c>
      <c r="DA21" s="282"/>
      <c r="DB21" s="282"/>
      <c r="DC21" s="282"/>
      <c r="DD21" s="282"/>
      <c r="DE21" s="282"/>
      <c r="DF21" s="282"/>
      <c r="DG21" s="284">
        <f t="shared" si="38"/>
        <v>16014.18333</v>
      </c>
      <c r="DH21" s="284">
        <f t="shared" si="38"/>
        <v>11583.97874</v>
      </c>
      <c r="DI21" s="282">
        <f t="shared" si="39"/>
        <v>72.33574451654539</v>
      </c>
      <c r="DJ21" s="290">
        <f t="shared" si="40"/>
        <v>1519.001</v>
      </c>
      <c r="DK21" s="290">
        <f>Сят!D56</f>
        <v>1491.7077999999999</v>
      </c>
      <c r="DL21" s="282">
        <f t="shared" si="41"/>
        <v>98.203213822769044</v>
      </c>
      <c r="DM21" s="282">
        <f>Сят!C58</f>
        <v>1396.2</v>
      </c>
      <c r="DN21" s="282">
        <f>Сят!D58</f>
        <v>1377.4078</v>
      </c>
      <c r="DO21" s="282">
        <f t="shared" si="42"/>
        <v>98.654046698180778</v>
      </c>
      <c r="DP21" s="282">
        <f>Сят!C61</f>
        <v>42</v>
      </c>
      <c r="DQ21" s="282">
        <f>Сят!D61</f>
        <v>42</v>
      </c>
      <c r="DR21" s="282">
        <f t="shared" si="43"/>
        <v>100</v>
      </c>
      <c r="DS21" s="282">
        <f>Сят!C62</f>
        <v>5</v>
      </c>
      <c r="DT21" s="282">
        <f>Сят!D62</f>
        <v>0</v>
      </c>
      <c r="DU21" s="282">
        <f t="shared" si="44"/>
        <v>0</v>
      </c>
      <c r="DV21" s="282">
        <f>Сят!C63</f>
        <v>75.801000000000002</v>
      </c>
      <c r="DW21" s="282">
        <f>Сят!D63</f>
        <v>72.3</v>
      </c>
      <c r="DX21" s="282">
        <f t="shared" si="45"/>
        <v>95.381327423121064</v>
      </c>
      <c r="DY21" s="282">
        <f>Сят!C65</f>
        <v>198.36600000000001</v>
      </c>
      <c r="DZ21" s="282">
        <f>Сят!D65</f>
        <v>198.36600000000001</v>
      </c>
      <c r="EA21" s="282">
        <f t="shared" si="46"/>
        <v>100</v>
      </c>
      <c r="EB21" s="282">
        <f>Сят!C66</f>
        <v>7</v>
      </c>
      <c r="EC21" s="282">
        <f>Сят!D66</f>
        <v>5.7846000000000002</v>
      </c>
      <c r="ED21" s="282">
        <f t="shared" si="47"/>
        <v>82.637142857142862</v>
      </c>
      <c r="EE21" s="290">
        <f>Сят!C72</f>
        <v>6972.5247099999997</v>
      </c>
      <c r="EF21" s="290">
        <f>Сят!D72</f>
        <v>5532.4755400000004</v>
      </c>
      <c r="EG21" s="282">
        <f t="shared" si="48"/>
        <v>79.346804351447048</v>
      </c>
      <c r="EH21" s="290">
        <f>Сят!C77</f>
        <v>5179.5246200000001</v>
      </c>
      <c r="EI21" s="290">
        <f>Сят!D77</f>
        <v>2320.8778000000002</v>
      </c>
      <c r="EJ21" s="282">
        <f t="shared" si="49"/>
        <v>44.808702926872087</v>
      </c>
      <c r="EK21" s="290">
        <f>Сят!C81</f>
        <v>2135.6</v>
      </c>
      <c r="EL21" s="294">
        <f>Сят!D81</f>
        <v>2032.6</v>
      </c>
      <c r="EM21" s="282">
        <f t="shared" si="11"/>
        <v>95.176999438097027</v>
      </c>
      <c r="EN21" s="282">
        <f>Сят!C83</f>
        <v>0</v>
      </c>
      <c r="EO21" s="282">
        <f>Сят!D83</f>
        <v>0</v>
      </c>
      <c r="EP21" s="282" t="e">
        <f t="shared" si="12"/>
        <v>#DIV/0!</v>
      </c>
      <c r="EQ21" s="295">
        <f>Сят!C88</f>
        <v>2.1669999999999998</v>
      </c>
      <c r="ER21" s="295">
        <f>Сят!D88</f>
        <v>2.1669999999999998</v>
      </c>
      <c r="ES21" s="282">
        <f t="shared" si="50"/>
        <v>100</v>
      </c>
      <c r="ET21" s="282">
        <f>Сят!C94</f>
        <v>0</v>
      </c>
      <c r="EU21" s="282">
        <f>Сят!D94</f>
        <v>0</v>
      </c>
      <c r="EV21" s="275" t="e">
        <f t="shared" si="53"/>
        <v>#DIV/0!</v>
      </c>
      <c r="EW21" s="289">
        <f>SUM(C21-DG21)</f>
        <v>-509.50651000000289</v>
      </c>
      <c r="EX21" s="289">
        <f t="shared" si="52"/>
        <v>-462.54507000000012</v>
      </c>
      <c r="EY21" s="275">
        <f t="shared" si="55"/>
        <v>90.782955844862016</v>
      </c>
      <c r="EZ21" s="152"/>
      <c r="FA21" s="153"/>
      <c r="FB21" s="155"/>
      <c r="FC21" s="153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</row>
    <row r="22" spans="1:170" s="162" customFormat="1" ht="22.5" customHeight="1">
      <c r="A22" s="320">
        <v>9</v>
      </c>
      <c r="B22" s="321" t="s">
        <v>281</v>
      </c>
      <c r="C22" s="298">
        <f t="shared" si="0"/>
        <v>8617.6176100000012</v>
      </c>
      <c r="D22" s="299">
        <f t="shared" si="1"/>
        <v>8648.0182300000015</v>
      </c>
      <c r="E22" s="285">
        <f t="shared" si="2"/>
        <v>100.35277290517884</v>
      </c>
      <c r="F22" s="276">
        <f t="shared" si="3"/>
        <v>2359</v>
      </c>
      <c r="G22" s="300">
        <f t="shared" si="4"/>
        <v>2434.4002300000002</v>
      </c>
      <c r="H22" s="285">
        <f t="shared" si="13"/>
        <v>103.19627935565919</v>
      </c>
      <c r="I22" s="284">
        <f>Тор!C6</f>
        <v>117.6</v>
      </c>
      <c r="J22" s="425">
        <f>Тор!D6</f>
        <v>125.66625000000001</v>
      </c>
      <c r="K22" s="285">
        <f t="shared" si="14"/>
        <v>106.85905612244899</v>
      </c>
      <c r="L22" s="285">
        <f>Тор!C8</f>
        <v>315.67</v>
      </c>
      <c r="M22" s="285">
        <f>Тор!D8</f>
        <v>370.67824000000002</v>
      </c>
      <c r="N22" s="285">
        <f t="shared" si="15"/>
        <v>117.42586878702443</v>
      </c>
      <c r="O22" s="285">
        <f>Тор!C9</f>
        <v>3.39</v>
      </c>
      <c r="P22" s="468">
        <f>Тор!D9</f>
        <v>2.6513599999999999</v>
      </c>
      <c r="Q22" s="285">
        <f t="shared" si="16"/>
        <v>78.21120943952802</v>
      </c>
      <c r="R22" s="285">
        <f>Тор!C10</f>
        <v>527.24</v>
      </c>
      <c r="S22" s="285">
        <f>Тор!D10</f>
        <v>498.66640999999998</v>
      </c>
      <c r="T22" s="285">
        <f t="shared" si="17"/>
        <v>94.58053448145057</v>
      </c>
      <c r="U22" s="285">
        <f>Тор!C11</f>
        <v>0</v>
      </c>
      <c r="V22" s="465">
        <f>Тор!D11</f>
        <v>-68.336190000000002</v>
      </c>
      <c r="W22" s="285" t="e">
        <f t="shared" si="18"/>
        <v>#DIV/0!</v>
      </c>
      <c r="X22" s="284">
        <f>Тор!C13</f>
        <v>30</v>
      </c>
      <c r="Y22" s="284">
        <f>Тор!D13</f>
        <v>67.978340000000003</v>
      </c>
      <c r="Z22" s="285">
        <f t="shared" si="19"/>
        <v>226.5944666666667</v>
      </c>
      <c r="AA22" s="284">
        <f>Тор!C15</f>
        <v>250</v>
      </c>
      <c r="AB22" s="281">
        <f>Тор!D15</f>
        <v>81.477890000000002</v>
      </c>
      <c r="AC22" s="285">
        <f t="shared" si="20"/>
        <v>32.591155999999998</v>
      </c>
      <c r="AD22" s="284">
        <f>Тор!C16</f>
        <v>388</v>
      </c>
      <c r="AE22" s="284">
        <f>Тор!D16</f>
        <v>403.98336999999998</v>
      </c>
      <c r="AF22" s="285">
        <f t="shared" si="5"/>
        <v>104.11942525773195</v>
      </c>
      <c r="AG22" s="285">
        <f>Тор!C18</f>
        <v>8</v>
      </c>
      <c r="AH22" s="285">
        <f>Тор!D18</f>
        <v>5.6</v>
      </c>
      <c r="AI22" s="285">
        <f t="shared" si="21"/>
        <v>70</v>
      </c>
      <c r="AJ22" s="285"/>
      <c r="AK22" s="285">
        <f>Тор!D20</f>
        <v>0</v>
      </c>
      <c r="AL22" s="285" t="e">
        <f t="shared" si="6"/>
        <v>#DIV/0!</v>
      </c>
      <c r="AM22" s="284">
        <v>0</v>
      </c>
      <c r="AN22" s="284">
        <v>0</v>
      </c>
      <c r="AO22" s="285" t="e">
        <f t="shared" si="7"/>
        <v>#DIV/0!</v>
      </c>
      <c r="AP22" s="284">
        <f>Тор!C27</f>
        <v>592.1</v>
      </c>
      <c r="AQ22" s="281">
        <f>Тор!D27</f>
        <v>767.15481999999997</v>
      </c>
      <c r="AR22" s="285">
        <f t="shared" si="22"/>
        <v>129.56507684512749</v>
      </c>
      <c r="AS22" s="284">
        <f>Тор!C28</f>
        <v>77</v>
      </c>
      <c r="AT22" s="281">
        <f>Тор!D28</f>
        <v>77.039019999999994</v>
      </c>
      <c r="AU22" s="285">
        <f t="shared" si="23"/>
        <v>100.05067532467531</v>
      </c>
      <c r="AV22" s="284"/>
      <c r="AW22" s="284"/>
      <c r="AX22" s="285" t="e">
        <f t="shared" si="24"/>
        <v>#DIV/0!</v>
      </c>
      <c r="AY22" s="285">
        <f>Тор!C29</f>
        <v>50</v>
      </c>
      <c r="AZ22" s="285">
        <f>Тор!D29</f>
        <v>45.147090000000006</v>
      </c>
      <c r="BA22" s="285">
        <f t="shared" si="25"/>
        <v>90.294180000000011</v>
      </c>
      <c r="BB22" s="285"/>
      <c r="BC22" s="285"/>
      <c r="BD22" s="285"/>
      <c r="BE22" s="285">
        <f>Тор!C34+Тор!C33</f>
        <v>0</v>
      </c>
      <c r="BF22" s="468">
        <f>Тор!D32</f>
        <v>0</v>
      </c>
      <c r="BG22" s="285" t="e">
        <f t="shared" si="26"/>
        <v>#DIV/0!</v>
      </c>
      <c r="BH22" s="285"/>
      <c r="BI22" s="285"/>
      <c r="BJ22" s="285" t="e">
        <f t="shared" si="27"/>
        <v>#DIV/0!</v>
      </c>
      <c r="BK22" s="285"/>
      <c r="BL22" s="285"/>
      <c r="BM22" s="285"/>
      <c r="BN22" s="285">
        <f>Тор!C35</f>
        <v>0</v>
      </c>
      <c r="BO22" s="285">
        <f>Тор!D35</f>
        <v>56.693629999999999</v>
      </c>
      <c r="BP22" s="275" t="e">
        <f t="shared" si="28"/>
        <v>#DIV/0!</v>
      </c>
      <c r="BQ22" s="285">
        <f>Тор!C37</f>
        <v>0</v>
      </c>
      <c r="BR22" s="438">
        <f>Тор!D37</f>
        <v>0</v>
      </c>
      <c r="BS22" s="285" t="e">
        <f t="shared" si="29"/>
        <v>#DIV/0!</v>
      </c>
      <c r="BT22" s="285"/>
      <c r="BU22" s="285"/>
      <c r="BV22" s="302" t="e">
        <f t="shared" si="30"/>
        <v>#DIV/0!</v>
      </c>
      <c r="BW22" s="302"/>
      <c r="BX22" s="302"/>
      <c r="BY22" s="302" t="e">
        <f t="shared" si="31"/>
        <v>#DIV/0!</v>
      </c>
      <c r="BZ22" s="284">
        <f t="shared" si="32"/>
        <v>6258.6176100000002</v>
      </c>
      <c r="CA22" s="280">
        <f t="shared" si="33"/>
        <v>6213.6180000000004</v>
      </c>
      <c r="CB22" s="285">
        <f t="shared" si="54"/>
        <v>99.280997613145445</v>
      </c>
      <c r="CC22" s="285">
        <f>Тор!C42</f>
        <v>1079.5</v>
      </c>
      <c r="CD22" s="285">
        <f>Тор!D42</f>
        <v>1079.5</v>
      </c>
      <c r="CE22" s="285">
        <f t="shared" si="34"/>
        <v>100</v>
      </c>
      <c r="CF22" s="285">
        <f>Тор!C43</f>
        <v>580</v>
      </c>
      <c r="CG22" s="285">
        <f>Тор!D43</f>
        <v>580</v>
      </c>
      <c r="CH22" s="285">
        <f t="shared" si="35"/>
        <v>100</v>
      </c>
      <c r="CI22" s="285">
        <f>Тор!C44</f>
        <v>3087.7260000000001</v>
      </c>
      <c r="CJ22" s="285">
        <f>Тор!D44</f>
        <v>3087.7260000000001</v>
      </c>
      <c r="CK22" s="285">
        <f t="shared" si="8"/>
        <v>100</v>
      </c>
      <c r="CL22" s="285">
        <f>Тор!C45</f>
        <v>198.36600000000001</v>
      </c>
      <c r="CM22" s="285">
        <f>Тор!D45</f>
        <v>198.36600000000001</v>
      </c>
      <c r="CN22" s="285">
        <f t="shared" si="9"/>
        <v>100</v>
      </c>
      <c r="CO22" s="449">
        <f>Тор!C46</f>
        <v>1145</v>
      </c>
      <c r="CP22" s="285">
        <f>Тор!D46</f>
        <v>1100</v>
      </c>
      <c r="CQ22" s="275">
        <f t="shared" si="36"/>
        <v>96.069868995633186</v>
      </c>
      <c r="CR22" s="301">
        <f>Тор!C48</f>
        <v>168.02561</v>
      </c>
      <c r="CS22" s="285">
        <f>Тор!D48</f>
        <v>168.02600000000001</v>
      </c>
      <c r="CT22" s="285">
        <f t="shared" si="10"/>
        <v>100.00023210747457</v>
      </c>
      <c r="CU22" s="285"/>
      <c r="CV22" s="285">
        <f>Тор!D49</f>
        <v>0</v>
      </c>
      <c r="CW22" s="285"/>
      <c r="CX22" s="284"/>
      <c r="CY22" s="284"/>
      <c r="CZ22" s="285" t="e">
        <f t="shared" si="37"/>
        <v>#DIV/0!</v>
      </c>
      <c r="DA22" s="285"/>
      <c r="DB22" s="285"/>
      <c r="DC22" s="285"/>
      <c r="DD22" s="285"/>
      <c r="DE22" s="285"/>
      <c r="DF22" s="285"/>
      <c r="DG22" s="284">
        <f t="shared" si="38"/>
        <v>9359.8300500000005</v>
      </c>
      <c r="DH22" s="284">
        <f t="shared" si="38"/>
        <v>8824.0720700000002</v>
      </c>
      <c r="DI22" s="285">
        <f t="shared" si="39"/>
        <v>94.275986026049679</v>
      </c>
      <c r="DJ22" s="284">
        <f t="shared" si="40"/>
        <v>1182.0170000000001</v>
      </c>
      <c r="DK22" s="284">
        <f t="shared" si="40"/>
        <v>1118.4542200000001</v>
      </c>
      <c r="DL22" s="285">
        <f t="shared" si="41"/>
        <v>94.62251558141719</v>
      </c>
      <c r="DM22" s="285">
        <f>Тор!C58</f>
        <v>1145.7</v>
      </c>
      <c r="DN22" s="285">
        <f>Тор!D58</f>
        <v>1089.4542200000001</v>
      </c>
      <c r="DO22" s="285">
        <f t="shared" si="42"/>
        <v>95.09070611853015</v>
      </c>
      <c r="DP22" s="285">
        <f>Тор!C61</f>
        <v>28</v>
      </c>
      <c r="DQ22" s="285">
        <f>Тор!D61</f>
        <v>28</v>
      </c>
      <c r="DR22" s="285">
        <f t="shared" si="43"/>
        <v>100</v>
      </c>
      <c r="DS22" s="285">
        <f>Тор!C62</f>
        <v>5</v>
      </c>
      <c r="DT22" s="285">
        <f>Тор!D62</f>
        <v>0</v>
      </c>
      <c r="DU22" s="285">
        <f t="shared" si="44"/>
        <v>0</v>
      </c>
      <c r="DV22" s="285">
        <f>Тор!C63</f>
        <v>3.3170000000000002</v>
      </c>
      <c r="DW22" s="285">
        <f>Тор!D63</f>
        <v>1</v>
      </c>
      <c r="DX22" s="285">
        <f t="shared" si="45"/>
        <v>30.147723846849562</v>
      </c>
      <c r="DY22" s="285">
        <f>Тор!C65</f>
        <v>198.36600000000001</v>
      </c>
      <c r="DZ22" s="285">
        <f>+Тор!D64</f>
        <v>198.36600000000001</v>
      </c>
      <c r="EA22" s="285">
        <f t="shared" si="46"/>
        <v>100</v>
      </c>
      <c r="EB22" s="285">
        <f>Тор!C66</f>
        <v>5.4729999999999999</v>
      </c>
      <c r="EC22" s="285">
        <f>Тор!D66</f>
        <v>5.3426</v>
      </c>
      <c r="ED22" s="285">
        <f t="shared" si="47"/>
        <v>97.617394482002567</v>
      </c>
      <c r="EE22" s="284">
        <f>Тор!C72</f>
        <v>4887.9149200000002</v>
      </c>
      <c r="EF22" s="284">
        <f>Тор!D72</f>
        <v>4599.5129999999999</v>
      </c>
      <c r="EG22" s="285">
        <f t="shared" si="48"/>
        <v>94.099694353927092</v>
      </c>
      <c r="EH22" s="284">
        <f>Тор!C78</f>
        <v>1944.9591300000002</v>
      </c>
      <c r="EI22" s="284">
        <f>Тор!D78</f>
        <v>1775.85725</v>
      </c>
      <c r="EJ22" s="285">
        <f t="shared" si="49"/>
        <v>91.305633244848693</v>
      </c>
      <c r="EK22" s="284">
        <f>Тор!C82</f>
        <v>1141.0999999999999</v>
      </c>
      <c r="EL22" s="303">
        <f>Тор!D82</f>
        <v>1126.539</v>
      </c>
      <c r="EM22" s="285">
        <f t="shared" si="11"/>
        <v>98.723950574007546</v>
      </c>
      <c r="EN22" s="285">
        <f>Тор!C84</f>
        <v>0</v>
      </c>
      <c r="EO22" s="285">
        <f>Тор!D84</f>
        <v>0</v>
      </c>
      <c r="EP22" s="285" t="e">
        <f t="shared" si="12"/>
        <v>#DIV/0!</v>
      </c>
      <c r="EQ22" s="300">
        <f>Тор!C96</f>
        <v>0</v>
      </c>
      <c r="ER22" s="300">
        <f>Тор!D96</f>
        <v>0</v>
      </c>
      <c r="ES22" s="285" t="e">
        <f t="shared" si="50"/>
        <v>#DIV/0!</v>
      </c>
      <c r="ET22" s="285">
        <f>Тор!C94</f>
        <v>0</v>
      </c>
      <c r="EU22" s="285">
        <f>Тор!D94</f>
        <v>0</v>
      </c>
      <c r="EV22" s="285" t="e">
        <f t="shared" si="53"/>
        <v>#DIV/0!</v>
      </c>
      <c r="EW22" s="304">
        <f t="shared" si="51"/>
        <v>-742.21243999999933</v>
      </c>
      <c r="EX22" s="304">
        <f t="shared" si="52"/>
        <v>-176.05383999999867</v>
      </c>
      <c r="EY22" s="285">
        <f t="shared" si="55"/>
        <v>23.720141365455802</v>
      </c>
      <c r="EZ22" s="160"/>
      <c r="FA22" s="161"/>
      <c r="FC22" s="161"/>
      <c r="FF22" s="199"/>
      <c r="FG22" s="199"/>
      <c r="FH22" s="199"/>
      <c r="FI22" s="199"/>
      <c r="FJ22" s="199"/>
      <c r="FK22" s="199"/>
      <c r="FL22" s="199"/>
      <c r="FM22" s="199"/>
      <c r="FN22" s="199"/>
    </row>
    <row r="23" spans="1:170" s="150" customFormat="1" ht="23.25" customHeight="1">
      <c r="A23" s="317">
        <v>10</v>
      </c>
      <c r="B23" s="319" t="s">
        <v>282</v>
      </c>
      <c r="C23" s="273">
        <f t="shared" si="0"/>
        <v>5546.4499799999994</v>
      </c>
      <c r="D23" s="274">
        <f t="shared" si="1"/>
        <v>5586.8970200000003</v>
      </c>
      <c r="E23" s="282">
        <f t="shared" si="2"/>
        <v>100.72924195018163</v>
      </c>
      <c r="F23" s="276">
        <f t="shared" si="3"/>
        <v>1117.5999999999999</v>
      </c>
      <c r="G23" s="276">
        <f t="shared" si="4"/>
        <v>1157.8036299999999</v>
      </c>
      <c r="H23" s="282">
        <f t="shared" si="13"/>
        <v>103.59731836077309</v>
      </c>
      <c r="I23" s="290">
        <f>Хор!C6</f>
        <v>74.3</v>
      </c>
      <c r="J23" s="425">
        <f>Хор!D6</f>
        <v>60.738630000000001</v>
      </c>
      <c r="K23" s="282">
        <f t="shared" si="14"/>
        <v>81.747819650067299</v>
      </c>
      <c r="L23" s="282">
        <f>Хор!C8</f>
        <v>144.09</v>
      </c>
      <c r="M23" s="282">
        <f>Хор!D8</f>
        <v>169.19848999999999</v>
      </c>
      <c r="N23" s="275">
        <f t="shared" si="15"/>
        <v>117.42556041363036</v>
      </c>
      <c r="O23" s="275">
        <f>Хор!C9</f>
        <v>1.55</v>
      </c>
      <c r="P23" s="430">
        <f>Хор!D9</f>
        <v>1.2102299999999999</v>
      </c>
      <c r="Q23" s="275">
        <f t="shared" si="16"/>
        <v>78.079354838709662</v>
      </c>
      <c r="R23" s="275">
        <f>Хор!C10</f>
        <v>240.66</v>
      </c>
      <c r="S23" s="275">
        <f>Хор!D10</f>
        <v>227.61949000000001</v>
      </c>
      <c r="T23" s="275">
        <f t="shared" si="17"/>
        <v>94.581355439208849</v>
      </c>
      <c r="U23" s="275">
        <f>Хор!C11</f>
        <v>0</v>
      </c>
      <c r="V23" s="464">
        <f>Хор!D11</f>
        <v>-31.192499999999999</v>
      </c>
      <c r="W23" s="275" t="e">
        <f t="shared" si="18"/>
        <v>#DIV/0!</v>
      </c>
      <c r="X23" s="290">
        <f>Хор!C13</f>
        <v>5</v>
      </c>
      <c r="Y23" s="290">
        <f>Хор!D13</f>
        <v>7.4431700000000003</v>
      </c>
      <c r="Z23" s="282">
        <f t="shared" si="19"/>
        <v>148.86340000000001</v>
      </c>
      <c r="AA23" s="290">
        <f>Хор!C15</f>
        <v>190</v>
      </c>
      <c r="AB23" s="281">
        <f>Хор!D15</f>
        <v>247.50265999999999</v>
      </c>
      <c r="AC23" s="282">
        <f t="shared" si="20"/>
        <v>130.26455789473684</v>
      </c>
      <c r="AD23" s="290">
        <f>Хор!C16</f>
        <v>380</v>
      </c>
      <c r="AE23" s="290">
        <f>Хор!D16</f>
        <v>384.399</v>
      </c>
      <c r="AF23" s="282">
        <f t="shared" si="5"/>
        <v>101.15763157894737</v>
      </c>
      <c r="AG23" s="282">
        <f>Хор!C18</f>
        <v>5</v>
      </c>
      <c r="AH23" s="282">
        <f>Хор!D18</f>
        <v>4.7</v>
      </c>
      <c r="AI23" s="282">
        <f t="shared" si="21"/>
        <v>94</v>
      </c>
      <c r="AJ23" s="282"/>
      <c r="AK23" s="282"/>
      <c r="AL23" s="282" t="e">
        <f t="shared" si="6"/>
        <v>#DIV/0!</v>
      </c>
      <c r="AM23" s="290">
        <v>0</v>
      </c>
      <c r="AN23" s="290">
        <v>0</v>
      </c>
      <c r="AO23" s="282" t="e">
        <f t="shared" si="7"/>
        <v>#DIV/0!</v>
      </c>
      <c r="AP23" s="290">
        <f>Хор!C27</f>
        <v>77</v>
      </c>
      <c r="AQ23" s="291">
        <f>Хор!D27</f>
        <v>81.582239999999999</v>
      </c>
      <c r="AR23" s="282">
        <f t="shared" si="22"/>
        <v>105.95096103896104</v>
      </c>
      <c r="AS23" s="284">
        <f>Хор!C28</f>
        <v>0</v>
      </c>
      <c r="AT23" s="291">
        <f>Хор!D28</f>
        <v>0</v>
      </c>
      <c r="AU23" s="282" t="e">
        <f t="shared" si="23"/>
        <v>#DIV/0!</v>
      </c>
      <c r="AV23" s="290"/>
      <c r="AW23" s="290"/>
      <c r="AX23" s="282" t="e">
        <f t="shared" si="24"/>
        <v>#DIV/0!</v>
      </c>
      <c r="AY23" s="282">
        <f>Хор!C29</f>
        <v>0</v>
      </c>
      <c r="AZ23" s="285">
        <f>Хор!D29</f>
        <v>0</v>
      </c>
      <c r="BA23" s="282" t="e">
        <f t="shared" si="25"/>
        <v>#DIV/0!</v>
      </c>
      <c r="BB23" s="282"/>
      <c r="BC23" s="282"/>
      <c r="BD23" s="282"/>
      <c r="BE23" s="282">
        <f>Хор!C33</f>
        <v>0</v>
      </c>
      <c r="BF23" s="467">
        <f>Хор!D33</f>
        <v>0</v>
      </c>
      <c r="BG23" s="282" t="e">
        <f t="shared" si="26"/>
        <v>#DIV/0!</v>
      </c>
      <c r="BH23" s="282"/>
      <c r="BI23" s="282"/>
      <c r="BJ23" s="282" t="e">
        <f t="shared" si="27"/>
        <v>#DIV/0!</v>
      </c>
      <c r="BK23" s="282"/>
      <c r="BL23" s="282"/>
      <c r="BM23" s="282"/>
      <c r="BN23" s="282"/>
      <c r="BO23" s="282">
        <f>SUM(Хор!D34)</f>
        <v>4.60222</v>
      </c>
      <c r="BP23" s="275" t="e">
        <f t="shared" si="28"/>
        <v>#DIV/0!</v>
      </c>
      <c r="BQ23" s="282">
        <f>Хор!C36</f>
        <v>0</v>
      </c>
      <c r="BR23" s="437">
        <f>Хор!D36</f>
        <v>0</v>
      </c>
      <c r="BS23" s="282" t="e">
        <f t="shared" si="29"/>
        <v>#DIV/0!</v>
      </c>
      <c r="BT23" s="282"/>
      <c r="BU23" s="282"/>
      <c r="BV23" s="292" t="e">
        <f t="shared" si="30"/>
        <v>#DIV/0!</v>
      </c>
      <c r="BW23" s="292"/>
      <c r="BX23" s="292"/>
      <c r="BY23" s="292" t="e">
        <f t="shared" si="31"/>
        <v>#DIV/0!</v>
      </c>
      <c r="BZ23" s="280">
        <f t="shared" si="32"/>
        <v>4428.84998</v>
      </c>
      <c r="CA23" s="280">
        <f t="shared" si="33"/>
        <v>4429.09339</v>
      </c>
      <c r="CB23" s="282">
        <f t="shared" si="54"/>
        <v>100.00549600914684</v>
      </c>
      <c r="CC23" s="282">
        <f>Хор!C41</f>
        <v>1358.5</v>
      </c>
      <c r="CD23" s="282">
        <f>Хор!D41</f>
        <v>1358.5</v>
      </c>
      <c r="CE23" s="282">
        <f t="shared" si="34"/>
        <v>100</v>
      </c>
      <c r="CF23" s="282">
        <f>Хор!C43</f>
        <v>546</v>
      </c>
      <c r="CG23" s="282">
        <f>Хор!D43</f>
        <v>546</v>
      </c>
      <c r="CH23" s="282">
        <f t="shared" si="35"/>
        <v>100</v>
      </c>
      <c r="CI23" s="282">
        <f>Хор!C44</f>
        <v>1905.40939</v>
      </c>
      <c r="CJ23" s="282">
        <f>Хор!D44</f>
        <v>1905.40939</v>
      </c>
      <c r="CK23" s="282">
        <f t="shared" si="8"/>
        <v>100</v>
      </c>
      <c r="CL23" s="282">
        <f>Хор!C45</f>
        <v>99.183999999999997</v>
      </c>
      <c r="CM23" s="282">
        <f>Хор!D45</f>
        <v>99.183999999999997</v>
      </c>
      <c r="CN23" s="282">
        <f t="shared" si="9"/>
        <v>100</v>
      </c>
      <c r="CO23" s="448">
        <f>Хор!C46</f>
        <v>400</v>
      </c>
      <c r="CP23" s="282">
        <f>Хор!D46</f>
        <v>400</v>
      </c>
      <c r="CQ23" s="275">
        <f t="shared" si="36"/>
        <v>100</v>
      </c>
      <c r="CR23" s="293">
        <f>Хор!C47</f>
        <v>119.75659</v>
      </c>
      <c r="CS23" s="282">
        <f>Хор!D47</f>
        <v>120</v>
      </c>
      <c r="CT23" s="282">
        <f t="shared" si="10"/>
        <v>100.20325395036716</v>
      </c>
      <c r="CU23" s="282"/>
      <c r="CV23" s="282"/>
      <c r="CW23" s="282"/>
      <c r="CX23" s="290"/>
      <c r="CY23" s="290"/>
      <c r="CZ23" s="282" t="e">
        <f t="shared" si="37"/>
        <v>#DIV/0!</v>
      </c>
      <c r="DA23" s="282"/>
      <c r="DB23" s="282"/>
      <c r="DC23" s="282"/>
      <c r="DD23" s="282"/>
      <c r="DE23" s="282">
        <f>Хор!D50</f>
        <v>0</v>
      </c>
      <c r="DF23" s="282"/>
      <c r="DG23" s="284">
        <f t="shared" si="38"/>
        <v>6064.1102300000002</v>
      </c>
      <c r="DH23" s="284">
        <f t="shared" si="38"/>
        <v>5813.3290400000005</v>
      </c>
      <c r="DI23" s="282">
        <f t="shared" si="39"/>
        <v>95.864501460422829</v>
      </c>
      <c r="DJ23" s="290">
        <f t="shared" si="40"/>
        <v>1172.2950000000001</v>
      </c>
      <c r="DK23" s="290">
        <f t="shared" si="40"/>
        <v>1134.7818600000001</v>
      </c>
      <c r="DL23" s="282">
        <f t="shared" si="41"/>
        <v>96.800025590828241</v>
      </c>
      <c r="DM23" s="282">
        <f>Хор!C58</f>
        <v>1142.7950000000001</v>
      </c>
      <c r="DN23" s="282">
        <f>Хор!D58</f>
        <v>1110.2818600000001</v>
      </c>
      <c r="DO23" s="282">
        <f t="shared" si="42"/>
        <v>97.154945550164285</v>
      </c>
      <c r="DP23" s="282">
        <f>Хор!C61</f>
        <v>19</v>
      </c>
      <c r="DQ23" s="282">
        <f>Хор!D61</f>
        <v>19</v>
      </c>
      <c r="DR23" s="282">
        <f t="shared" si="43"/>
        <v>100</v>
      </c>
      <c r="DS23" s="282">
        <f>Хор!C62</f>
        <v>5</v>
      </c>
      <c r="DT23" s="282">
        <f>Хор!D62</f>
        <v>0</v>
      </c>
      <c r="DU23" s="282">
        <f t="shared" si="44"/>
        <v>0</v>
      </c>
      <c r="DV23" s="282">
        <f>Хор!C63</f>
        <v>5.5</v>
      </c>
      <c r="DW23" s="282">
        <f>Хор!D63</f>
        <v>5.5</v>
      </c>
      <c r="DX23" s="282">
        <f t="shared" si="45"/>
        <v>100</v>
      </c>
      <c r="DY23" s="282">
        <f>Хор!C65</f>
        <v>99.183999999999997</v>
      </c>
      <c r="DZ23" s="282">
        <f>Хор!D65</f>
        <v>99.183999999999997</v>
      </c>
      <c r="EA23" s="282">
        <f t="shared" si="46"/>
        <v>100</v>
      </c>
      <c r="EB23" s="282">
        <f>Хор!C66</f>
        <v>7</v>
      </c>
      <c r="EC23" s="282">
        <f>Хор!D66</f>
        <v>6.8219099999999999</v>
      </c>
      <c r="ED23" s="282">
        <f t="shared" si="47"/>
        <v>97.455857142857141</v>
      </c>
      <c r="EE23" s="290">
        <f>Хор!C72</f>
        <v>1964.4744300000002</v>
      </c>
      <c r="EF23" s="290">
        <f>Хор!D72</f>
        <v>1777.2374500000001</v>
      </c>
      <c r="EG23" s="282">
        <f t="shared" si="48"/>
        <v>90.468851254022169</v>
      </c>
      <c r="EH23" s="290">
        <f>Хор!C77</f>
        <v>1582.1037999999999</v>
      </c>
      <c r="EI23" s="290">
        <f>Хор!D77</f>
        <v>1556.49629</v>
      </c>
      <c r="EJ23" s="282">
        <f t="shared" si="49"/>
        <v>98.381426680095203</v>
      </c>
      <c r="EK23" s="290">
        <f>Хор!C81</f>
        <v>1237.0530000000001</v>
      </c>
      <c r="EL23" s="294">
        <f>Хор!D81</f>
        <v>1236.80753</v>
      </c>
      <c r="EM23" s="282">
        <f t="shared" si="11"/>
        <v>99.980156872825972</v>
      </c>
      <c r="EN23" s="282">
        <f>Хор!C83</f>
        <v>0</v>
      </c>
      <c r="EO23" s="282">
        <f>Хор!D83</f>
        <v>0</v>
      </c>
      <c r="EP23" s="282" t="e">
        <f t="shared" si="12"/>
        <v>#DIV/0!</v>
      </c>
      <c r="EQ23" s="295">
        <f>Хор!C88</f>
        <v>2</v>
      </c>
      <c r="ER23" s="295">
        <f>Хор!D88</f>
        <v>2</v>
      </c>
      <c r="ES23" s="282">
        <f t="shared" si="50"/>
        <v>100</v>
      </c>
      <c r="ET23" s="282">
        <f>Хор!C94</f>
        <v>0</v>
      </c>
      <c r="EU23" s="282">
        <f>Хор!D94</f>
        <v>0</v>
      </c>
      <c r="EV23" s="275" t="e">
        <f t="shared" si="53"/>
        <v>#DIV/0!</v>
      </c>
      <c r="EW23" s="289">
        <f t="shared" si="51"/>
        <v>-517.66025000000081</v>
      </c>
      <c r="EX23" s="289">
        <f t="shared" si="52"/>
        <v>-226.43202000000019</v>
      </c>
      <c r="EY23" s="275">
        <f t="shared" si="55"/>
        <v>43.741434657190666</v>
      </c>
      <c r="EZ23" s="152"/>
      <c r="FA23" s="153"/>
      <c r="FC23" s="153"/>
    </row>
    <row r="24" spans="1:170" s="235" customFormat="1" ht="25.5" customHeight="1">
      <c r="A24" s="322">
        <v>11</v>
      </c>
      <c r="B24" s="319" t="s">
        <v>283</v>
      </c>
      <c r="C24" s="296">
        <f t="shared" si="0"/>
        <v>9930.214320000001</v>
      </c>
      <c r="D24" s="274">
        <f t="shared" si="1"/>
        <v>7202.3502200000012</v>
      </c>
      <c r="E24" s="282">
        <f t="shared" si="2"/>
        <v>72.529655331749183</v>
      </c>
      <c r="F24" s="276">
        <f t="shared" si="3"/>
        <v>1251.0819999999999</v>
      </c>
      <c r="G24" s="295">
        <f t="shared" si="4"/>
        <v>1196.8280400000001</v>
      </c>
      <c r="H24" s="282">
        <f t="shared" si="13"/>
        <v>95.663436928994287</v>
      </c>
      <c r="I24" s="290">
        <f>Чум!C6</f>
        <v>106.5</v>
      </c>
      <c r="J24" s="425">
        <f>Чум!D6</f>
        <v>103.511</v>
      </c>
      <c r="K24" s="282">
        <f t="shared" si="14"/>
        <v>97.19342723004695</v>
      </c>
      <c r="L24" s="282">
        <f>Чум!C8</f>
        <v>137.44999999999999</v>
      </c>
      <c r="M24" s="282">
        <f>Чум!D8</f>
        <v>161.40642</v>
      </c>
      <c r="N24" s="282">
        <f t="shared" si="15"/>
        <v>117.42918879592581</v>
      </c>
      <c r="O24" s="282">
        <f>Чум!C9</f>
        <v>1.47</v>
      </c>
      <c r="P24" s="467">
        <f>Чум!D9</f>
        <v>1.1545099999999999</v>
      </c>
      <c r="Q24" s="282">
        <f t="shared" si="16"/>
        <v>78.538095238095224</v>
      </c>
      <c r="R24" s="282">
        <f>Чум!C10</f>
        <v>229.58</v>
      </c>
      <c r="S24" s="282">
        <f>Чум!D10</f>
        <v>217.13703000000001</v>
      </c>
      <c r="T24" s="282">
        <f t="shared" si="17"/>
        <v>94.580115863751203</v>
      </c>
      <c r="U24" s="282">
        <f>Чум!C11</f>
        <v>0</v>
      </c>
      <c r="V24" s="466">
        <f>Чум!D11</f>
        <v>-29.755980000000001</v>
      </c>
      <c r="W24" s="282" t="e">
        <f t="shared" si="18"/>
        <v>#DIV/0!</v>
      </c>
      <c r="X24" s="290">
        <f>Чум!C13</f>
        <v>70</v>
      </c>
      <c r="Y24" s="290">
        <f>Чум!D13</f>
        <v>46.557000000000002</v>
      </c>
      <c r="Z24" s="282">
        <f t="shared" si="19"/>
        <v>66.510000000000005</v>
      </c>
      <c r="AA24" s="290">
        <f>Чум!C15</f>
        <v>95</v>
      </c>
      <c r="AB24" s="281">
        <f>Чум!D15</f>
        <v>90.895899999999997</v>
      </c>
      <c r="AC24" s="282">
        <f t="shared" si="20"/>
        <v>95.679894736842101</v>
      </c>
      <c r="AD24" s="290">
        <f>Чум!C16</f>
        <v>485.48200000000003</v>
      </c>
      <c r="AE24" s="290">
        <f>Чум!D16</f>
        <v>470.10793999999999</v>
      </c>
      <c r="AF24" s="282">
        <f t="shared" si="5"/>
        <v>96.833237895534737</v>
      </c>
      <c r="AG24" s="282">
        <f>Чум!C18</f>
        <v>5</v>
      </c>
      <c r="AH24" s="282">
        <f>Чум!D18</f>
        <v>3.65</v>
      </c>
      <c r="AI24" s="282">
        <f t="shared" si="21"/>
        <v>73</v>
      </c>
      <c r="AJ24" s="282">
        <f>Чум!C22</f>
        <v>0</v>
      </c>
      <c r="AK24" s="282">
        <f>Чум!D20</f>
        <v>0</v>
      </c>
      <c r="AL24" s="282" t="e">
        <f>AK24/AJ24*100</f>
        <v>#DIV/0!</v>
      </c>
      <c r="AM24" s="290">
        <v>0</v>
      </c>
      <c r="AN24" s="290"/>
      <c r="AO24" s="282" t="e">
        <f t="shared" si="7"/>
        <v>#DIV/0!</v>
      </c>
      <c r="AP24" s="290">
        <f>Чум!C27</f>
        <v>85.6</v>
      </c>
      <c r="AQ24" s="291">
        <f>Чум!D27</f>
        <v>85.628799999999998</v>
      </c>
      <c r="AR24" s="282">
        <f t="shared" si="22"/>
        <v>100.03364485981309</v>
      </c>
      <c r="AS24" s="290">
        <f>Чум!C28</f>
        <v>0</v>
      </c>
      <c r="AT24" s="291">
        <f>Чум!D28</f>
        <v>0</v>
      </c>
      <c r="AU24" s="282" t="e">
        <f t="shared" si="23"/>
        <v>#DIV/0!</v>
      </c>
      <c r="AV24" s="290"/>
      <c r="AW24" s="290"/>
      <c r="AX24" s="282" t="e">
        <f t="shared" si="24"/>
        <v>#DIV/0!</v>
      </c>
      <c r="AY24" s="282">
        <f>Чум!C30</f>
        <v>35</v>
      </c>
      <c r="AZ24" s="285">
        <f>Чум!D30</f>
        <v>25.648710000000001</v>
      </c>
      <c r="BA24" s="282">
        <f t="shared" si="25"/>
        <v>73.282028571428569</v>
      </c>
      <c r="BB24" s="282"/>
      <c r="BC24" s="282"/>
      <c r="BD24" s="282"/>
      <c r="BE24" s="282">
        <f>Чум!C33</f>
        <v>0</v>
      </c>
      <c r="BF24" s="467">
        <f>Чум!D33</f>
        <v>0</v>
      </c>
      <c r="BG24" s="282" t="e">
        <f t="shared" si="26"/>
        <v>#DIV/0!</v>
      </c>
      <c r="BH24" s="282"/>
      <c r="BI24" s="282"/>
      <c r="BJ24" s="282" t="e">
        <f t="shared" si="27"/>
        <v>#DIV/0!</v>
      </c>
      <c r="BK24" s="282"/>
      <c r="BL24" s="282"/>
      <c r="BM24" s="282"/>
      <c r="BN24" s="282"/>
      <c r="BO24" s="282">
        <f>Чум!D34</f>
        <v>20.886710000000001</v>
      </c>
      <c r="BP24" s="275" t="e">
        <f t="shared" si="28"/>
        <v>#DIV/0!</v>
      </c>
      <c r="BQ24" s="282">
        <f>Чум!C37</f>
        <v>0</v>
      </c>
      <c r="BR24" s="437">
        <f>Чум!D37</f>
        <v>0</v>
      </c>
      <c r="BS24" s="282" t="e">
        <f t="shared" si="29"/>
        <v>#DIV/0!</v>
      </c>
      <c r="BT24" s="282"/>
      <c r="BU24" s="282"/>
      <c r="BV24" s="292" t="e">
        <f t="shared" si="30"/>
        <v>#DIV/0!</v>
      </c>
      <c r="BW24" s="292"/>
      <c r="BX24" s="292"/>
      <c r="BY24" s="292" t="e">
        <f t="shared" si="31"/>
        <v>#DIV/0!</v>
      </c>
      <c r="BZ24" s="290">
        <f t="shared" si="32"/>
        <v>8679.1323200000006</v>
      </c>
      <c r="CA24" s="290">
        <f t="shared" si="33"/>
        <v>6005.5221800000008</v>
      </c>
      <c r="CB24" s="282">
        <f t="shared" si="54"/>
        <v>69.194960493470163</v>
      </c>
      <c r="CC24" s="282">
        <f>Чум!C42</f>
        <v>2064.4</v>
      </c>
      <c r="CD24" s="282">
        <f>Чум!D42</f>
        <v>2064.4</v>
      </c>
      <c r="CE24" s="282">
        <f t="shared" si="34"/>
        <v>100</v>
      </c>
      <c r="CF24" s="282">
        <f>Чум!C43</f>
        <v>200</v>
      </c>
      <c r="CG24" s="282">
        <f>Чум!D43</f>
        <v>200</v>
      </c>
      <c r="CH24" s="282">
        <f t="shared" si="35"/>
        <v>100</v>
      </c>
      <c r="CI24" s="282">
        <f>Чум!C44</f>
        <v>5581.0651200000002</v>
      </c>
      <c r="CJ24" s="282">
        <f>Чум!D44</f>
        <v>2890.33718</v>
      </c>
      <c r="CK24" s="282">
        <f t="shared" si="8"/>
        <v>51.788271913229345</v>
      </c>
      <c r="CL24" s="282">
        <f>Чум!C45</f>
        <v>99.185000000000002</v>
      </c>
      <c r="CM24" s="282">
        <f>Чум!D45</f>
        <v>99.185000000000002</v>
      </c>
      <c r="CN24" s="282">
        <f t="shared" si="9"/>
        <v>100</v>
      </c>
      <c r="CO24" s="448">
        <f>Чум!C46</f>
        <v>700</v>
      </c>
      <c r="CP24" s="282">
        <f>Чум!D46</f>
        <v>700</v>
      </c>
      <c r="CQ24" s="275">
        <f t="shared" si="36"/>
        <v>100</v>
      </c>
      <c r="CR24" s="293">
        <f>Чум!C50</f>
        <v>34.482199999999999</v>
      </c>
      <c r="CS24" s="282">
        <f>Чум!D50</f>
        <v>51.6</v>
      </c>
      <c r="CT24" s="282">
        <f t="shared" si="10"/>
        <v>149.64242420727217</v>
      </c>
      <c r="CU24" s="282"/>
      <c r="CV24" s="282"/>
      <c r="CW24" s="282"/>
      <c r="CX24" s="290"/>
      <c r="CY24" s="290"/>
      <c r="CZ24" s="282" t="e">
        <f t="shared" si="37"/>
        <v>#DIV/0!</v>
      </c>
      <c r="DA24" s="282"/>
      <c r="DB24" s="282"/>
      <c r="DC24" s="282"/>
      <c r="DD24" s="282"/>
      <c r="DE24" s="282"/>
      <c r="DF24" s="282"/>
      <c r="DG24" s="284">
        <f t="shared" si="38"/>
        <v>10353.78508</v>
      </c>
      <c r="DH24" s="284">
        <f t="shared" si="38"/>
        <v>7597.9299299999993</v>
      </c>
      <c r="DI24" s="282">
        <f t="shared" si="39"/>
        <v>73.383114206964009</v>
      </c>
      <c r="DJ24" s="290">
        <f t="shared" si="40"/>
        <v>1453.0350000000001</v>
      </c>
      <c r="DK24" s="290">
        <f t="shared" si="40"/>
        <v>1446.8967700000001</v>
      </c>
      <c r="DL24" s="282">
        <f t="shared" si="41"/>
        <v>99.577558007893813</v>
      </c>
      <c r="DM24" s="282">
        <f>Чум!C58</f>
        <v>1404.0350000000001</v>
      </c>
      <c r="DN24" s="282">
        <f>Чум!D58</f>
        <v>1398.8967700000001</v>
      </c>
      <c r="DO24" s="282">
        <f t="shared" si="42"/>
        <v>99.634038325255432</v>
      </c>
      <c r="DP24" s="282">
        <f>Чум!C61</f>
        <v>27</v>
      </c>
      <c r="DQ24" s="282">
        <f>Чум!D61</f>
        <v>27</v>
      </c>
      <c r="DR24" s="282">
        <f t="shared" si="43"/>
        <v>100</v>
      </c>
      <c r="DS24" s="282">
        <f>Чум!C62</f>
        <v>1</v>
      </c>
      <c r="DT24" s="282">
        <f>Чум!D62</f>
        <v>0</v>
      </c>
      <c r="DU24" s="282">
        <f t="shared" si="44"/>
        <v>0</v>
      </c>
      <c r="DV24" s="282">
        <f>Чум!C63</f>
        <v>21</v>
      </c>
      <c r="DW24" s="282">
        <f>Чум!D63</f>
        <v>21</v>
      </c>
      <c r="DX24" s="282">
        <f t="shared" si="45"/>
        <v>100</v>
      </c>
      <c r="DY24" s="282">
        <f>Чум!C65</f>
        <v>99.185000000000002</v>
      </c>
      <c r="DZ24" s="282">
        <f>Чум!D65</f>
        <v>99.185000000000002</v>
      </c>
      <c r="EA24" s="282">
        <f t="shared" si="46"/>
        <v>100</v>
      </c>
      <c r="EB24" s="282">
        <f>Чум!C66</f>
        <v>7.4</v>
      </c>
      <c r="EC24" s="282">
        <f>Чум!D66</f>
        <v>7.2219099999999994</v>
      </c>
      <c r="ED24" s="282">
        <f t="shared" si="47"/>
        <v>97.593378378378375</v>
      </c>
      <c r="EE24" s="290">
        <f>Чум!C72</f>
        <v>2937.9258799999998</v>
      </c>
      <c r="EF24" s="290">
        <f>Чум!D72</f>
        <v>2936.5503399999998</v>
      </c>
      <c r="EG24" s="282">
        <f t="shared" si="48"/>
        <v>99.953179894381819</v>
      </c>
      <c r="EH24" s="290">
        <f>Чум!C77</f>
        <v>4830.5191999999997</v>
      </c>
      <c r="EI24" s="290">
        <f>Чум!D77</f>
        <v>2082.3559100000002</v>
      </c>
      <c r="EJ24" s="282">
        <f t="shared" si="49"/>
        <v>43.108324877375509</v>
      </c>
      <c r="EK24" s="290">
        <f>Чум!C81</f>
        <v>1022.4</v>
      </c>
      <c r="EL24" s="294">
        <f>Чум!D81</f>
        <v>1022.4</v>
      </c>
      <c r="EM24" s="282">
        <f t="shared" si="11"/>
        <v>100</v>
      </c>
      <c r="EN24" s="282">
        <f>Чум!C83</f>
        <v>0</v>
      </c>
      <c r="EO24" s="282">
        <f>Чум!D83</f>
        <v>0</v>
      </c>
      <c r="EP24" s="282" t="e">
        <f t="shared" si="12"/>
        <v>#DIV/0!</v>
      </c>
      <c r="EQ24" s="295">
        <f>Чум!C88</f>
        <v>3.32</v>
      </c>
      <c r="ER24" s="295">
        <f>Чум!D88</f>
        <v>3.32</v>
      </c>
      <c r="ES24" s="282">
        <f t="shared" si="50"/>
        <v>100</v>
      </c>
      <c r="ET24" s="282">
        <f>Чум!C94</f>
        <v>0</v>
      </c>
      <c r="EU24" s="282">
        <f>Чум!D94</f>
        <v>0</v>
      </c>
      <c r="EV24" s="282" t="e">
        <f t="shared" si="53"/>
        <v>#DIV/0!</v>
      </c>
      <c r="EW24" s="305">
        <f t="shared" si="51"/>
        <v>-423.5707599999987</v>
      </c>
      <c r="EX24" s="305">
        <f t="shared" si="52"/>
        <v>-395.57970999999816</v>
      </c>
      <c r="EY24" s="282">
        <f t="shared" si="55"/>
        <v>93.391647242127704</v>
      </c>
      <c r="EZ24" s="233"/>
      <c r="FA24" s="234"/>
      <c r="FC24" s="234"/>
    </row>
    <row r="25" spans="1:170" s="162" customFormat="1" ht="22.5" customHeight="1">
      <c r="A25" s="320">
        <v>12</v>
      </c>
      <c r="B25" s="321" t="s">
        <v>284</v>
      </c>
      <c r="C25" s="298">
        <f t="shared" si="0"/>
        <v>6729.4759000000013</v>
      </c>
      <c r="D25" s="299">
        <f t="shared" si="1"/>
        <v>6011.6342699999996</v>
      </c>
      <c r="E25" s="285">
        <f t="shared" si="2"/>
        <v>89.332874644814439</v>
      </c>
      <c r="F25" s="276">
        <f t="shared" si="3"/>
        <v>1011.4300000000001</v>
      </c>
      <c r="G25" s="300">
        <f t="shared" si="4"/>
        <v>950.60509000000002</v>
      </c>
      <c r="H25" s="285">
        <f t="shared" si="13"/>
        <v>93.986246205866948</v>
      </c>
      <c r="I25" s="284">
        <f>Шать!C6</f>
        <v>44.3</v>
      </c>
      <c r="J25" s="425">
        <f>Шать!D6</f>
        <v>55.305799999999998</v>
      </c>
      <c r="K25" s="285">
        <f t="shared" si="14"/>
        <v>124.84379232505644</v>
      </c>
      <c r="L25" s="285">
        <f>Шать!C8</f>
        <v>140.30000000000001</v>
      </c>
      <c r="M25" s="285">
        <f>Шать!D8</f>
        <v>164.74589</v>
      </c>
      <c r="N25" s="285">
        <f t="shared" si="15"/>
        <v>117.42401282965074</v>
      </c>
      <c r="O25" s="285">
        <f>Шать!C9</f>
        <v>1.5</v>
      </c>
      <c r="P25" s="468">
        <f>Шать!D9</f>
        <v>1.17839</v>
      </c>
      <c r="Q25" s="285">
        <f t="shared" si="16"/>
        <v>78.559333333333342</v>
      </c>
      <c r="R25" s="285">
        <f>Шать!C10</f>
        <v>234.33</v>
      </c>
      <c r="S25" s="285">
        <f>Шать!D10</f>
        <v>221.62951000000001</v>
      </c>
      <c r="T25" s="285">
        <f t="shared" si="17"/>
        <v>94.580083642726066</v>
      </c>
      <c r="U25" s="285">
        <f>Шать!C11</f>
        <v>0</v>
      </c>
      <c r="V25" s="465">
        <f>Шать!D11</f>
        <v>-30.37162</v>
      </c>
      <c r="W25" s="285" t="e">
        <f t="shared" si="18"/>
        <v>#DIV/0!</v>
      </c>
      <c r="X25" s="284">
        <f>Шать!C13</f>
        <v>50</v>
      </c>
      <c r="Y25" s="284">
        <f>Шать!D13</f>
        <v>20.873100000000001</v>
      </c>
      <c r="Z25" s="285">
        <f t="shared" si="19"/>
        <v>41.746200000000002</v>
      </c>
      <c r="AA25" s="284">
        <f>Шать!C15</f>
        <v>65</v>
      </c>
      <c r="AB25" s="281">
        <f>Шать!D15</f>
        <v>57.193449999999999</v>
      </c>
      <c r="AC25" s="285">
        <f t="shared" si="20"/>
        <v>87.989923076923077</v>
      </c>
      <c r="AD25" s="284">
        <f>Шать!C16</f>
        <v>274</v>
      </c>
      <c r="AE25" s="284">
        <f>Шать!D16</f>
        <v>284.10300000000001</v>
      </c>
      <c r="AF25" s="285">
        <f t="shared" si="5"/>
        <v>103.68722627737226</v>
      </c>
      <c r="AG25" s="285">
        <f>Шать!C18</f>
        <v>3</v>
      </c>
      <c r="AH25" s="285">
        <f>Шать!D18</f>
        <v>3.15</v>
      </c>
      <c r="AI25" s="285">
        <f t="shared" si="21"/>
        <v>105</v>
      </c>
      <c r="AJ25" s="285"/>
      <c r="AK25" s="285"/>
      <c r="AL25" s="285" t="e">
        <f>AJ25/AK25*100</f>
        <v>#DIV/0!</v>
      </c>
      <c r="AM25" s="284">
        <v>0</v>
      </c>
      <c r="AN25" s="284">
        <f>0</f>
        <v>0</v>
      </c>
      <c r="AO25" s="285" t="e">
        <f t="shared" si="7"/>
        <v>#DIV/0!</v>
      </c>
      <c r="AP25" s="284">
        <f>Шать!C27</f>
        <v>153</v>
      </c>
      <c r="AQ25" s="291">
        <f>Шать!D27</f>
        <v>118.47685</v>
      </c>
      <c r="AR25" s="285">
        <f t="shared" si="22"/>
        <v>77.435849673202611</v>
      </c>
      <c r="AS25" s="284">
        <f>Шать!C28</f>
        <v>26</v>
      </c>
      <c r="AT25" s="281">
        <f>Шать!D28</f>
        <v>26.011199999999999</v>
      </c>
      <c r="AU25" s="285">
        <f t="shared" si="23"/>
        <v>100.04307692307692</v>
      </c>
      <c r="AV25" s="284"/>
      <c r="AW25" s="284"/>
      <c r="AX25" s="285" t="e">
        <f t="shared" si="24"/>
        <v>#DIV/0!</v>
      </c>
      <c r="AY25" s="285">
        <f>Шать!C29</f>
        <v>20</v>
      </c>
      <c r="AZ25" s="285">
        <f>Шать!D29</f>
        <v>14.50432</v>
      </c>
      <c r="BA25" s="285">
        <f t="shared" si="25"/>
        <v>72.521599999999992</v>
      </c>
      <c r="BB25" s="285"/>
      <c r="BC25" s="285"/>
      <c r="BD25" s="285"/>
      <c r="BE25" s="285">
        <f>Шать!C33</f>
        <v>0</v>
      </c>
      <c r="BF25" s="468">
        <f>Шать!D33</f>
        <v>0</v>
      </c>
      <c r="BG25" s="285" t="e">
        <f t="shared" si="26"/>
        <v>#DIV/0!</v>
      </c>
      <c r="BH25" s="285"/>
      <c r="BI25" s="285"/>
      <c r="BJ25" s="285" t="e">
        <f t="shared" si="27"/>
        <v>#DIV/0!</v>
      </c>
      <c r="BK25" s="285"/>
      <c r="BL25" s="285"/>
      <c r="BM25" s="285"/>
      <c r="BN25" s="285">
        <f>Шать!C34</f>
        <v>0</v>
      </c>
      <c r="BO25" s="285">
        <f>Шать!D34</f>
        <v>13.805199999999999</v>
      </c>
      <c r="BP25" s="275" t="e">
        <f t="shared" si="28"/>
        <v>#DIV/0!</v>
      </c>
      <c r="BQ25" s="285">
        <f>Шать!C37</f>
        <v>0</v>
      </c>
      <c r="BR25" s="438">
        <v>0</v>
      </c>
      <c r="BS25" s="285" t="e">
        <f t="shared" si="29"/>
        <v>#DIV/0!</v>
      </c>
      <c r="BT25" s="285"/>
      <c r="BU25" s="285"/>
      <c r="BV25" s="302" t="e">
        <f t="shared" si="30"/>
        <v>#DIV/0!</v>
      </c>
      <c r="BW25" s="302"/>
      <c r="BX25" s="302"/>
      <c r="BY25" s="302" t="e">
        <f t="shared" si="31"/>
        <v>#DIV/0!</v>
      </c>
      <c r="BZ25" s="284">
        <f t="shared" si="32"/>
        <v>5718.045900000001</v>
      </c>
      <c r="CA25" s="280">
        <f t="shared" si="33"/>
        <v>5061.0291799999995</v>
      </c>
      <c r="CB25" s="285">
        <f t="shared" si="54"/>
        <v>88.509768345860934</v>
      </c>
      <c r="CC25" s="285">
        <f>Шать!C42</f>
        <v>1263.2</v>
      </c>
      <c r="CD25" s="285">
        <f>Шать!D42</f>
        <v>1263.2</v>
      </c>
      <c r="CE25" s="285">
        <f t="shared" si="34"/>
        <v>100</v>
      </c>
      <c r="CF25" s="285">
        <f>Шать!C43</f>
        <v>700</v>
      </c>
      <c r="CG25" s="285">
        <f>Шать!D43</f>
        <v>700</v>
      </c>
      <c r="CH25" s="285">
        <f t="shared" si="35"/>
        <v>100</v>
      </c>
      <c r="CI25" s="285">
        <f>Шать!C44</f>
        <v>2173.6509000000001</v>
      </c>
      <c r="CJ25" s="285">
        <f>Шать!D44</f>
        <v>1466.5441800000001</v>
      </c>
      <c r="CK25" s="285">
        <f t="shared" si="8"/>
        <v>67.469168117106577</v>
      </c>
      <c r="CL25" s="285">
        <f>Шать!C45</f>
        <v>99.185000000000002</v>
      </c>
      <c r="CM25" s="285">
        <f>Шать!D45</f>
        <v>99.185000000000002</v>
      </c>
      <c r="CN25" s="285">
        <f t="shared" si="9"/>
        <v>100</v>
      </c>
      <c r="CO25" s="449">
        <f>Шать!C46</f>
        <v>1400</v>
      </c>
      <c r="CP25" s="285">
        <f>Шать!D46</f>
        <v>1399.5</v>
      </c>
      <c r="CQ25" s="275">
        <f t="shared" si="36"/>
        <v>99.964285714285722</v>
      </c>
      <c r="CR25" s="301">
        <f>Шать!C50</f>
        <v>82.01</v>
      </c>
      <c r="CS25" s="285">
        <f>Шать!D50</f>
        <v>132.6</v>
      </c>
      <c r="CT25" s="285">
        <f t="shared" si="10"/>
        <v>161.68759907328374</v>
      </c>
      <c r="CU25" s="285"/>
      <c r="CV25" s="285"/>
      <c r="CW25" s="285"/>
      <c r="CX25" s="284"/>
      <c r="CY25" s="284"/>
      <c r="CZ25" s="285" t="e">
        <f t="shared" si="37"/>
        <v>#DIV/0!</v>
      </c>
      <c r="DA25" s="285"/>
      <c r="DB25" s="285"/>
      <c r="DC25" s="285"/>
      <c r="DD25" s="285"/>
      <c r="DE25" s="285"/>
      <c r="DF25" s="285"/>
      <c r="DG25" s="284">
        <f t="shared" si="38"/>
        <v>7169.673569999999</v>
      </c>
      <c r="DH25" s="284">
        <f t="shared" si="38"/>
        <v>6245.9628599999996</v>
      </c>
      <c r="DI25" s="285">
        <f>DH25/DG25*100</f>
        <v>87.116418885999579</v>
      </c>
      <c r="DJ25" s="284">
        <f t="shared" si="40"/>
        <v>1802.2170000000001</v>
      </c>
      <c r="DK25" s="284">
        <f t="shared" si="40"/>
        <v>1783.7812000000001</v>
      </c>
      <c r="DL25" s="285">
        <f t="shared" si="41"/>
        <v>98.977048823754302</v>
      </c>
      <c r="DM25" s="285">
        <f>Шать!C58</f>
        <v>1755.7</v>
      </c>
      <c r="DN25" s="285">
        <f>Шать!D58</f>
        <v>1742.2642000000001</v>
      </c>
      <c r="DO25" s="285">
        <f t="shared" si="42"/>
        <v>99.234732585293614</v>
      </c>
      <c r="DP25" s="285">
        <f>Шать!C61</f>
        <v>20.516999999999999</v>
      </c>
      <c r="DQ25" s="285">
        <f>Шать!D61</f>
        <v>20.516999999999999</v>
      </c>
      <c r="DR25" s="285">
        <f t="shared" si="43"/>
        <v>100</v>
      </c>
      <c r="DS25" s="285">
        <f>Шать!C62</f>
        <v>5</v>
      </c>
      <c r="DT25" s="285">
        <f>Шать!D62</f>
        <v>0</v>
      </c>
      <c r="DU25" s="285">
        <f t="shared" si="44"/>
        <v>0</v>
      </c>
      <c r="DV25" s="285">
        <f>Шать!C63</f>
        <v>21</v>
      </c>
      <c r="DW25" s="285">
        <f>Шать!D63</f>
        <v>21</v>
      </c>
      <c r="DX25" s="285">
        <f t="shared" si="45"/>
        <v>100</v>
      </c>
      <c r="DY25" s="285">
        <f>Шать!C65</f>
        <v>99.185000000000002</v>
      </c>
      <c r="DZ25" s="285">
        <f>Шать!D65</f>
        <v>99.185000000000002</v>
      </c>
      <c r="EA25" s="285">
        <f t="shared" si="46"/>
        <v>100</v>
      </c>
      <c r="EB25" s="285">
        <f>Шать!C66</f>
        <v>5.87</v>
      </c>
      <c r="EC25" s="285">
        <f>Шать!D66</f>
        <v>5.8696000000000002</v>
      </c>
      <c r="ED25" s="285">
        <f t="shared" si="47"/>
        <v>99.993185689948888</v>
      </c>
      <c r="EE25" s="284">
        <f>Шать!C72</f>
        <v>3147.5885699999999</v>
      </c>
      <c r="EF25" s="284">
        <f>Шать!D72</f>
        <v>2247.2812699999999</v>
      </c>
      <c r="EG25" s="285">
        <f t="shared" si="48"/>
        <v>71.396919261274348</v>
      </c>
      <c r="EH25" s="284">
        <f>Шать!C77</f>
        <v>1280.413</v>
      </c>
      <c r="EI25" s="284">
        <f>Шать!D77</f>
        <v>1277.44579</v>
      </c>
      <c r="EJ25" s="285">
        <f t="shared" si="49"/>
        <v>99.768261490628404</v>
      </c>
      <c r="EK25" s="284">
        <f>Шать!C81</f>
        <v>832.4</v>
      </c>
      <c r="EL25" s="303">
        <f>Шать!D81</f>
        <v>832.4</v>
      </c>
      <c r="EM25" s="285">
        <f t="shared" si="11"/>
        <v>100</v>
      </c>
      <c r="EN25" s="285">
        <f>Шать!C83</f>
        <v>0</v>
      </c>
      <c r="EO25" s="285">
        <f>Шать!D83</f>
        <v>0</v>
      </c>
      <c r="EP25" s="285" t="e">
        <f t="shared" si="12"/>
        <v>#DIV/0!</v>
      </c>
      <c r="EQ25" s="300">
        <f>Шать!C88</f>
        <v>2</v>
      </c>
      <c r="ER25" s="300">
        <f>Шать!D88</f>
        <v>0</v>
      </c>
      <c r="ES25" s="285">
        <f t="shared" si="50"/>
        <v>0</v>
      </c>
      <c r="ET25" s="285">
        <f>Шать!C94</f>
        <v>0</v>
      </c>
      <c r="EU25" s="285">
        <f>Шать!D94</f>
        <v>0</v>
      </c>
      <c r="EV25" s="285" t="e">
        <f t="shared" si="53"/>
        <v>#DIV/0!</v>
      </c>
      <c r="EW25" s="304">
        <f t="shared" si="51"/>
        <v>-440.19766999999774</v>
      </c>
      <c r="EX25" s="304">
        <f t="shared" si="52"/>
        <v>-234.32859000000008</v>
      </c>
      <c r="EY25" s="285">
        <f t="shared" si="55"/>
        <v>53.232582989365042</v>
      </c>
      <c r="EZ25" s="160"/>
      <c r="FA25" s="161"/>
      <c r="FC25" s="161"/>
    </row>
    <row r="26" spans="1:170" s="235" customFormat="1" ht="24.75" customHeight="1">
      <c r="A26" s="323">
        <v>13</v>
      </c>
      <c r="B26" s="319" t="s">
        <v>285</v>
      </c>
      <c r="C26" s="296">
        <f t="shared" si="0"/>
        <v>8703.6660000000011</v>
      </c>
      <c r="D26" s="274">
        <f t="shared" si="1"/>
        <v>9290.406500000001</v>
      </c>
      <c r="E26" s="282">
        <f t="shared" si="2"/>
        <v>106.74130303253824</v>
      </c>
      <c r="F26" s="276">
        <f t="shared" si="3"/>
        <v>3496.1520000000005</v>
      </c>
      <c r="G26" s="295">
        <f t="shared" si="4"/>
        <v>3892.7135000000003</v>
      </c>
      <c r="H26" s="282">
        <f t="shared" si="13"/>
        <v>111.34279916891485</v>
      </c>
      <c r="I26" s="290">
        <f>Юнг!C6</f>
        <v>115.4</v>
      </c>
      <c r="J26" s="425">
        <f>Юнг!D6</f>
        <v>127.20422000000001</v>
      </c>
      <c r="K26" s="282">
        <f t="shared" si="14"/>
        <v>110.22896013864818</v>
      </c>
      <c r="L26" s="282">
        <f>Юнг!C8</f>
        <v>227.51</v>
      </c>
      <c r="M26" s="282">
        <f>Юнг!D8</f>
        <v>267.15550999999999</v>
      </c>
      <c r="N26" s="282">
        <f t="shared" si="15"/>
        <v>117.42583183156785</v>
      </c>
      <c r="O26" s="282">
        <f>Юнг!C9</f>
        <v>2.4300000000000002</v>
      </c>
      <c r="P26" s="467">
        <f>Юнг!D9</f>
        <v>1.91089</v>
      </c>
      <c r="Q26" s="282">
        <f t="shared" si="16"/>
        <v>78.637448559670773</v>
      </c>
      <c r="R26" s="282">
        <f>Юнг!C10</f>
        <v>380</v>
      </c>
      <c r="S26" s="282">
        <f>Юнг!D10</f>
        <v>359.39922000000001</v>
      </c>
      <c r="T26" s="282">
        <f t="shared" si="17"/>
        <v>94.57874210526316</v>
      </c>
      <c r="U26" s="282">
        <f>Юнг!C11</f>
        <v>0</v>
      </c>
      <c r="V26" s="466">
        <f>Юнг!D11</f>
        <v>-49.25132</v>
      </c>
      <c r="W26" s="282" t="e">
        <f t="shared" si="18"/>
        <v>#DIV/0!</v>
      </c>
      <c r="X26" s="290">
        <f>Юнг!C13</f>
        <v>49.012</v>
      </c>
      <c r="Y26" s="290">
        <f>Юнг!D13</f>
        <v>179.7432</v>
      </c>
      <c r="Z26" s="282">
        <f t="shared" si="19"/>
        <v>366.73304496857912</v>
      </c>
      <c r="AA26" s="290">
        <f>Юнг!C15</f>
        <v>260</v>
      </c>
      <c r="AB26" s="281">
        <f>Юнг!D15</f>
        <v>247.78458000000001</v>
      </c>
      <c r="AC26" s="282">
        <f t="shared" si="20"/>
        <v>95.301761538461534</v>
      </c>
      <c r="AD26" s="290">
        <f>Юнг!C16</f>
        <v>1979</v>
      </c>
      <c r="AE26" s="290">
        <f>Юнг!D16</f>
        <v>1842.52701</v>
      </c>
      <c r="AF26" s="282">
        <f t="shared" si="5"/>
        <v>93.103941889843355</v>
      </c>
      <c r="AG26" s="282">
        <f>Юнг!C18</f>
        <v>10</v>
      </c>
      <c r="AH26" s="282">
        <f>Юнг!D18</f>
        <v>3.1</v>
      </c>
      <c r="AI26" s="282">
        <f t="shared" si="21"/>
        <v>31</v>
      </c>
      <c r="AJ26" s="282"/>
      <c r="AK26" s="282"/>
      <c r="AL26" s="282" t="e">
        <f>AJ26/AK26*100</f>
        <v>#DIV/0!</v>
      </c>
      <c r="AM26" s="290">
        <v>0</v>
      </c>
      <c r="AN26" s="290"/>
      <c r="AO26" s="282" t="e">
        <f t="shared" si="7"/>
        <v>#DIV/0!</v>
      </c>
      <c r="AP26" s="290">
        <f>Юнг!C27</f>
        <v>353.3</v>
      </c>
      <c r="AQ26" s="291">
        <f>Юнг!D27</f>
        <v>833.79245000000003</v>
      </c>
      <c r="AR26" s="282">
        <f t="shared" si="22"/>
        <v>236.00125955278801</v>
      </c>
      <c r="AS26" s="290">
        <f>Юнг!C28</f>
        <v>79.5</v>
      </c>
      <c r="AT26" s="291">
        <f>Юнг!D28</f>
        <v>34.956020000000002</v>
      </c>
      <c r="AU26" s="282">
        <f t="shared" si="23"/>
        <v>43.969836477987421</v>
      </c>
      <c r="AV26" s="290"/>
      <c r="AW26" s="290"/>
      <c r="AX26" s="282" t="e">
        <f t="shared" si="24"/>
        <v>#DIV/0!</v>
      </c>
      <c r="AY26" s="282">
        <f>Юнг!C30</f>
        <v>40</v>
      </c>
      <c r="AZ26" s="285">
        <f>Юнг!D30</f>
        <v>36.642240000000001</v>
      </c>
      <c r="BA26" s="282">
        <f t="shared" si="25"/>
        <v>91.605599999999995</v>
      </c>
      <c r="BB26" s="282"/>
      <c r="BC26" s="282"/>
      <c r="BD26" s="282"/>
      <c r="BE26" s="282">
        <f>Юнг!C33</f>
        <v>0</v>
      </c>
      <c r="BF26" s="467">
        <f>Юнг!D31</f>
        <v>0</v>
      </c>
      <c r="BG26" s="282" t="e">
        <f t="shared" si="26"/>
        <v>#DIV/0!</v>
      </c>
      <c r="BH26" s="282"/>
      <c r="BI26" s="282"/>
      <c r="BJ26" s="282" t="e">
        <f t="shared" si="27"/>
        <v>#DIV/0!</v>
      </c>
      <c r="BK26" s="282"/>
      <c r="BL26" s="282"/>
      <c r="BM26" s="282"/>
      <c r="BN26" s="282">
        <f>Юнг!C34</f>
        <v>0</v>
      </c>
      <c r="BO26" s="282">
        <f>Юнг!D34</f>
        <v>7.7494800000000001</v>
      </c>
      <c r="BP26" s="275" t="e">
        <f t="shared" si="28"/>
        <v>#DIV/0!</v>
      </c>
      <c r="BQ26" s="282">
        <f>Юнг!C36</f>
        <v>0</v>
      </c>
      <c r="BR26" s="437">
        <f>Юнг!D36</f>
        <v>0</v>
      </c>
      <c r="BS26" s="282" t="e">
        <f t="shared" si="29"/>
        <v>#DIV/0!</v>
      </c>
      <c r="BT26" s="282"/>
      <c r="BU26" s="282"/>
      <c r="BV26" s="292" t="e">
        <f t="shared" si="30"/>
        <v>#DIV/0!</v>
      </c>
      <c r="BW26" s="292"/>
      <c r="BX26" s="292"/>
      <c r="BY26" s="292" t="e">
        <f t="shared" si="31"/>
        <v>#DIV/0!</v>
      </c>
      <c r="BZ26" s="290">
        <f t="shared" si="32"/>
        <v>5207.5140000000001</v>
      </c>
      <c r="CA26" s="290">
        <f t="shared" si="33"/>
        <v>5397.6930000000002</v>
      </c>
      <c r="CB26" s="282">
        <f t="shared" si="54"/>
        <v>103.65201130520245</v>
      </c>
      <c r="CC26" s="282">
        <f>Юнг!C41</f>
        <v>415.4</v>
      </c>
      <c r="CD26" s="282">
        <f>Юнг!D41</f>
        <v>415.4</v>
      </c>
      <c r="CE26" s="282">
        <f t="shared" si="34"/>
        <v>100</v>
      </c>
      <c r="CF26" s="282">
        <f>Юнг!C42</f>
        <v>0</v>
      </c>
      <c r="CG26" s="282">
        <f>Юнг!D42</f>
        <v>0</v>
      </c>
      <c r="CH26" s="282" t="e">
        <f t="shared" si="35"/>
        <v>#DIV/0!</v>
      </c>
      <c r="CI26" s="282">
        <f>Юнг!C43</f>
        <v>3686.98</v>
      </c>
      <c r="CJ26" s="282">
        <f>Юнг!D43</f>
        <v>3684.5590000000002</v>
      </c>
      <c r="CK26" s="282">
        <f t="shared" si="8"/>
        <v>99.934336503045856</v>
      </c>
      <c r="CL26" s="282">
        <f>Юнг!C44</f>
        <v>99.183999999999997</v>
      </c>
      <c r="CM26" s="282">
        <f>Юнг!D44</f>
        <v>99.183999999999997</v>
      </c>
      <c r="CN26" s="282">
        <f t="shared" si="9"/>
        <v>100</v>
      </c>
      <c r="CO26" s="448">
        <f>Юнг!C45</f>
        <v>1005.95</v>
      </c>
      <c r="CP26" s="282">
        <f>Юнг!D45</f>
        <v>1005.95</v>
      </c>
      <c r="CQ26" s="275">
        <f t="shared" si="36"/>
        <v>100</v>
      </c>
      <c r="CR26" s="293">
        <f>Юнг!C48</f>
        <v>0</v>
      </c>
      <c r="CS26" s="282">
        <f>Юнг!D48</f>
        <v>192.6</v>
      </c>
      <c r="CT26" s="282" t="e">
        <f t="shared" si="10"/>
        <v>#DIV/0!</v>
      </c>
      <c r="CU26" s="282"/>
      <c r="CV26" s="282">
        <f>Юнг!D47</f>
        <v>0</v>
      </c>
      <c r="CW26" s="282"/>
      <c r="CX26" s="290"/>
      <c r="CY26" s="290"/>
      <c r="CZ26" s="282" t="e">
        <f t="shared" si="37"/>
        <v>#DIV/0!</v>
      </c>
      <c r="DA26" s="282"/>
      <c r="DB26" s="282"/>
      <c r="DC26" s="282"/>
      <c r="DD26" s="282"/>
      <c r="DE26" s="282"/>
      <c r="DF26" s="282"/>
      <c r="DG26" s="284">
        <f t="shared" si="38"/>
        <v>9041.2058899999993</v>
      </c>
      <c r="DH26" s="284">
        <f t="shared" si="38"/>
        <v>8717.8908200000005</v>
      </c>
      <c r="DI26" s="282">
        <f t="shared" si="39"/>
        <v>96.423982885318424</v>
      </c>
      <c r="DJ26" s="290">
        <f t="shared" si="40"/>
        <v>1535.4959999999999</v>
      </c>
      <c r="DK26" s="290">
        <f t="shared" si="40"/>
        <v>1406.07395</v>
      </c>
      <c r="DL26" s="282">
        <f t="shared" si="41"/>
        <v>91.57131962571053</v>
      </c>
      <c r="DM26" s="282">
        <f>Юнг!C57</f>
        <v>1477.8679999999999</v>
      </c>
      <c r="DN26" s="282">
        <f>Юнг!D57</f>
        <v>1369.07395</v>
      </c>
      <c r="DO26" s="282">
        <f t="shared" si="42"/>
        <v>92.63844605878198</v>
      </c>
      <c r="DP26" s="282">
        <f>Юнг!C60</f>
        <v>30</v>
      </c>
      <c r="DQ26" s="282">
        <f>Юнг!D60</f>
        <v>30</v>
      </c>
      <c r="DR26" s="282">
        <f t="shared" si="43"/>
        <v>100</v>
      </c>
      <c r="DS26" s="282">
        <f>Юнг!C61</f>
        <v>5</v>
      </c>
      <c r="DT26" s="282">
        <f>Юнг!D61</f>
        <v>0</v>
      </c>
      <c r="DU26" s="282">
        <f t="shared" si="44"/>
        <v>0</v>
      </c>
      <c r="DV26" s="282">
        <f>Юнг!C62</f>
        <v>22.628</v>
      </c>
      <c r="DW26" s="282">
        <f>Юнг!D62</f>
        <v>7</v>
      </c>
      <c r="DX26" s="282">
        <f t="shared" si="45"/>
        <v>30.935124624359201</v>
      </c>
      <c r="DY26" s="282">
        <f>Юнг!C64</f>
        <v>99.183999999999997</v>
      </c>
      <c r="DZ26" s="282">
        <f>Юнг!D64</f>
        <v>99.183999999999997</v>
      </c>
      <c r="EA26" s="282">
        <f t="shared" si="46"/>
        <v>100</v>
      </c>
      <c r="EB26" s="282">
        <f>Юнг!C65</f>
        <v>61.57</v>
      </c>
      <c r="EC26" s="282">
        <f>Юнг!D65</f>
        <v>55.133420000000001</v>
      </c>
      <c r="ED26" s="282">
        <f t="shared" si="47"/>
        <v>89.545915218450546</v>
      </c>
      <c r="EE26" s="290">
        <f>Юнг!C71</f>
        <v>1712.37789</v>
      </c>
      <c r="EF26" s="290">
        <f>Юнг!D71</f>
        <v>1635.8781300000001</v>
      </c>
      <c r="EG26" s="282">
        <f t="shared" si="48"/>
        <v>95.532542177357826</v>
      </c>
      <c r="EH26" s="290">
        <f>Юнг!C76</f>
        <v>4570.8459999999995</v>
      </c>
      <c r="EI26" s="290">
        <f>Юнг!D76</f>
        <v>4460.4213199999995</v>
      </c>
      <c r="EJ26" s="282">
        <f t="shared" si="49"/>
        <v>97.58415225540304</v>
      </c>
      <c r="EK26" s="290">
        <f>Юнг!C80</f>
        <v>1059.732</v>
      </c>
      <c r="EL26" s="294">
        <f>Юнг!D80</f>
        <v>1059.2</v>
      </c>
      <c r="EM26" s="282">
        <f t="shared" si="11"/>
        <v>99.949798628332459</v>
      </c>
      <c r="EN26" s="282">
        <f>Юнг!C82</f>
        <v>0</v>
      </c>
      <c r="EO26" s="282">
        <f>Юнг!D82</f>
        <v>0</v>
      </c>
      <c r="EP26" s="282" t="e">
        <f t="shared" si="12"/>
        <v>#DIV/0!</v>
      </c>
      <c r="EQ26" s="295">
        <f>Юнг!C87</f>
        <v>2</v>
      </c>
      <c r="ER26" s="295">
        <f>Юнг!D87</f>
        <v>2</v>
      </c>
      <c r="ES26" s="282">
        <f t="shared" si="50"/>
        <v>100</v>
      </c>
      <c r="ET26" s="282">
        <f>Юнг!C93</f>
        <v>0</v>
      </c>
      <c r="EU26" s="282">
        <f>Юнг!D93</f>
        <v>0</v>
      </c>
      <c r="EV26" s="282" t="e">
        <f t="shared" si="53"/>
        <v>#DIV/0!</v>
      </c>
      <c r="EW26" s="305">
        <f>SUM(C26-DG26)</f>
        <v>-337.53988999999819</v>
      </c>
      <c r="EX26" s="305">
        <f t="shared" si="52"/>
        <v>572.51568000000043</v>
      </c>
      <c r="EY26" s="282">
        <f t="shared" si="55"/>
        <v>-169.61422841016019</v>
      </c>
      <c r="EZ26" s="233"/>
      <c r="FA26" s="234"/>
      <c r="FC26" s="234"/>
    </row>
    <row r="27" spans="1:170" s="150" customFormat="1" ht="25.5" customHeight="1">
      <c r="A27" s="317">
        <v>14</v>
      </c>
      <c r="B27" s="319" t="s">
        <v>286</v>
      </c>
      <c r="C27" s="273">
        <f t="shared" si="0"/>
        <v>12337.756149999999</v>
      </c>
      <c r="D27" s="274">
        <f t="shared" si="1"/>
        <v>9228.3151799999996</v>
      </c>
      <c r="E27" s="282">
        <f t="shared" si="2"/>
        <v>74.79735429849616</v>
      </c>
      <c r="F27" s="276">
        <f t="shared" si="3"/>
        <v>1579.4300000000003</v>
      </c>
      <c r="G27" s="276">
        <f t="shared" si="4"/>
        <v>1851.90987</v>
      </c>
      <c r="H27" s="282">
        <f t="shared" si="13"/>
        <v>117.25178513767622</v>
      </c>
      <c r="I27" s="290">
        <f>Юсь!C6</f>
        <v>146.4</v>
      </c>
      <c r="J27" s="425">
        <f>Юсь!D6</f>
        <v>152.79718</v>
      </c>
      <c r="K27" s="282">
        <f t="shared" si="14"/>
        <v>104.36965846994535</v>
      </c>
      <c r="L27" s="282">
        <f>Юсь!C8</f>
        <v>206.65</v>
      </c>
      <c r="M27" s="282">
        <f>Юсь!D8</f>
        <v>242.66624999999999</v>
      </c>
      <c r="N27" s="275">
        <f t="shared" si="15"/>
        <v>117.42862327607064</v>
      </c>
      <c r="O27" s="275">
        <f>Юсь!C9</f>
        <v>2.2200000000000002</v>
      </c>
      <c r="P27" s="430">
        <f>Юсь!D9</f>
        <v>1.73573</v>
      </c>
      <c r="Q27" s="275">
        <f t="shared" si="16"/>
        <v>78.186036036036029</v>
      </c>
      <c r="R27" s="275">
        <f>Юсь!C10</f>
        <v>345.16</v>
      </c>
      <c r="S27" s="275">
        <f>Юсь!D10</f>
        <v>326.45429000000001</v>
      </c>
      <c r="T27" s="275">
        <f t="shared" si="17"/>
        <v>94.580568432031527</v>
      </c>
      <c r="U27" s="275">
        <f>Юсь!C11</f>
        <v>0</v>
      </c>
      <c r="V27" s="464">
        <f>Юсь!D11</f>
        <v>-44.736600000000003</v>
      </c>
      <c r="W27" s="275" t="e">
        <f t="shared" si="18"/>
        <v>#DIV/0!</v>
      </c>
      <c r="X27" s="290">
        <f>Юсь!C13</f>
        <v>5</v>
      </c>
      <c r="Y27" s="290">
        <f>Юсь!D13</f>
        <v>-4.1900000000000001E-3</v>
      </c>
      <c r="Z27" s="282">
        <f t="shared" si="19"/>
        <v>-8.3799999999999999E-2</v>
      </c>
      <c r="AA27" s="290">
        <f>Юсь!C15</f>
        <v>120</v>
      </c>
      <c r="AB27" s="281">
        <f>Юсь!D15</f>
        <v>121.87295</v>
      </c>
      <c r="AC27" s="282">
        <f t="shared" si="20"/>
        <v>101.56079166666667</v>
      </c>
      <c r="AD27" s="290">
        <f>Юсь!C16</f>
        <v>312</v>
      </c>
      <c r="AE27" s="290">
        <f>Юсь!D16</f>
        <v>317.52332000000001</v>
      </c>
      <c r="AF27" s="282">
        <f t="shared" si="5"/>
        <v>101.77029487179487</v>
      </c>
      <c r="AG27" s="282">
        <f>Юсь!C18</f>
        <v>10</v>
      </c>
      <c r="AH27" s="282">
        <f>Юсь!D18</f>
        <v>3.5</v>
      </c>
      <c r="AI27" s="282">
        <f t="shared" si="21"/>
        <v>35</v>
      </c>
      <c r="AJ27" s="282"/>
      <c r="AK27" s="282"/>
      <c r="AL27" s="282" t="e">
        <f>AJ27/AK27*100</f>
        <v>#DIV/0!</v>
      </c>
      <c r="AM27" s="290">
        <v>0</v>
      </c>
      <c r="AN27" s="290">
        <v>0</v>
      </c>
      <c r="AO27" s="282" t="e">
        <f t="shared" si="7"/>
        <v>#DIV/0!</v>
      </c>
      <c r="AP27" s="290">
        <f>Юсь!C27</f>
        <v>0</v>
      </c>
      <c r="AQ27" s="291">
        <f>Юсь!D27</f>
        <v>0</v>
      </c>
      <c r="AR27" s="282" t="e">
        <f t="shared" si="22"/>
        <v>#DIV/0!</v>
      </c>
      <c r="AS27" s="284">
        <f>Юсь!C28</f>
        <v>55</v>
      </c>
      <c r="AT27" s="291">
        <f>Юсь!D28</f>
        <v>54</v>
      </c>
      <c r="AU27" s="282">
        <f t="shared" si="23"/>
        <v>98.181818181818187</v>
      </c>
      <c r="AV27" s="290"/>
      <c r="AW27" s="290"/>
      <c r="AX27" s="282" t="e">
        <f t="shared" si="24"/>
        <v>#DIV/0!</v>
      </c>
      <c r="AY27" s="282">
        <f>Юсь!C30</f>
        <v>170</v>
      </c>
      <c r="AZ27" s="285">
        <f>Юсь!D30</f>
        <v>463.01981000000001</v>
      </c>
      <c r="BA27" s="282">
        <f t="shared" si="25"/>
        <v>272.36459411764702</v>
      </c>
      <c r="BB27" s="282"/>
      <c r="BC27" s="282"/>
      <c r="BD27" s="282"/>
      <c r="BE27" s="282">
        <f>Юсь!C31</f>
        <v>207</v>
      </c>
      <c r="BF27" s="467">
        <f>Юсь!D31</f>
        <v>207.7</v>
      </c>
      <c r="BG27" s="282">
        <f t="shared" si="26"/>
        <v>100.33816425120771</v>
      </c>
      <c r="BH27" s="282"/>
      <c r="BI27" s="282"/>
      <c r="BJ27" s="282" t="e">
        <f t="shared" si="27"/>
        <v>#DIV/0!</v>
      </c>
      <c r="BK27" s="282"/>
      <c r="BL27" s="282"/>
      <c r="BM27" s="282"/>
      <c r="BN27" s="282"/>
      <c r="BO27" s="282">
        <f>SUM(Юсь!D34)</f>
        <v>5.3811299999999997</v>
      </c>
      <c r="BP27" s="275" t="e">
        <f t="shared" si="28"/>
        <v>#DIV/0!</v>
      </c>
      <c r="BQ27" s="282">
        <f>Юсь!C36</f>
        <v>0</v>
      </c>
      <c r="BR27" s="437">
        <f>Юсь!D36</f>
        <v>0</v>
      </c>
      <c r="BS27" s="282" t="e">
        <f t="shared" si="29"/>
        <v>#DIV/0!</v>
      </c>
      <c r="BT27" s="282"/>
      <c r="BU27" s="282"/>
      <c r="BV27" s="292" t="e">
        <f t="shared" si="30"/>
        <v>#DIV/0!</v>
      </c>
      <c r="BW27" s="292"/>
      <c r="BX27" s="292"/>
      <c r="BY27" s="292" t="e">
        <f t="shared" si="31"/>
        <v>#DIV/0!</v>
      </c>
      <c r="BZ27" s="280">
        <f t="shared" si="32"/>
        <v>10758.326149999999</v>
      </c>
      <c r="CA27" s="280">
        <f t="shared" si="33"/>
        <v>7376.4053100000001</v>
      </c>
      <c r="CB27" s="282">
        <f t="shared" si="54"/>
        <v>68.564618762743137</v>
      </c>
      <c r="CC27" s="282">
        <f>Юсь!C41</f>
        <v>3421</v>
      </c>
      <c r="CD27" s="282">
        <f>Юсь!D41</f>
        <v>3421</v>
      </c>
      <c r="CE27" s="282">
        <f t="shared" si="34"/>
        <v>100</v>
      </c>
      <c r="CF27" s="282">
        <f>Юсь!C42</f>
        <v>500</v>
      </c>
      <c r="CG27" s="282">
        <f>Юсь!D42</f>
        <v>500</v>
      </c>
      <c r="CH27" s="282">
        <f t="shared" si="35"/>
        <v>100</v>
      </c>
      <c r="CI27" s="282">
        <f>Юсь!C44</f>
        <v>5293.9601499999999</v>
      </c>
      <c r="CJ27" s="282">
        <f>Юсь!D44</f>
        <v>1957.0393099999999</v>
      </c>
      <c r="CK27" s="282">
        <f t="shared" si="8"/>
        <v>36.967397837325997</v>
      </c>
      <c r="CL27" s="282">
        <f>Юсь!C45</f>
        <v>198.36600000000001</v>
      </c>
      <c r="CM27" s="282">
        <f>Юсь!D45</f>
        <v>198.36600000000001</v>
      </c>
      <c r="CN27" s="282">
        <f t="shared" si="9"/>
        <v>100</v>
      </c>
      <c r="CO27" s="448">
        <f>Юсь!C52</f>
        <v>1300</v>
      </c>
      <c r="CP27" s="282">
        <f>Юсь!D52</f>
        <v>1300</v>
      </c>
      <c r="CQ27" s="275">
        <f t="shared" si="36"/>
        <v>100</v>
      </c>
      <c r="CR27" s="293">
        <f>Юсь!C53</f>
        <v>45</v>
      </c>
      <c r="CS27" s="282">
        <f>Юсь!D53</f>
        <v>0</v>
      </c>
      <c r="CT27" s="282">
        <f t="shared" si="10"/>
        <v>0</v>
      </c>
      <c r="CU27" s="282"/>
      <c r="CV27" s="282"/>
      <c r="CW27" s="282"/>
      <c r="CX27" s="290"/>
      <c r="CY27" s="290"/>
      <c r="CZ27" s="282" t="e">
        <f t="shared" si="37"/>
        <v>#DIV/0!</v>
      </c>
      <c r="DA27" s="282"/>
      <c r="DB27" s="282"/>
      <c r="DC27" s="282"/>
      <c r="DD27" s="282"/>
      <c r="DE27" s="282"/>
      <c r="DF27" s="282"/>
      <c r="DG27" s="284">
        <f t="shared" si="38"/>
        <v>12763.508470000001</v>
      </c>
      <c r="DH27" s="284">
        <f t="shared" si="38"/>
        <v>9355.7525999999998</v>
      </c>
      <c r="DI27" s="282">
        <f t="shared" si="39"/>
        <v>73.300790468312343</v>
      </c>
      <c r="DJ27" s="290">
        <f t="shared" si="40"/>
        <v>1481.502</v>
      </c>
      <c r="DK27" s="290">
        <f t="shared" si="40"/>
        <v>1463.7435700000001</v>
      </c>
      <c r="DL27" s="282">
        <f t="shared" si="41"/>
        <v>98.801322576682324</v>
      </c>
      <c r="DM27" s="282">
        <f>Юсь!C61</f>
        <v>1421.502</v>
      </c>
      <c r="DN27" s="282">
        <f>Юсь!D61</f>
        <v>1408.7435700000001</v>
      </c>
      <c r="DO27" s="282">
        <f t="shared" si="42"/>
        <v>99.102468375000541</v>
      </c>
      <c r="DP27" s="282">
        <f>Юсь!C64</f>
        <v>34</v>
      </c>
      <c r="DQ27" s="282">
        <f>Юсь!D64</f>
        <v>34</v>
      </c>
      <c r="DR27" s="282">
        <f t="shared" si="43"/>
        <v>100</v>
      </c>
      <c r="DS27" s="282">
        <f>Юсь!C65</f>
        <v>5</v>
      </c>
      <c r="DT27" s="282">
        <f>Юсь!D65</f>
        <v>0</v>
      </c>
      <c r="DU27" s="282">
        <f t="shared" si="44"/>
        <v>0</v>
      </c>
      <c r="DV27" s="282">
        <f>Юсь!C66</f>
        <v>21</v>
      </c>
      <c r="DW27" s="282">
        <f>Юсь!D66</f>
        <v>21</v>
      </c>
      <c r="DX27" s="282">
        <f t="shared" si="45"/>
        <v>100</v>
      </c>
      <c r="DY27" s="282">
        <f>Юсь!C68</f>
        <v>198.36600000000001</v>
      </c>
      <c r="DZ27" s="282">
        <f>Юсь!D68</f>
        <v>198.36600000000001</v>
      </c>
      <c r="EA27" s="282">
        <f t="shared" si="46"/>
        <v>100</v>
      </c>
      <c r="EB27" s="282">
        <f>Юсь!C69</f>
        <v>12.821999999999999</v>
      </c>
      <c r="EC27" s="282">
        <f>Юсь!D69</f>
        <v>12.821909999999999</v>
      </c>
      <c r="ED27" s="282">
        <f t="shared" si="47"/>
        <v>99.999298081422552</v>
      </c>
      <c r="EE27" s="290">
        <f>Юсь!C75</f>
        <v>2231.5509499999998</v>
      </c>
      <c r="EF27" s="290">
        <f>Юсь!D75</f>
        <v>2224.4322299999999</v>
      </c>
      <c r="EG27" s="282">
        <f t="shared" si="48"/>
        <v>99.680996752505251</v>
      </c>
      <c r="EH27" s="290">
        <f>Юсь!C80</f>
        <v>6462.2145200000004</v>
      </c>
      <c r="EI27" s="290">
        <f>Юсь!D80</f>
        <v>3079.33772</v>
      </c>
      <c r="EJ27" s="282">
        <f t="shared" si="49"/>
        <v>47.651431416733594</v>
      </c>
      <c r="EK27" s="290">
        <f>Юсь!C84</f>
        <v>2377.0529999999999</v>
      </c>
      <c r="EL27" s="294">
        <f>Юсь!D84</f>
        <v>2377.0511700000002</v>
      </c>
      <c r="EM27" s="282">
        <f t="shared" si="11"/>
        <v>99.999923013916828</v>
      </c>
      <c r="EN27" s="282">
        <f>Юсь!C86</f>
        <v>0</v>
      </c>
      <c r="EO27" s="282">
        <f>Юсь!D86</f>
        <v>0</v>
      </c>
      <c r="EP27" s="282" t="e">
        <f t="shared" si="12"/>
        <v>#DIV/0!</v>
      </c>
      <c r="EQ27" s="295">
        <f>Юсь!C91</f>
        <v>0</v>
      </c>
      <c r="ER27" s="295">
        <f>Юсь!D91</f>
        <v>0</v>
      </c>
      <c r="ES27" s="282" t="e">
        <f t="shared" si="50"/>
        <v>#DIV/0!</v>
      </c>
      <c r="ET27" s="282">
        <f>Юсь!C97</f>
        <v>0</v>
      </c>
      <c r="EU27" s="282">
        <f>Юсь!D97</f>
        <v>0</v>
      </c>
      <c r="EV27" s="275" t="e">
        <f t="shared" si="53"/>
        <v>#DIV/0!</v>
      </c>
      <c r="EW27" s="289">
        <f>SUM(C27-DG27)</f>
        <v>-425.75232000000142</v>
      </c>
      <c r="EX27" s="289">
        <f>SUM(D27-DH27)</f>
        <v>-127.4374200000002</v>
      </c>
      <c r="EY27" s="275">
        <f t="shared" si="55"/>
        <v>29.932290210420881</v>
      </c>
      <c r="EZ27" s="152"/>
      <c r="FA27" s="153"/>
      <c r="FC27" s="153"/>
    </row>
    <row r="28" spans="1:170" s="150" customFormat="1" ht="23.25" customHeight="1">
      <c r="A28" s="317">
        <v>15</v>
      </c>
      <c r="B28" s="319" t="s">
        <v>287</v>
      </c>
      <c r="C28" s="296">
        <f t="shared" si="0"/>
        <v>16722.131079999999</v>
      </c>
      <c r="D28" s="274">
        <f t="shared" si="1"/>
        <v>15426.122589999999</v>
      </c>
      <c r="E28" s="282">
        <f>D28/C28*100</f>
        <v>92.24974087453451</v>
      </c>
      <c r="F28" s="276">
        <f t="shared" si="3"/>
        <v>2640.96</v>
      </c>
      <c r="G28" s="276">
        <f t="shared" si="4"/>
        <v>2805.8312000000001</v>
      </c>
      <c r="H28" s="282">
        <f>G28/F28*100</f>
        <v>106.24285108445414</v>
      </c>
      <c r="I28" s="290">
        <f>Яра!C6</f>
        <v>164.5</v>
      </c>
      <c r="J28" s="425">
        <f>Яра!D6</f>
        <v>205.47763</v>
      </c>
      <c r="K28" s="282">
        <f t="shared" si="14"/>
        <v>124.91041337386019</v>
      </c>
      <c r="L28" s="282">
        <f>Яра!C8</f>
        <v>319.45999999999998</v>
      </c>
      <c r="M28" s="282">
        <f>Яра!D8</f>
        <v>375.13085999999998</v>
      </c>
      <c r="N28" s="275">
        <f t="shared" si="15"/>
        <v>117.42655105490516</v>
      </c>
      <c r="O28" s="275">
        <f>Яра!C9</f>
        <v>3.43</v>
      </c>
      <c r="P28" s="430">
        <f>Яра!D9</f>
        <v>2.6831999999999998</v>
      </c>
      <c r="Q28" s="275">
        <f t="shared" si="16"/>
        <v>78.227405247813394</v>
      </c>
      <c r="R28" s="275">
        <f>Яра!C10</f>
        <v>533.57000000000005</v>
      </c>
      <c r="S28" s="275">
        <f>Яра!D10</f>
        <v>504.65638999999999</v>
      </c>
      <c r="T28" s="275">
        <f t="shared" si="17"/>
        <v>94.581102760649955</v>
      </c>
      <c r="U28" s="275">
        <f>Яра!C11</f>
        <v>0</v>
      </c>
      <c r="V28" s="464">
        <f>Яра!D11</f>
        <v>-69.157039999999995</v>
      </c>
      <c r="W28" s="275" t="e">
        <f t="shared" si="18"/>
        <v>#DIV/0!</v>
      </c>
      <c r="X28" s="290">
        <f>Яра!C13</f>
        <v>20</v>
      </c>
      <c r="Y28" s="290">
        <f>Яра!D13</f>
        <v>13.16578</v>
      </c>
      <c r="Z28" s="282">
        <f t="shared" si="19"/>
        <v>65.828900000000004</v>
      </c>
      <c r="AA28" s="290">
        <f>Яра!C15</f>
        <v>245</v>
      </c>
      <c r="AB28" s="281">
        <f>Яра!D15</f>
        <v>221.03736000000001</v>
      </c>
      <c r="AC28" s="282">
        <f t="shared" si="20"/>
        <v>90.219330612244903</v>
      </c>
      <c r="AD28" s="290">
        <f>Яра!C16</f>
        <v>1250</v>
      </c>
      <c r="AE28" s="290">
        <f>Яра!D16</f>
        <v>1391.02953</v>
      </c>
      <c r="AF28" s="282">
        <f t="shared" si="5"/>
        <v>111.2823624</v>
      </c>
      <c r="AG28" s="282">
        <f>Яра!C18</f>
        <v>15</v>
      </c>
      <c r="AH28" s="282">
        <f>Яра!D18</f>
        <v>4.0999999999999996</v>
      </c>
      <c r="AI28" s="282">
        <f t="shared" si="21"/>
        <v>27.333333333333332</v>
      </c>
      <c r="AJ28" s="282"/>
      <c r="AK28" s="282"/>
      <c r="AL28" s="282" t="e">
        <f>AJ28/AK28*100</f>
        <v>#DIV/0!</v>
      </c>
      <c r="AM28" s="290">
        <v>0</v>
      </c>
      <c r="AN28" s="290">
        <v>0</v>
      </c>
      <c r="AO28" s="282" t="e">
        <f t="shared" si="7"/>
        <v>#DIV/0!</v>
      </c>
      <c r="AP28" s="290">
        <f>Яра!C27</f>
        <v>90</v>
      </c>
      <c r="AQ28" s="291">
        <f>Яра!D27</f>
        <v>40.993810000000003</v>
      </c>
      <c r="AR28" s="282">
        <f t="shared" si="22"/>
        <v>45.548677777777783</v>
      </c>
      <c r="AS28" s="284">
        <f>Яра!C28</f>
        <v>0</v>
      </c>
      <c r="AT28" s="291">
        <f>Яра!D28</f>
        <v>0</v>
      </c>
      <c r="AU28" s="282" t="e">
        <f t="shared" si="23"/>
        <v>#DIV/0!</v>
      </c>
      <c r="AV28" s="290"/>
      <c r="AW28" s="290"/>
      <c r="AX28" s="282" t="e">
        <f t="shared" si="24"/>
        <v>#DIV/0!</v>
      </c>
      <c r="AY28" s="282">
        <f>Яра!C31</f>
        <v>0</v>
      </c>
      <c r="AZ28" s="285">
        <f>Яра!D31</f>
        <v>69.801360000000003</v>
      </c>
      <c r="BA28" s="282" t="e">
        <f t="shared" si="25"/>
        <v>#DIV/0!</v>
      </c>
      <c r="BB28" s="282"/>
      <c r="BC28" s="282"/>
      <c r="BD28" s="282"/>
      <c r="BE28" s="282">
        <f>Яра!C34</f>
        <v>0</v>
      </c>
      <c r="BF28" s="467">
        <v>0</v>
      </c>
      <c r="BG28" s="282" t="e">
        <f t="shared" si="26"/>
        <v>#DIV/0!</v>
      </c>
      <c r="BH28" s="282"/>
      <c r="BI28" s="282"/>
      <c r="BJ28" s="282" t="e">
        <f t="shared" si="27"/>
        <v>#DIV/0!</v>
      </c>
      <c r="BK28" s="282"/>
      <c r="BL28" s="282"/>
      <c r="BM28" s="282"/>
      <c r="BN28" s="282">
        <f>Яра!C35</f>
        <v>0</v>
      </c>
      <c r="BO28" s="282">
        <f>Яра!D35</f>
        <v>46.650320000000001</v>
      </c>
      <c r="BP28" s="275" t="e">
        <f t="shared" si="28"/>
        <v>#DIV/0!</v>
      </c>
      <c r="BQ28" s="282">
        <f>Яра!C37</f>
        <v>0</v>
      </c>
      <c r="BR28" s="437">
        <f>Яра!D37</f>
        <v>0.26200000000000001</v>
      </c>
      <c r="BS28" s="282" t="e">
        <f t="shared" si="29"/>
        <v>#DIV/0!</v>
      </c>
      <c r="BT28" s="282"/>
      <c r="BU28" s="282"/>
      <c r="BV28" s="292" t="e">
        <f t="shared" si="30"/>
        <v>#DIV/0!</v>
      </c>
      <c r="BW28" s="292"/>
      <c r="BX28" s="292"/>
      <c r="BY28" s="292" t="e">
        <f t="shared" si="31"/>
        <v>#DIV/0!</v>
      </c>
      <c r="BZ28" s="280">
        <f t="shared" si="32"/>
        <v>14081.17108</v>
      </c>
      <c r="CA28" s="280">
        <f t="shared" si="33"/>
        <v>12620.291389999999</v>
      </c>
      <c r="CB28" s="282">
        <f t="shared" si="54"/>
        <v>89.625296918131042</v>
      </c>
      <c r="CC28" s="282">
        <f>Яра!C42</f>
        <v>2004.7</v>
      </c>
      <c r="CD28" s="282">
        <f>Яра!D42</f>
        <v>2004.7</v>
      </c>
      <c r="CE28" s="282">
        <f t="shared" si="34"/>
        <v>100</v>
      </c>
      <c r="CF28" s="282">
        <f>Яра!C43</f>
        <v>614</v>
      </c>
      <c r="CG28" s="282">
        <f>Яра!D43</f>
        <v>614</v>
      </c>
      <c r="CH28" s="282">
        <f t="shared" si="35"/>
        <v>100</v>
      </c>
      <c r="CI28" s="282">
        <f>Яра!C44</f>
        <v>2752.4889800000001</v>
      </c>
      <c r="CJ28" s="282">
        <f>Яра!D44</f>
        <v>2752.4084800000001</v>
      </c>
      <c r="CK28" s="282">
        <f t="shared" si="8"/>
        <v>99.997075374303591</v>
      </c>
      <c r="CL28" s="282">
        <f>Яра!C45</f>
        <v>198.36600000000001</v>
      </c>
      <c r="CM28" s="282">
        <f>Яра!D45</f>
        <v>198.36600000000001</v>
      </c>
      <c r="CN28" s="282">
        <f t="shared" si="9"/>
        <v>100</v>
      </c>
      <c r="CO28" s="448">
        <f>Яра!C47</f>
        <v>8366.2064900000005</v>
      </c>
      <c r="CP28" s="282">
        <f>Яра!D47</f>
        <v>6786.9204</v>
      </c>
      <c r="CQ28" s="275">
        <f t="shared" si="36"/>
        <v>81.123032381669063</v>
      </c>
      <c r="CR28" s="293">
        <f>Яра!C51</f>
        <v>145.40960999999999</v>
      </c>
      <c r="CS28" s="282">
        <f>Яра!D51</f>
        <v>263.89650999999998</v>
      </c>
      <c r="CT28" s="282">
        <f t="shared" si="10"/>
        <v>181.48491698726102</v>
      </c>
      <c r="CU28" s="282"/>
      <c r="CV28" s="282"/>
      <c r="CW28" s="282"/>
      <c r="CX28" s="290"/>
      <c r="CY28" s="290"/>
      <c r="CZ28" s="282" t="e">
        <f t="shared" si="37"/>
        <v>#DIV/0!</v>
      </c>
      <c r="DA28" s="282"/>
      <c r="DB28" s="282">
        <f>Яра!D46</f>
        <v>0</v>
      </c>
      <c r="DC28" s="282" t="e">
        <f>DB28/DA28</f>
        <v>#DIV/0!</v>
      </c>
      <c r="DD28" s="282"/>
      <c r="DE28" s="282"/>
      <c r="DF28" s="282"/>
      <c r="DG28" s="284">
        <f t="shared" si="38"/>
        <v>18127.025809999999</v>
      </c>
      <c r="DH28" s="284">
        <f t="shared" si="38"/>
        <v>16438.37615</v>
      </c>
      <c r="DI28" s="282">
        <f t="shared" si="39"/>
        <v>90.684353419586159</v>
      </c>
      <c r="DJ28" s="290">
        <f t="shared" si="40"/>
        <v>1571.1</v>
      </c>
      <c r="DK28" s="290">
        <f t="shared" si="40"/>
        <v>1450.83548</v>
      </c>
      <c r="DL28" s="282">
        <f t="shared" si="41"/>
        <v>92.345202724205976</v>
      </c>
      <c r="DM28" s="282">
        <f>Яра!C59</f>
        <v>1526.1</v>
      </c>
      <c r="DN28" s="282">
        <f>Яра!D59</f>
        <v>1410.83548</v>
      </c>
      <c r="DO28" s="282">
        <f t="shared" si="42"/>
        <v>92.447118799554417</v>
      </c>
      <c r="DP28" s="282">
        <f>Яра!C62</f>
        <v>39</v>
      </c>
      <c r="DQ28" s="282">
        <f>Яра!D62</f>
        <v>39</v>
      </c>
      <c r="DR28" s="282">
        <f t="shared" si="43"/>
        <v>100</v>
      </c>
      <c r="DS28" s="282">
        <f>Яра!C63</f>
        <v>5</v>
      </c>
      <c r="DT28" s="282">
        <f>Яра!D63</f>
        <v>0</v>
      </c>
      <c r="DU28" s="282">
        <f t="shared" si="44"/>
        <v>0</v>
      </c>
      <c r="DV28" s="282">
        <f>Яра!C64</f>
        <v>1</v>
      </c>
      <c r="DW28" s="282">
        <f>Яра!D64</f>
        <v>1</v>
      </c>
      <c r="DX28" s="282">
        <f t="shared" si="45"/>
        <v>100</v>
      </c>
      <c r="DY28" s="282">
        <f>Яра!C66</f>
        <v>198.36600000000001</v>
      </c>
      <c r="DZ28" s="282">
        <f>Яра!D65</f>
        <v>198.36600000000001</v>
      </c>
      <c r="EA28" s="282">
        <f t="shared" si="46"/>
        <v>100</v>
      </c>
      <c r="EB28" s="282">
        <f>Яра!C67</f>
        <v>27.052569999999999</v>
      </c>
      <c r="EC28" s="282">
        <f>Яра!D67</f>
        <v>27.046209999999999</v>
      </c>
      <c r="ED28" s="282">
        <f t="shared" si="47"/>
        <v>99.976490218859055</v>
      </c>
      <c r="EE28" s="290">
        <f>Яра!C73</f>
        <v>4997.0712199999998</v>
      </c>
      <c r="EF28" s="290">
        <f>Яра!D73</f>
        <v>4979.3038500000002</v>
      </c>
      <c r="EG28" s="282">
        <f t="shared" si="48"/>
        <v>99.644444331133641</v>
      </c>
      <c r="EH28" s="290">
        <f>Яра!C78</f>
        <v>2420.1176599999999</v>
      </c>
      <c r="EI28" s="290">
        <f>Яра!D78</f>
        <v>2381.47003</v>
      </c>
      <c r="EJ28" s="282">
        <f t="shared" si="49"/>
        <v>98.403068138430925</v>
      </c>
      <c r="EK28" s="290">
        <f>Яра!C82</f>
        <v>8893.8717899999992</v>
      </c>
      <c r="EL28" s="294">
        <f>Яра!D82</f>
        <v>7381.9595799999997</v>
      </c>
      <c r="EM28" s="282">
        <f t="shared" si="11"/>
        <v>83.000517145975181</v>
      </c>
      <c r="EN28" s="282">
        <f>Яра!C84</f>
        <v>0</v>
      </c>
      <c r="EO28" s="282">
        <f>Яра!D84</f>
        <v>0</v>
      </c>
      <c r="EP28" s="282" t="e">
        <f t="shared" si="12"/>
        <v>#DIV/0!</v>
      </c>
      <c r="EQ28" s="295">
        <f>Яра!C89</f>
        <v>19.446570000000001</v>
      </c>
      <c r="ER28" s="295">
        <f>Яра!D89</f>
        <v>19.395</v>
      </c>
      <c r="ES28" s="282">
        <f t="shared" si="50"/>
        <v>99.734811845996489</v>
      </c>
      <c r="ET28" s="282">
        <f>Яра!C95</f>
        <v>0</v>
      </c>
      <c r="EU28" s="282">
        <f>Яра!D95</f>
        <v>0</v>
      </c>
      <c r="EV28" s="275" t="e">
        <f t="shared" si="53"/>
        <v>#DIV/0!</v>
      </c>
      <c r="EW28" s="289">
        <f t="shared" si="51"/>
        <v>-1404.89473</v>
      </c>
      <c r="EX28" s="289">
        <f t="shared" si="52"/>
        <v>-1012.253560000001</v>
      </c>
      <c r="EY28" s="275">
        <f t="shared" si="55"/>
        <v>72.051915234958642</v>
      </c>
      <c r="EZ28" s="152"/>
      <c r="FA28" s="153"/>
      <c r="FC28" s="153"/>
    </row>
    <row r="29" spans="1:170" s="150" customFormat="1" ht="25.5" customHeight="1">
      <c r="A29" s="317">
        <v>16</v>
      </c>
      <c r="B29" s="318" t="s">
        <v>288</v>
      </c>
      <c r="C29" s="273">
        <f t="shared" si="0"/>
        <v>9663.6771900000003</v>
      </c>
      <c r="D29" s="274">
        <f t="shared" si="1"/>
        <v>9122.0024400000002</v>
      </c>
      <c r="E29" s="275">
        <f t="shared" si="2"/>
        <v>94.394734640344495</v>
      </c>
      <c r="F29" s="276">
        <f t="shared" si="3"/>
        <v>2185.6761100000003</v>
      </c>
      <c r="G29" s="276">
        <f t="shared" si="4"/>
        <v>2147.4653600000001</v>
      </c>
      <c r="H29" s="275">
        <f t="shared" si="13"/>
        <v>98.251765216942403</v>
      </c>
      <c r="I29" s="280">
        <f>Яро!C6</f>
        <v>111</v>
      </c>
      <c r="J29" s="425">
        <f>Яро!D6</f>
        <v>114.07337</v>
      </c>
      <c r="K29" s="275">
        <f t="shared" si="14"/>
        <v>102.76880180180179</v>
      </c>
      <c r="L29" s="275">
        <f>Яро!C8</f>
        <v>183.91</v>
      </c>
      <c r="M29" s="275">
        <f>Яро!D8</f>
        <v>215.95062999999999</v>
      </c>
      <c r="N29" s="275">
        <f t="shared" si="15"/>
        <v>117.42190745473329</v>
      </c>
      <c r="O29" s="275">
        <f>Яро!C9</f>
        <v>1.97</v>
      </c>
      <c r="P29" s="430">
        <f>Яро!D9</f>
        <v>1.54464</v>
      </c>
      <c r="Q29" s="275">
        <f t="shared" si="16"/>
        <v>78.408121827411165</v>
      </c>
      <c r="R29" s="275">
        <f>Яро!C10</f>
        <v>307.16000000000003</v>
      </c>
      <c r="S29" s="275">
        <f>Яро!D10</f>
        <v>290.51436000000001</v>
      </c>
      <c r="T29" s="275">
        <f t="shared" si="17"/>
        <v>94.580791769761689</v>
      </c>
      <c r="U29" s="275">
        <f>Яро!C11</f>
        <v>0</v>
      </c>
      <c r="V29" s="464">
        <f>Яро!D11</f>
        <v>-39.811489999999999</v>
      </c>
      <c r="W29" s="275" t="e">
        <f t="shared" si="18"/>
        <v>#DIV/0!</v>
      </c>
      <c r="X29" s="280">
        <f>Яро!C13</f>
        <v>5</v>
      </c>
      <c r="Y29" s="280">
        <f>Яро!D13</f>
        <v>0.40439999999999998</v>
      </c>
      <c r="Z29" s="275">
        <f t="shared" si="19"/>
        <v>8.0879999999999992</v>
      </c>
      <c r="AA29" s="280">
        <f>Яро!C15</f>
        <v>270</v>
      </c>
      <c r="AB29" s="281">
        <f>Яро!D15</f>
        <v>151.82955000000001</v>
      </c>
      <c r="AC29" s="275">
        <f t="shared" si="20"/>
        <v>56.233166666666669</v>
      </c>
      <c r="AD29" s="280">
        <f>Яро!C16</f>
        <v>1071.03611</v>
      </c>
      <c r="AE29" s="280">
        <f>Яро!D16</f>
        <v>987.06889000000001</v>
      </c>
      <c r="AF29" s="275">
        <f t="shared" si="5"/>
        <v>92.160187764350908</v>
      </c>
      <c r="AG29" s="275">
        <f>Яро!C18</f>
        <v>5</v>
      </c>
      <c r="AH29" s="275">
        <f>Яро!D18</f>
        <v>4</v>
      </c>
      <c r="AI29" s="275">
        <f t="shared" si="21"/>
        <v>80</v>
      </c>
      <c r="AJ29" s="275"/>
      <c r="AK29" s="275"/>
      <c r="AL29" s="275" t="e">
        <f>AJ29/AK29*100</f>
        <v>#DIV/0!</v>
      </c>
      <c r="AM29" s="280">
        <v>0</v>
      </c>
      <c r="AN29" s="280">
        <v>0</v>
      </c>
      <c r="AO29" s="275" t="e">
        <f t="shared" si="7"/>
        <v>#DIV/0!</v>
      </c>
      <c r="AP29" s="280">
        <f>Яро!C26</f>
        <v>230.6</v>
      </c>
      <c r="AQ29" s="283">
        <f>Яро!D27</f>
        <v>358.39492999999999</v>
      </c>
      <c r="AR29" s="275">
        <f t="shared" si="22"/>
        <v>155.41844319167387</v>
      </c>
      <c r="AS29" s="284">
        <v>0</v>
      </c>
      <c r="AT29" s="283">
        <f>Яро!D28</f>
        <v>0</v>
      </c>
      <c r="AU29" s="275" t="e">
        <f t="shared" si="23"/>
        <v>#DIV/0!</v>
      </c>
      <c r="AV29" s="280"/>
      <c r="AW29" s="280"/>
      <c r="AX29" s="275" t="e">
        <f t="shared" si="24"/>
        <v>#DIV/0!</v>
      </c>
      <c r="AY29" s="275"/>
      <c r="AZ29" s="285">
        <f>Яро!D29</f>
        <v>0</v>
      </c>
      <c r="BA29" s="275" t="e">
        <f t="shared" si="25"/>
        <v>#DIV/0!</v>
      </c>
      <c r="BB29" s="275"/>
      <c r="BC29" s="275"/>
      <c r="BD29" s="275"/>
      <c r="BE29" s="275">
        <f>Яро!C31</f>
        <v>0</v>
      </c>
      <c r="BF29" s="430">
        <f>Яро!D31</f>
        <v>4.42</v>
      </c>
      <c r="BG29" s="275" t="e">
        <f t="shared" si="26"/>
        <v>#DIV/0!</v>
      </c>
      <c r="BH29" s="275"/>
      <c r="BI29" s="275"/>
      <c r="BJ29" s="275" t="e">
        <f t="shared" si="27"/>
        <v>#DIV/0!</v>
      </c>
      <c r="BK29" s="275"/>
      <c r="BL29" s="275"/>
      <c r="BM29" s="275"/>
      <c r="BN29" s="275">
        <f>Яро!C34</f>
        <v>0</v>
      </c>
      <c r="BO29" s="275">
        <f>Яро!D34</f>
        <v>59.076079999999997</v>
      </c>
      <c r="BP29" s="275" t="e">
        <f t="shared" si="28"/>
        <v>#DIV/0!</v>
      </c>
      <c r="BQ29" s="275">
        <v>0</v>
      </c>
      <c r="BR29" s="436">
        <v>0</v>
      </c>
      <c r="BS29" s="275" t="e">
        <f t="shared" si="29"/>
        <v>#DIV/0!</v>
      </c>
      <c r="BT29" s="275"/>
      <c r="BU29" s="275"/>
      <c r="BV29" s="287" t="e">
        <f t="shared" si="30"/>
        <v>#DIV/0!</v>
      </c>
      <c r="BW29" s="287"/>
      <c r="BX29" s="287"/>
      <c r="BY29" s="287" t="e">
        <f t="shared" si="31"/>
        <v>#DIV/0!</v>
      </c>
      <c r="BZ29" s="280">
        <f t="shared" si="32"/>
        <v>7478.00108</v>
      </c>
      <c r="CA29" s="280">
        <f t="shared" si="33"/>
        <v>6974.5370800000001</v>
      </c>
      <c r="CB29" s="275">
        <f t="shared" si="54"/>
        <v>93.26739867226658</v>
      </c>
      <c r="CC29" s="282">
        <f>Яро!C39</f>
        <v>730.1</v>
      </c>
      <c r="CD29" s="282">
        <f>Яро!D39</f>
        <v>730.1</v>
      </c>
      <c r="CE29" s="275">
        <f t="shared" si="34"/>
        <v>100</v>
      </c>
      <c r="CF29" s="275">
        <f>Яро!C40</f>
        <v>1075.9446600000001</v>
      </c>
      <c r="CG29" s="275">
        <f>Яро!D40</f>
        <v>1075.9446600000001</v>
      </c>
      <c r="CH29" s="275">
        <f t="shared" si="35"/>
        <v>100</v>
      </c>
      <c r="CI29" s="275">
        <f>Яро!C41</f>
        <v>3859.1835999999998</v>
      </c>
      <c r="CJ29" s="275">
        <f>Яро!D41</f>
        <v>3385.7195999999999</v>
      </c>
      <c r="CK29" s="275">
        <f t="shared" si="8"/>
        <v>87.73149844438602</v>
      </c>
      <c r="CL29" s="275">
        <f>Яро!C42</f>
        <v>99.183999999999997</v>
      </c>
      <c r="CM29" s="275">
        <f>Яро!D42</f>
        <v>99.183999999999997</v>
      </c>
      <c r="CN29" s="275">
        <f t="shared" si="9"/>
        <v>100</v>
      </c>
      <c r="CO29" s="286">
        <f>Яро!C44</f>
        <v>1025</v>
      </c>
      <c r="CP29" s="275">
        <f>Яро!D44</f>
        <v>1025</v>
      </c>
      <c r="CQ29" s="275">
        <f t="shared" si="36"/>
        <v>100</v>
      </c>
      <c r="CR29" s="279">
        <f>Яро!C45</f>
        <v>688.58882000000006</v>
      </c>
      <c r="CS29" s="275">
        <f>Яро!D45</f>
        <v>658.58882000000006</v>
      </c>
      <c r="CT29" s="275">
        <f t="shared" si="10"/>
        <v>95.643263566201966</v>
      </c>
      <c r="CU29" s="275"/>
      <c r="CV29" s="275"/>
      <c r="CW29" s="275"/>
      <c r="CX29" s="280"/>
      <c r="CY29" s="280"/>
      <c r="CZ29" s="275" t="e">
        <f t="shared" si="37"/>
        <v>#DIV/0!</v>
      </c>
      <c r="DA29" s="275"/>
      <c r="DB29" s="275"/>
      <c r="DC29" s="275"/>
      <c r="DD29" s="275"/>
      <c r="DE29" s="275"/>
      <c r="DF29" s="275"/>
      <c r="DG29" s="284">
        <f t="shared" si="38"/>
        <v>9809.1772899999996</v>
      </c>
      <c r="DH29" s="284">
        <f t="shared" si="38"/>
        <v>8753.9314200000008</v>
      </c>
      <c r="DI29" s="275">
        <f t="shared" si="39"/>
        <v>89.24225917421461</v>
      </c>
      <c r="DJ29" s="280">
        <f t="shared" si="40"/>
        <v>1361.3779999999999</v>
      </c>
      <c r="DK29" s="280">
        <f t="shared" si="40"/>
        <v>1236.72183</v>
      </c>
      <c r="DL29" s="275">
        <f t="shared" si="41"/>
        <v>90.84338295462392</v>
      </c>
      <c r="DM29" s="275">
        <f>Яро!C55</f>
        <v>1331.3779999999999</v>
      </c>
      <c r="DN29" s="275">
        <f>Яро!D55</f>
        <v>1211.72183</v>
      </c>
      <c r="DO29" s="275">
        <f t="shared" si="42"/>
        <v>91.012607238515287</v>
      </c>
      <c r="DP29" s="275">
        <f>Яро!C58</f>
        <v>24</v>
      </c>
      <c r="DQ29" s="275">
        <f>Яро!D58</f>
        <v>24</v>
      </c>
      <c r="DR29" s="275">
        <f t="shared" si="43"/>
        <v>100</v>
      </c>
      <c r="DS29" s="275">
        <f>Яро!C59</f>
        <v>5</v>
      </c>
      <c r="DT29" s="275">
        <f>Яро!D59</f>
        <v>0</v>
      </c>
      <c r="DU29" s="275">
        <f t="shared" si="44"/>
        <v>0</v>
      </c>
      <c r="DV29" s="275">
        <f>Яро!C60</f>
        <v>1</v>
      </c>
      <c r="DW29" s="275">
        <f>Яро!D60</f>
        <v>1</v>
      </c>
      <c r="DX29" s="275">
        <f t="shared" si="45"/>
        <v>100</v>
      </c>
      <c r="DY29" s="275">
        <f>Яро!C61</f>
        <v>99.183999999999997</v>
      </c>
      <c r="DZ29" s="275">
        <f>Яро!D61</f>
        <v>99.183999999999997</v>
      </c>
      <c r="EA29" s="275">
        <f t="shared" si="46"/>
        <v>100</v>
      </c>
      <c r="EB29" s="275">
        <f>Яро!C63</f>
        <v>18.189999999999998</v>
      </c>
      <c r="EC29" s="275">
        <f>Яро!D63</f>
        <v>18.189599999999999</v>
      </c>
      <c r="ED29" s="275">
        <f t="shared" si="47"/>
        <v>99.997800989554705</v>
      </c>
      <c r="EE29" s="280">
        <f>Яро!C69</f>
        <v>3963.0612099999998</v>
      </c>
      <c r="EF29" s="280">
        <f>Яро!D69</f>
        <v>3372.07</v>
      </c>
      <c r="EG29" s="275">
        <f t="shared" si="48"/>
        <v>85.087507391792229</v>
      </c>
      <c r="EH29" s="280">
        <f>Яро!C74</f>
        <v>3075.8760400000001</v>
      </c>
      <c r="EI29" s="280">
        <f>Яро!D74</f>
        <v>2736.2781500000001</v>
      </c>
      <c r="EJ29" s="275">
        <f t="shared" si="49"/>
        <v>88.959311572256993</v>
      </c>
      <c r="EK29" s="280">
        <f>Яро!C79</f>
        <v>1291.48804</v>
      </c>
      <c r="EL29" s="288">
        <f>Яро!D78</f>
        <v>1291.48784</v>
      </c>
      <c r="EM29" s="275">
        <f t="shared" si="11"/>
        <v>99.999984513987457</v>
      </c>
      <c r="EN29" s="275">
        <f>Яро!C80</f>
        <v>0</v>
      </c>
      <c r="EO29" s="275">
        <f>Яро!D80</f>
        <v>0</v>
      </c>
      <c r="EP29" s="275" t="e">
        <f t="shared" si="12"/>
        <v>#DIV/0!</v>
      </c>
      <c r="EQ29" s="276">
        <f>Яро!C85</f>
        <v>0</v>
      </c>
      <c r="ER29" s="276">
        <f>Яро!D85</f>
        <v>0</v>
      </c>
      <c r="ES29" s="275" t="e">
        <f t="shared" si="50"/>
        <v>#DIV/0!</v>
      </c>
      <c r="ET29" s="275">
        <f>Яро!C91</f>
        <v>0</v>
      </c>
      <c r="EU29" s="275">
        <f>Яро!D91</f>
        <v>0</v>
      </c>
      <c r="EV29" s="275" t="e">
        <f t="shared" si="53"/>
        <v>#DIV/0!</v>
      </c>
      <c r="EW29" s="289">
        <f t="shared" si="51"/>
        <v>-145.50009999999929</v>
      </c>
      <c r="EX29" s="289">
        <f t="shared" si="52"/>
        <v>368.07101999999941</v>
      </c>
      <c r="EY29" s="275">
        <f t="shared" si="55"/>
        <v>-252.96959933360955</v>
      </c>
      <c r="EZ29" s="152"/>
      <c r="FA29" s="153"/>
      <c r="FC29" s="153"/>
    </row>
    <row r="30" spans="1:170" s="150" customFormat="1" ht="17.25" customHeight="1">
      <c r="A30" s="324"/>
      <c r="B30" s="325"/>
      <c r="C30" s="306"/>
      <c r="D30" s="307"/>
      <c r="E30" s="275"/>
      <c r="F30" s="276"/>
      <c r="G30" s="280"/>
      <c r="H30" s="275"/>
      <c r="I30" s="280"/>
      <c r="J30" s="426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309"/>
      <c r="W30" s="275"/>
      <c r="X30" s="280"/>
      <c r="Y30" s="280"/>
      <c r="Z30" s="275"/>
      <c r="AA30" s="280"/>
      <c r="AB30" s="280"/>
      <c r="AC30" s="275"/>
      <c r="AD30" s="280"/>
      <c r="AE30" s="280"/>
      <c r="AF30" s="275"/>
      <c r="AG30" s="275"/>
      <c r="AH30" s="275"/>
      <c r="AI30" s="275"/>
      <c r="AJ30" s="275"/>
      <c r="AK30" s="275"/>
      <c r="AL30" s="275"/>
      <c r="AM30" s="280"/>
      <c r="AN30" s="280"/>
      <c r="AO30" s="275"/>
      <c r="AP30" s="280"/>
      <c r="AQ30" s="280"/>
      <c r="AR30" s="275"/>
      <c r="AS30" s="280"/>
      <c r="AT30" s="283"/>
      <c r="AU30" s="275"/>
      <c r="AV30" s="280"/>
      <c r="AW30" s="280"/>
      <c r="AX30" s="275"/>
      <c r="AY30" s="275"/>
      <c r="AZ30" s="285"/>
      <c r="BA30" s="275" t="e">
        <f t="shared" si="25"/>
        <v>#DIV/0!</v>
      </c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436"/>
      <c r="BS30" s="275"/>
      <c r="BT30" s="275"/>
      <c r="BU30" s="275"/>
      <c r="BV30" s="287"/>
      <c r="BW30" s="287"/>
      <c r="BX30" s="287"/>
      <c r="BY30" s="287"/>
      <c r="BZ30" s="280"/>
      <c r="CA30" s="280"/>
      <c r="CB30" s="275"/>
      <c r="CC30" s="275"/>
      <c r="CD30" s="275"/>
      <c r="CE30" s="275"/>
      <c r="CF30" s="275"/>
      <c r="CG30" s="275"/>
      <c r="CH30" s="430"/>
      <c r="CI30" s="275"/>
      <c r="CJ30" s="275"/>
      <c r="CK30" s="275"/>
      <c r="CL30" s="275"/>
      <c r="CM30" s="275"/>
      <c r="CN30" s="275"/>
      <c r="CO30" s="286"/>
      <c r="CP30" s="275"/>
      <c r="CQ30" s="275"/>
      <c r="CR30" s="309"/>
      <c r="CS30" s="275"/>
      <c r="CT30" s="275"/>
      <c r="CU30" s="275"/>
      <c r="CV30" s="275"/>
      <c r="CW30" s="275"/>
      <c r="CX30" s="280"/>
      <c r="CY30" s="280"/>
      <c r="CZ30" s="275"/>
      <c r="DA30" s="275"/>
      <c r="DB30" s="275"/>
      <c r="DC30" s="275"/>
      <c r="DD30" s="275"/>
      <c r="DE30" s="275"/>
      <c r="DF30" s="275"/>
      <c r="DG30" s="280"/>
      <c r="DH30" s="280"/>
      <c r="DI30" s="275"/>
      <c r="DJ30" s="280"/>
      <c r="DK30" s="308"/>
      <c r="DL30" s="275"/>
      <c r="DM30" s="275"/>
      <c r="DN30" s="275"/>
      <c r="DO30" s="275"/>
      <c r="DP30" s="275"/>
      <c r="DQ30" s="275"/>
      <c r="DR30" s="275"/>
      <c r="DS30" s="275"/>
      <c r="DT30" s="275"/>
      <c r="DU30" s="275"/>
      <c r="DV30" s="275"/>
      <c r="DW30" s="275"/>
      <c r="DX30" s="275"/>
      <c r="DY30" s="275"/>
      <c r="DZ30" s="286"/>
      <c r="EA30" s="275"/>
      <c r="EB30" s="275"/>
      <c r="EC30" s="275"/>
      <c r="ED30" s="275"/>
      <c r="EE30" s="280"/>
      <c r="EF30" s="280"/>
      <c r="EG30" s="275"/>
      <c r="EH30" s="280"/>
      <c r="EI30" s="280"/>
      <c r="EJ30" s="275"/>
      <c r="EK30" s="280"/>
      <c r="EL30" s="280"/>
      <c r="EM30" s="275"/>
      <c r="EN30" s="275"/>
      <c r="EO30" s="275"/>
      <c r="EP30" s="275"/>
      <c r="EQ30" s="276"/>
      <c r="ER30" s="276"/>
      <c r="ES30" s="275"/>
      <c r="ET30" s="275"/>
      <c r="EU30" s="275"/>
      <c r="EV30" s="275"/>
      <c r="EW30" s="289"/>
      <c r="EX30" s="289"/>
      <c r="EY30" s="275" t="e">
        <f t="shared" si="55"/>
        <v>#DIV/0!</v>
      </c>
      <c r="FA30" s="153"/>
      <c r="FC30" s="153"/>
    </row>
    <row r="31" spans="1:170" s="156" customFormat="1" ht="18.75">
      <c r="A31" s="529" t="s">
        <v>176</v>
      </c>
      <c r="B31" s="530"/>
      <c r="C31" s="310">
        <f>SUM(C14:C29)</f>
        <v>215501.88440999997</v>
      </c>
      <c r="D31" s="310">
        <f>SUM(D14:D29)</f>
        <v>187662.36100000003</v>
      </c>
      <c r="E31" s="311">
        <f>D31/C31*100</f>
        <v>87.081540615656863</v>
      </c>
      <c r="F31" s="312">
        <f>SUM(F14:F29)</f>
        <v>43013.04969</v>
      </c>
      <c r="G31" s="313">
        <f>SUM(G14:G29)</f>
        <v>45329.013869999995</v>
      </c>
      <c r="H31" s="311">
        <f>G31/F31*100</f>
        <v>105.38432916682592</v>
      </c>
      <c r="I31" s="313">
        <f>SUM(I14:I29)</f>
        <v>5878.5</v>
      </c>
      <c r="J31" s="427">
        <f>SUM(J14:J29)</f>
        <v>6104.9131200000002</v>
      </c>
      <c r="K31" s="311">
        <f>J31/I31*100</f>
        <v>103.85154580250064</v>
      </c>
      <c r="L31" s="311">
        <f>SUM(L14:L29)</f>
        <v>3471.43</v>
      </c>
      <c r="M31" s="311">
        <f>SUM(M14:M29)</f>
        <v>4076.3476900000001</v>
      </c>
      <c r="N31" s="311">
        <f>M31/L31*100</f>
        <v>117.42560529810481</v>
      </c>
      <c r="O31" s="311">
        <f>SUM(O14:O29)</f>
        <v>37.200000000000003</v>
      </c>
      <c r="P31" s="311">
        <f>SUM(P14:P29)</f>
        <v>29.157019999999996</v>
      </c>
      <c r="Q31" s="311">
        <f>P31/O31*100</f>
        <v>78.379086021505358</v>
      </c>
      <c r="R31" s="311">
        <f>SUM(R14:R29)</f>
        <v>5798.0699999999988</v>
      </c>
      <c r="S31" s="311">
        <f>SUM(S14:S29)</f>
        <v>5483.8330100000003</v>
      </c>
      <c r="T31" s="311">
        <f>S31/R31*100</f>
        <v>94.580317415967755</v>
      </c>
      <c r="U31" s="311">
        <f>SUM(U14:U29)</f>
        <v>0</v>
      </c>
      <c r="V31" s="470">
        <f>SUM(V14:V29)</f>
        <v>-751.49281999999994</v>
      </c>
      <c r="W31" s="311" t="e">
        <f>V31/U31*100</f>
        <v>#DIV/0!</v>
      </c>
      <c r="X31" s="313">
        <f>SUM(X14:X29)</f>
        <v>604.01199999999994</v>
      </c>
      <c r="Y31" s="313">
        <f>SUM(Y14:Y29)</f>
        <v>682.51701000000014</v>
      </c>
      <c r="Z31" s="311">
        <f>Y31/X31*100</f>
        <v>112.99725998821219</v>
      </c>
      <c r="AA31" s="313">
        <f>SUM(AA14:AA29)</f>
        <v>5173</v>
      </c>
      <c r="AB31" s="313">
        <f>SUM(AB14:AB29)</f>
        <v>5071.0979100000013</v>
      </c>
      <c r="AC31" s="311">
        <f>AB31/AA31*100</f>
        <v>98.030116180166274</v>
      </c>
      <c r="AD31" s="313">
        <f>SUM(AD14:AD29)</f>
        <v>17485.290690000002</v>
      </c>
      <c r="AE31" s="313">
        <f>SUM(AE14:AE29)</f>
        <v>18699.966189999999</v>
      </c>
      <c r="AF31" s="311">
        <f>AE31/AD31*100</f>
        <v>106.94684190005879</v>
      </c>
      <c r="AG31" s="314">
        <f>SUM(AG14:AG29)</f>
        <v>116</v>
      </c>
      <c r="AH31" s="311">
        <f>SUM(AH14:AH29)</f>
        <v>67.990000000000009</v>
      </c>
      <c r="AI31" s="275">
        <f t="shared" si="21"/>
        <v>58.612068965517253</v>
      </c>
      <c r="AJ31" s="313">
        <f>AJ14+AJ15+AJ16+AJ17+AJ18+AJ19+AJ20+AJ21+AJ22+AJ23+AJ24+AJ25+AJ26+AJ27+AJ28+AJ29</f>
        <v>0</v>
      </c>
      <c r="AK31" s="313">
        <f>AK14+AK15+AK16+AK17+AK18+AK19+AK20+AK21+AK22+AK23+AK24+AK25+AK26+AK27+AK28+AK29</f>
        <v>0</v>
      </c>
      <c r="AL31" s="275" t="e">
        <f>AK31/AJ31*100</f>
        <v>#DIV/0!</v>
      </c>
      <c r="AM31" s="313">
        <f>SUM(AM14:AM29)</f>
        <v>0</v>
      </c>
      <c r="AN31" s="313">
        <f>SUM(AN14:AN29)</f>
        <v>0</v>
      </c>
      <c r="AO31" s="311" t="e">
        <f>AN31/AM31*100</f>
        <v>#DIV/0!</v>
      </c>
      <c r="AP31" s="313">
        <f>SUM(AP14:AP29)</f>
        <v>3049.7529999999997</v>
      </c>
      <c r="AQ31" s="313">
        <f>SUM(AQ14:AQ30)</f>
        <v>3428.8637899999999</v>
      </c>
      <c r="AR31" s="311">
        <f>AQ31/AP31*100</f>
        <v>112.43086866379015</v>
      </c>
      <c r="AS31" s="313">
        <f>SUM(AS14:AS29)</f>
        <v>390.79999999999995</v>
      </c>
      <c r="AT31" s="313">
        <f>SUM(AT14:AT29)</f>
        <v>367.08319</v>
      </c>
      <c r="AU31" s="311">
        <f>AT31/AS31*100</f>
        <v>93.931215455475964</v>
      </c>
      <c r="AV31" s="313">
        <f>SUM(AV14:AV29)</f>
        <v>0</v>
      </c>
      <c r="AW31" s="313">
        <f>SUM(AW14:AW29)</f>
        <v>0</v>
      </c>
      <c r="AX31" s="311" t="e">
        <f>AW31/AV31*100</f>
        <v>#DIV/0!</v>
      </c>
      <c r="AY31" s="311">
        <f>SUM(AY14:AY29)</f>
        <v>695</v>
      </c>
      <c r="AZ31" s="311">
        <f>SUM(AZ14:AZ29)</f>
        <v>924.1580100000001</v>
      </c>
      <c r="BA31" s="275">
        <f t="shared" si="25"/>
        <v>132.97237553956836</v>
      </c>
      <c r="BB31" s="275">
        <f>SUM(BB14:BB29)</f>
        <v>0</v>
      </c>
      <c r="BC31" s="275">
        <f>SUM(BC14:BC29)</f>
        <v>0</v>
      </c>
      <c r="BD31" s="275" t="e">
        <f>BC31/BB31*100</f>
        <v>#DIV/0!</v>
      </c>
      <c r="BE31" s="312">
        <f>SUM(BE14:BE29)</f>
        <v>223.994</v>
      </c>
      <c r="BF31" s="313">
        <f>SUM(BF14:BF29)</f>
        <v>539.37350000000004</v>
      </c>
      <c r="BG31" s="313">
        <f t="shared" si="26"/>
        <v>240.79819102297387</v>
      </c>
      <c r="BH31" s="313">
        <f>SUM(BH14:BH29)</f>
        <v>0</v>
      </c>
      <c r="BI31" s="313">
        <f>SUM(BI14:BI29)</f>
        <v>0</v>
      </c>
      <c r="BJ31" s="311" t="e">
        <f>BI31/BH31*100</f>
        <v>#DIV/0!</v>
      </c>
      <c r="BK31" s="311">
        <f>SUM(BK14:BK29)</f>
        <v>0</v>
      </c>
      <c r="BL31" s="311">
        <f>BL15+BL27+BL28+BL19+BL22+BL26+BL18</f>
        <v>12.836869999999999</v>
      </c>
      <c r="BM31" s="311" t="e">
        <f>BL31/BK31*100</f>
        <v>#DIV/0!</v>
      </c>
      <c r="BN31" s="311">
        <f>BN14+BN15+BN16+BN17+BN18+BN19+BN20+BN21+BN22+BN23+BN24+BN25+BN26+BN27+BN28+BN29</f>
        <v>90</v>
      </c>
      <c r="BO31" s="311">
        <f>BO14+BO15+BO16+BO17+BO18+BO19+BO20+BO21+BO22+BO23+BO24+BO25+BO26+BO27+BO28+BO29</f>
        <v>602.03066000000001</v>
      </c>
      <c r="BP31" s="311">
        <f>BO31/BN31*100</f>
        <v>668.92295555555552</v>
      </c>
      <c r="BQ31" s="313">
        <f>SUM(BQ14:BQ29)</f>
        <v>0</v>
      </c>
      <c r="BR31" s="427">
        <f>SUM(BR14:BR29)</f>
        <v>3.1755900000000001</v>
      </c>
      <c r="BS31" s="311" t="e">
        <f>BR31/BQ31*100</f>
        <v>#DIV/0!</v>
      </c>
      <c r="BT31" s="311">
        <f t="shared" ref="BT31:BY31" si="56">SUM(BT14:BT29)</f>
        <v>0</v>
      </c>
      <c r="BU31" s="311"/>
      <c r="BV31" s="311" t="e">
        <f t="shared" si="56"/>
        <v>#DIV/0!</v>
      </c>
      <c r="BW31" s="311">
        <f t="shared" si="56"/>
        <v>0</v>
      </c>
      <c r="BX31" s="311">
        <f t="shared" si="56"/>
        <v>0</v>
      </c>
      <c r="BY31" s="315" t="e">
        <f t="shared" si="56"/>
        <v>#DIV/0!</v>
      </c>
      <c r="BZ31" s="312">
        <f>SUM(BZ14:BZ29)</f>
        <v>172488.83471999998</v>
      </c>
      <c r="CA31" s="313">
        <f>SUM(CA14:CA29)</f>
        <v>142333.34713000001</v>
      </c>
      <c r="CB31" s="313">
        <f t="shared" si="54"/>
        <v>82.517426337217032</v>
      </c>
      <c r="CC31" s="313">
        <f>SUM(CC14:CC29)</f>
        <v>29508.000000000004</v>
      </c>
      <c r="CD31" s="313">
        <f>SUM(CD14:CD29)</f>
        <v>29508.000000000004</v>
      </c>
      <c r="CE31" s="313">
        <f>CD31/CC31*100</f>
        <v>100</v>
      </c>
      <c r="CF31" s="312">
        <f>SUM(CF14:CF29)</f>
        <v>9777.0576600000022</v>
      </c>
      <c r="CG31" s="313">
        <f>SUM(CG14:CG29)</f>
        <v>9777.0576600000022</v>
      </c>
      <c r="CH31" s="313">
        <f>CG31/CF31*100</f>
        <v>100</v>
      </c>
      <c r="CI31" s="313">
        <f>SUM(CI14:CI29)</f>
        <v>81147.523659999992</v>
      </c>
      <c r="CJ31" s="313">
        <f>SUM(CJ14:CJ29)</f>
        <v>57162.419650000003</v>
      </c>
      <c r="CK31" s="313">
        <f>CJ31/CI31*100</f>
        <v>70.442592788789</v>
      </c>
      <c r="CL31" s="313">
        <f>SUM(CL14:CL29)</f>
        <v>2449.4</v>
      </c>
      <c r="CM31" s="313">
        <f>SUM(CM14:CM29)</f>
        <v>2380.4</v>
      </c>
      <c r="CN31" s="313">
        <f t="shared" si="9"/>
        <v>97.182983587817432</v>
      </c>
      <c r="CO31" s="450">
        <f>SUM(CO14:CO29)</f>
        <v>45686.844100000002</v>
      </c>
      <c r="CP31" s="313">
        <f>SUM(CP14:CP29)</f>
        <v>39042.470670000002</v>
      </c>
      <c r="CQ31" s="313">
        <f>CP31/CO31*100</f>
        <v>85.456702994287141</v>
      </c>
      <c r="CR31" s="313">
        <f>SUM(CR14:CR29)</f>
        <v>3920.0093000000002</v>
      </c>
      <c r="CS31" s="313">
        <f>SUM(CS14:CS29)</f>
        <v>4462.9991499999996</v>
      </c>
      <c r="CT31" s="313">
        <f t="shared" si="10"/>
        <v>113.85174902518725</v>
      </c>
      <c r="CU31" s="313">
        <f>SUM(CU14:CU29)</f>
        <v>0</v>
      </c>
      <c r="CV31" s="313">
        <f>SUM(CV14:CV29)</f>
        <v>0</v>
      </c>
      <c r="CW31" s="313" t="e">
        <f>CV31/CU31*100</f>
        <v>#DIV/0!</v>
      </c>
      <c r="CX31" s="313">
        <f>SUM(CX14:CX29)</f>
        <v>0</v>
      </c>
      <c r="CY31" s="313">
        <f>SUM(CY14:CY29)</f>
        <v>0</v>
      </c>
      <c r="CZ31" s="311" t="e">
        <f>CY31/CX31*100</f>
        <v>#DIV/0!</v>
      </c>
      <c r="DA31" s="311">
        <f>DA14+DA15+DA16+DA17+DA18+DA19+DA20+DA21+DA22+DA23+DA24+DA25+DA26+DA27+DA28+DA29</f>
        <v>0</v>
      </c>
      <c r="DB31" s="311">
        <f>DB14+DB15+DB16+DB17+DB18+DB19+DB20+DB21+DB22+DB23+DB24+DB25+DB26+DB27+DB28+DB29</f>
        <v>0</v>
      </c>
      <c r="DC31" s="311" t="e">
        <f>DB31/DA31*100</f>
        <v>#DIV/0!</v>
      </c>
      <c r="DD31" s="311">
        <f>DD14+DD15+DD16+DD17+DD18+DD19+DD20+DD21+DD22+DD23+DD24+DD25+DD26+DD27+DD28+DD29</f>
        <v>0</v>
      </c>
      <c r="DE31" s="311">
        <f>DE14+DE15+DE16+DE17+DE18+DE19+DE20+DE21+DE22+DE23+DE24+DE25+DE26+DE27+DE28+DE29</f>
        <v>0</v>
      </c>
      <c r="DF31" s="311">
        <v>0</v>
      </c>
      <c r="DG31" s="312">
        <f>SUM(DG14:DG29)</f>
        <v>222120.85664999994</v>
      </c>
      <c r="DH31" s="312">
        <f>SUM(DH14:DH29)</f>
        <v>185305.68906000003</v>
      </c>
      <c r="DI31" s="311">
        <f>DH31/DG31*100</f>
        <v>83.425614260073615</v>
      </c>
      <c r="DJ31" s="312">
        <f>SUM(DJ14:DJ29)</f>
        <v>27562.666179999997</v>
      </c>
      <c r="DK31" s="312">
        <f>SUM(DK14:DK29)</f>
        <v>26423.958259999996</v>
      </c>
      <c r="DL31" s="311">
        <f>DK31/DJ31*100</f>
        <v>95.868658305536968</v>
      </c>
      <c r="DM31" s="313">
        <f>SUM(DM14:DM29)</f>
        <v>26562.156179999998</v>
      </c>
      <c r="DN31" s="312">
        <f>SUM(DN14:DN29)</f>
        <v>25587.441259999996</v>
      </c>
      <c r="DO31" s="311">
        <f>DN31/DM31*100</f>
        <v>96.330437508932675</v>
      </c>
      <c r="DP31" s="313">
        <f>SUM(DP14:DP29)</f>
        <v>559.51700000000005</v>
      </c>
      <c r="DQ31" s="313">
        <f>SUM(DQ14:DQ29)</f>
        <v>559.51700000000005</v>
      </c>
      <c r="DR31" s="311">
        <f>DQ31/DP31*100</f>
        <v>100</v>
      </c>
      <c r="DS31" s="316">
        <f>SUM(DS14:DS29)</f>
        <v>126</v>
      </c>
      <c r="DT31" s="311">
        <f>SUM(DT14:DT29)</f>
        <v>0</v>
      </c>
      <c r="DU31" s="311">
        <f>DT31/DS31*100</f>
        <v>0</v>
      </c>
      <c r="DV31" s="311">
        <f>SUM(DV14:DV29)</f>
        <v>314.99299999999999</v>
      </c>
      <c r="DW31" s="311">
        <f>SUM(DW14:DW29)</f>
        <v>277</v>
      </c>
      <c r="DX31" s="275">
        <f>DW31/DV31*100</f>
        <v>87.938462124555144</v>
      </c>
      <c r="DY31" s="311">
        <f>SUM(DY14:DY29)</f>
        <v>2380.4</v>
      </c>
      <c r="DZ31" s="316">
        <f>SUM(DZ14:DZ29)</f>
        <v>2380.4</v>
      </c>
      <c r="EA31" s="313">
        <f t="shared" si="46"/>
        <v>100</v>
      </c>
      <c r="EB31" s="316">
        <f>SUM(EB14:EB29)</f>
        <v>211.59377000000001</v>
      </c>
      <c r="EC31" s="316">
        <f>SUM(EC14:EC29)</f>
        <v>193.00731999999999</v>
      </c>
      <c r="ED31" s="275">
        <f t="shared" si="47"/>
        <v>91.215974837066327</v>
      </c>
      <c r="EE31" s="313">
        <f>SUM(EE14:EE29)</f>
        <v>56113.707030000005</v>
      </c>
      <c r="EF31" s="312">
        <f>SUM(EF14:EF29)</f>
        <v>50676.199739999989</v>
      </c>
      <c r="EG31" s="311">
        <f>EF31/EE31*100</f>
        <v>90.309841253059673</v>
      </c>
      <c r="EH31" s="313">
        <f>SUM(EH14:EH29)</f>
        <v>88241.840069999991</v>
      </c>
      <c r="EI31" s="312">
        <f>SUM(EI14:EI29)</f>
        <v>64389.249100000001</v>
      </c>
      <c r="EJ31" s="311">
        <f>EI31/EH31*100</f>
        <v>72.969068923451346</v>
      </c>
      <c r="EK31" s="312">
        <f>SUM(EK14:EK29)</f>
        <v>47523.275029999997</v>
      </c>
      <c r="EL31" s="312">
        <f>SUM(EL14:EL29)</f>
        <v>41164.02764</v>
      </c>
      <c r="EM31" s="311">
        <f>EL31/EK31*100</f>
        <v>86.618667619212701</v>
      </c>
      <c r="EN31" s="312">
        <f>SUM(EN14:EN29)</f>
        <v>2</v>
      </c>
      <c r="EO31" s="312">
        <f>SUM(EO14:EO29)</f>
        <v>2</v>
      </c>
      <c r="EP31" s="311">
        <f>EO31/EN31*100</f>
        <v>100</v>
      </c>
      <c r="EQ31" s="313">
        <f>SUM(EQ14:EQ29)</f>
        <v>85.374570000000006</v>
      </c>
      <c r="ER31" s="313">
        <f>SUM(ER14:ER29)</f>
        <v>76.847000000000008</v>
      </c>
      <c r="ES31" s="311">
        <f>ER31/EQ31*100</f>
        <v>90.011580731826825</v>
      </c>
      <c r="ET31" s="311">
        <f>SUM(ET14:ET29)</f>
        <v>0</v>
      </c>
      <c r="EU31" s="314">
        <f>SUM(EU14:EU29)</f>
        <v>0</v>
      </c>
      <c r="EV31" s="275" t="e">
        <f>EU31/ET31*100</f>
        <v>#DIV/0!</v>
      </c>
      <c r="EW31" s="316">
        <f>SUM(EW14:EW29)</f>
        <v>-6618.9722399999973</v>
      </c>
      <c r="EX31" s="311">
        <f>SUM(EX14:EX29)</f>
        <v>2356.6719400000011</v>
      </c>
      <c r="EY31" s="275">
        <f>EX31/EW31*100</f>
        <v>-35.60480169048121</v>
      </c>
    </row>
    <row r="32" spans="1:170" s="158" customFormat="1" ht="27.75" customHeight="1">
      <c r="C32" s="157">
        <v>215501.88441</v>
      </c>
      <c r="D32" s="157">
        <v>187662.361</v>
      </c>
      <c r="E32" s="157"/>
      <c r="F32" s="157">
        <v>43013.04969</v>
      </c>
      <c r="G32" s="157">
        <v>45329.013870000002</v>
      </c>
      <c r="H32" s="157"/>
      <c r="I32" s="157">
        <v>5878.5</v>
      </c>
      <c r="J32" s="157">
        <v>6104.9131200000002</v>
      </c>
      <c r="K32" s="157"/>
      <c r="L32" s="157">
        <v>3471.43</v>
      </c>
      <c r="M32" s="157">
        <v>4076.3476900000001</v>
      </c>
      <c r="N32" s="157"/>
      <c r="O32" s="157">
        <v>37.200000000000003</v>
      </c>
      <c r="P32" s="157">
        <v>29.157019999999999</v>
      </c>
      <c r="Q32" s="157"/>
      <c r="R32" s="157">
        <v>5798.07</v>
      </c>
      <c r="S32" s="157">
        <v>5483.8330100000003</v>
      </c>
      <c r="T32" s="157"/>
      <c r="U32" s="157" t="e">
        <f>#REF!-U31</f>
        <v>#REF!</v>
      </c>
      <c r="V32" s="157">
        <v>-751.49282000000005</v>
      </c>
      <c r="W32" s="157"/>
      <c r="X32" s="157">
        <v>604.01199999999994</v>
      </c>
      <c r="Y32" s="157">
        <v>682.51701000000003</v>
      </c>
      <c r="Z32" s="157"/>
      <c r="AA32" s="157">
        <v>5173</v>
      </c>
      <c r="AB32" s="157">
        <v>5071.0979100000004</v>
      </c>
      <c r="AC32" s="157"/>
      <c r="AD32" s="157">
        <v>17485.290690000002</v>
      </c>
      <c r="AE32" s="157">
        <v>18699.966189999999</v>
      </c>
      <c r="AF32" s="157"/>
      <c r="AG32" s="157">
        <v>116</v>
      </c>
      <c r="AH32" s="157">
        <v>67.989999999999995</v>
      </c>
      <c r="AI32" s="157"/>
      <c r="AJ32" s="157" t="e">
        <f>#REF!-AJ31</f>
        <v>#REF!</v>
      </c>
      <c r="AK32" s="157" t="e">
        <f>#REF!-AK31</f>
        <v>#REF!</v>
      </c>
      <c r="AL32" s="157"/>
      <c r="AM32" s="157" t="e">
        <f>#REF!-AM31</f>
        <v>#REF!</v>
      </c>
      <c r="AN32" s="157" t="e">
        <f>#REF!-AN31</f>
        <v>#REF!</v>
      </c>
      <c r="AO32" s="157"/>
      <c r="AP32" s="157">
        <v>3049.7530000000002</v>
      </c>
      <c r="AQ32" s="157">
        <v>3428.8637899999999</v>
      </c>
      <c r="AR32" s="157"/>
      <c r="AS32" s="157">
        <v>390.8</v>
      </c>
      <c r="AT32" s="157">
        <v>367.08319</v>
      </c>
      <c r="AU32" s="157"/>
      <c r="AV32" s="157" t="e">
        <f>#REF!-AV31</f>
        <v>#REF!</v>
      </c>
      <c r="AW32" s="157" t="e">
        <f>#REF!-AW31</f>
        <v>#REF!</v>
      </c>
      <c r="AX32" s="157" t="e">
        <f>#REF!-AX31</f>
        <v>#REF!</v>
      </c>
      <c r="AY32" s="157">
        <v>695</v>
      </c>
      <c r="AZ32" s="157">
        <v>924.15800999999999</v>
      </c>
      <c r="BA32" s="157"/>
      <c r="BB32" s="157" t="e">
        <f>#REF!-BB31</f>
        <v>#REF!</v>
      </c>
      <c r="BC32" s="157" t="e">
        <f>#REF!-BC31</f>
        <v>#REF!</v>
      </c>
      <c r="BD32" s="157" t="e">
        <f>#REF!-BD31</f>
        <v>#REF!</v>
      </c>
      <c r="BE32" s="157">
        <v>223.994</v>
      </c>
      <c r="BF32" s="157">
        <v>539.37350000000004</v>
      </c>
      <c r="BG32" s="157"/>
      <c r="BH32" s="157" t="e">
        <f>#REF!-BH31</f>
        <v>#REF!</v>
      </c>
      <c r="BI32" s="157" t="e">
        <f>#REF!-BI31</f>
        <v>#REF!</v>
      </c>
      <c r="BJ32" s="157" t="e">
        <f>#REF!-BJ31</f>
        <v>#REF!</v>
      </c>
      <c r="BK32" s="157" t="e">
        <f>#REF!-BK31</f>
        <v>#REF!</v>
      </c>
      <c r="BL32" s="157" t="e">
        <f>#REF!-BL31</f>
        <v>#REF!</v>
      </c>
      <c r="BM32" s="157" t="e">
        <f>#REF!-BM31</f>
        <v>#REF!</v>
      </c>
      <c r="BN32" s="157">
        <v>90</v>
      </c>
      <c r="BO32" s="157">
        <v>602.03066000000001</v>
      </c>
      <c r="BP32" s="157"/>
      <c r="BQ32" s="157" t="e">
        <f>#REF!-BQ31</f>
        <v>#REF!</v>
      </c>
      <c r="BR32" s="157">
        <v>3.1755900000000001</v>
      </c>
      <c r="BS32" s="157"/>
      <c r="BT32" s="157" t="e">
        <f>#REF!-BT31</f>
        <v>#REF!</v>
      </c>
      <c r="BU32" s="157" t="e">
        <f>#REF!-BU31</f>
        <v>#REF!</v>
      </c>
      <c r="BV32" s="157" t="e">
        <f>#REF!-BV31</f>
        <v>#REF!</v>
      </c>
      <c r="BW32" s="157" t="e">
        <f>#REF!-BW31</f>
        <v>#REF!</v>
      </c>
      <c r="BX32" s="157" t="e">
        <f>#REF!-BX31</f>
        <v>#REF!</v>
      </c>
      <c r="BY32" s="157" t="e">
        <f>#REF!-BY31</f>
        <v>#REF!</v>
      </c>
      <c r="BZ32" s="157">
        <v>172488.83472000001</v>
      </c>
      <c r="CA32" s="157">
        <v>142333.34713000001</v>
      </c>
      <c r="CB32" s="157"/>
      <c r="CC32" s="157">
        <v>29508</v>
      </c>
      <c r="CD32" s="157">
        <v>29508</v>
      </c>
      <c r="CE32" s="157"/>
      <c r="CF32" s="157">
        <v>9777.0576600000004</v>
      </c>
      <c r="CG32" s="157">
        <v>9777.0576600000004</v>
      </c>
      <c r="CH32" s="157"/>
      <c r="CI32" s="157">
        <v>81147.523660000006</v>
      </c>
      <c r="CJ32" s="157">
        <v>57162.419650000003</v>
      </c>
      <c r="CK32" s="157"/>
      <c r="CL32" s="157">
        <v>2449.4</v>
      </c>
      <c r="CM32" s="157">
        <v>2380.4</v>
      </c>
      <c r="CN32" s="157"/>
      <c r="CO32" s="157">
        <v>45686.844100000002</v>
      </c>
      <c r="CP32" s="157">
        <v>39042.470670000002</v>
      </c>
      <c r="CQ32" s="157"/>
      <c r="CR32" s="157">
        <v>3920.0093000000002</v>
      </c>
      <c r="CS32" s="157">
        <v>4462.9991499999996</v>
      </c>
      <c r="CT32" s="157"/>
      <c r="CU32" s="157" t="e">
        <f>#REF!-CU31</f>
        <v>#REF!</v>
      </c>
      <c r="CV32" s="157" t="e">
        <f>-(#REF!-CV31)</f>
        <v>#REF!</v>
      </c>
      <c r="CW32" s="157"/>
      <c r="CX32" s="157" t="e">
        <f>#REF!-CX31</f>
        <v>#REF!</v>
      </c>
      <c r="CY32" s="157" t="e">
        <f>#REF!-CY31</f>
        <v>#REF!</v>
      </c>
      <c r="CZ32" s="157" t="e">
        <f>#REF!-CZ31</f>
        <v>#REF!</v>
      </c>
      <c r="DA32" s="157" t="e">
        <f>#REF!-DA31</f>
        <v>#REF!</v>
      </c>
      <c r="DB32" s="157" t="e">
        <f>#REF!-DB31</f>
        <v>#REF!</v>
      </c>
      <c r="DC32" s="157" t="e">
        <f>#REF!-DC31</f>
        <v>#REF!</v>
      </c>
      <c r="DD32" s="157" t="e">
        <f>#REF!-DD31</f>
        <v>#REF!</v>
      </c>
      <c r="DE32" s="157" t="e">
        <f>#REF!-DE31</f>
        <v>#REF!</v>
      </c>
      <c r="DF32" s="157"/>
      <c r="DG32" s="157">
        <v>222120.85665</v>
      </c>
      <c r="DH32" s="157">
        <v>185305.68906</v>
      </c>
      <c r="DI32" s="157"/>
      <c r="DJ32" s="157">
        <v>27562.66618</v>
      </c>
      <c r="DK32" s="157">
        <v>26423.958259999999</v>
      </c>
      <c r="DL32" s="157"/>
      <c r="DM32" s="157">
        <v>26562.156180000002</v>
      </c>
      <c r="DN32" s="157">
        <v>25587.44126</v>
      </c>
      <c r="DO32" s="157"/>
      <c r="DP32" s="157">
        <v>559.51700000000005</v>
      </c>
      <c r="DQ32" s="157">
        <v>559.51700000000005</v>
      </c>
      <c r="DR32" s="157"/>
      <c r="DS32" s="157">
        <v>126</v>
      </c>
      <c r="DT32" s="157" t="e">
        <f>#REF!-DT31</f>
        <v>#REF!</v>
      </c>
      <c r="DU32" s="157"/>
      <c r="DV32" s="157">
        <v>314.99299999999999</v>
      </c>
      <c r="DW32" s="157">
        <v>277</v>
      </c>
      <c r="DX32" s="157"/>
      <c r="DY32" s="157">
        <v>2380.4</v>
      </c>
      <c r="DZ32" s="157">
        <v>2380.4</v>
      </c>
      <c r="EA32" s="157"/>
      <c r="EB32" s="157">
        <v>211.59377000000001</v>
      </c>
      <c r="EC32" s="157">
        <v>193.00731999999999</v>
      </c>
      <c r="ED32" s="157"/>
      <c r="EE32" s="157">
        <v>56113.707029999998</v>
      </c>
      <c r="EF32" s="157">
        <v>50676.199739999996</v>
      </c>
      <c r="EG32" s="157"/>
      <c r="EH32" s="157">
        <v>88241.840070000006</v>
      </c>
      <c r="EI32" s="157">
        <v>64389.249100000001</v>
      </c>
      <c r="EJ32" s="157"/>
      <c r="EK32" s="157">
        <v>47523.275029999997</v>
      </c>
      <c r="EL32" s="157">
        <v>41164.02764</v>
      </c>
      <c r="EM32" s="157"/>
      <c r="EN32" s="157">
        <v>2</v>
      </c>
      <c r="EO32" s="157">
        <v>2</v>
      </c>
      <c r="EP32" s="157"/>
      <c r="EQ32" s="157">
        <v>85.374570000000006</v>
      </c>
      <c r="ER32" s="157">
        <v>76.846999999999994</v>
      </c>
      <c r="ES32" s="157"/>
      <c r="ET32" s="157">
        <v>0</v>
      </c>
      <c r="EU32" s="157">
        <v>0</v>
      </c>
      <c r="EV32" s="157"/>
      <c r="EW32" s="157">
        <v>-6618.9722400000001</v>
      </c>
      <c r="EX32" s="157">
        <v>2356.6719400000002</v>
      </c>
    </row>
    <row r="33" spans="3:155">
      <c r="C33" s="157">
        <f>C32-C31</f>
        <v>0</v>
      </c>
      <c r="D33" s="157">
        <f>D32-D31</f>
        <v>0</v>
      </c>
      <c r="E33" s="157"/>
      <c r="F33" s="157">
        <f>F32-F31</f>
        <v>0</v>
      </c>
      <c r="G33" s="157">
        <f>G32-G31</f>
        <v>0</v>
      </c>
      <c r="H33" s="157"/>
      <c r="I33" s="157">
        <f>I32-I31</f>
        <v>0</v>
      </c>
      <c r="J33" s="157">
        <f>J32-J31</f>
        <v>0</v>
      </c>
      <c r="K33" s="157"/>
      <c r="L33" s="157">
        <f>L32-L31</f>
        <v>0</v>
      </c>
      <c r="M33" s="157">
        <f>M32-M31</f>
        <v>0</v>
      </c>
      <c r="N33" s="157"/>
      <c r="O33" s="157">
        <f>O32-O31</f>
        <v>0</v>
      </c>
      <c r="P33" s="157">
        <f>P32-P31</f>
        <v>0</v>
      </c>
      <c r="Q33" s="157"/>
      <c r="R33" s="157">
        <f>R32-R31</f>
        <v>0</v>
      </c>
      <c r="S33" s="157">
        <f>S32-S31</f>
        <v>0</v>
      </c>
      <c r="T33" s="157"/>
      <c r="U33" s="157" t="e">
        <f>U32-U31</f>
        <v>#REF!</v>
      </c>
      <c r="V33" s="157">
        <f>V32-V31</f>
        <v>0</v>
      </c>
      <c r="W33" s="157"/>
      <c r="X33" s="157">
        <f>X32-X31</f>
        <v>0</v>
      </c>
      <c r="Y33" s="157">
        <f>Y32-Y31</f>
        <v>0</v>
      </c>
      <c r="Z33" s="157"/>
      <c r="AA33" s="157">
        <f>AA32-AA31</f>
        <v>0</v>
      </c>
      <c r="AB33" s="157">
        <f>AB32-AB31</f>
        <v>0</v>
      </c>
      <c r="AC33" s="157"/>
      <c r="AD33" s="157">
        <f>AD32-AD31</f>
        <v>0</v>
      </c>
      <c r="AE33" s="157">
        <f>AE32-AE31</f>
        <v>0</v>
      </c>
      <c r="AF33" s="157"/>
      <c r="AG33" s="157">
        <f>AG32-AG31</f>
        <v>0</v>
      </c>
      <c r="AH33" s="157">
        <f>AH32-AH31</f>
        <v>0</v>
      </c>
      <c r="AI33" s="157"/>
      <c r="AJ33" s="157" t="e">
        <f t="shared" ref="AJ33:AQ33" si="57">AJ32-AJ31</f>
        <v>#REF!</v>
      </c>
      <c r="AK33" s="157" t="e">
        <f t="shared" si="57"/>
        <v>#REF!</v>
      </c>
      <c r="AL33" s="157" t="e">
        <f t="shared" si="57"/>
        <v>#DIV/0!</v>
      </c>
      <c r="AM33" s="157" t="e">
        <f t="shared" si="57"/>
        <v>#REF!</v>
      </c>
      <c r="AN33" s="157" t="e">
        <f t="shared" si="57"/>
        <v>#REF!</v>
      </c>
      <c r="AO33" s="157" t="e">
        <f t="shared" si="57"/>
        <v>#DIV/0!</v>
      </c>
      <c r="AP33" s="157">
        <f t="shared" si="57"/>
        <v>0</v>
      </c>
      <c r="AQ33" s="157">
        <f t="shared" si="57"/>
        <v>0</v>
      </c>
      <c r="AR33" s="157"/>
      <c r="AS33" s="157">
        <f>AS32-AS31</f>
        <v>0</v>
      </c>
      <c r="AT33" s="157">
        <f>AT32-AT31</f>
        <v>0</v>
      </c>
      <c r="AU33" s="157"/>
      <c r="AV33" s="157" t="e">
        <f>AV32-AV31</f>
        <v>#REF!</v>
      </c>
      <c r="AW33" s="157" t="e">
        <f>AW32-AW31</f>
        <v>#REF!</v>
      </c>
      <c r="AX33" s="157" t="e">
        <f>AX32-AX31</f>
        <v>#REF!</v>
      </c>
      <c r="AY33" s="157">
        <f>AY32-AY31</f>
        <v>0</v>
      </c>
      <c r="AZ33" s="157">
        <f>AZ32-AZ31</f>
        <v>0</v>
      </c>
      <c r="BA33" s="157"/>
      <c r="BB33" s="157" t="e">
        <f>BB32-BB31</f>
        <v>#REF!</v>
      </c>
      <c r="BC33" s="157" t="e">
        <f>BC32-BC31</f>
        <v>#REF!</v>
      </c>
      <c r="BD33" s="157" t="e">
        <f>BD32-BD31</f>
        <v>#REF!</v>
      </c>
      <c r="BE33" s="157">
        <f>BE32-BE31</f>
        <v>0</v>
      </c>
      <c r="BF33" s="157">
        <f>BF32-BF31</f>
        <v>0</v>
      </c>
      <c r="BG33" s="157"/>
      <c r="BH33" s="157" t="e">
        <f t="shared" ref="BH33:BO33" si="58">BH32-BH31</f>
        <v>#REF!</v>
      </c>
      <c r="BI33" s="157" t="e">
        <f t="shared" si="58"/>
        <v>#REF!</v>
      </c>
      <c r="BJ33" s="157" t="e">
        <f t="shared" si="58"/>
        <v>#REF!</v>
      </c>
      <c r="BK33" s="157" t="e">
        <f t="shared" si="58"/>
        <v>#REF!</v>
      </c>
      <c r="BL33" s="157" t="e">
        <f t="shared" si="58"/>
        <v>#REF!</v>
      </c>
      <c r="BM33" s="157" t="e">
        <f t="shared" si="58"/>
        <v>#REF!</v>
      </c>
      <c r="BN33" s="157">
        <f t="shared" si="58"/>
        <v>0</v>
      </c>
      <c r="BO33" s="157">
        <f t="shared" si="58"/>
        <v>0</v>
      </c>
      <c r="BP33" s="157"/>
      <c r="BQ33" s="157" t="e">
        <f>BQ32-BQ31</f>
        <v>#REF!</v>
      </c>
      <c r="BR33" s="157">
        <f>BR32-BR31</f>
        <v>0</v>
      </c>
      <c r="BS33" s="157"/>
      <c r="BT33" s="157" t="e">
        <f t="shared" ref="BT33:CA33" si="59">BT32-BT31</f>
        <v>#REF!</v>
      </c>
      <c r="BU33" s="157" t="e">
        <f t="shared" si="59"/>
        <v>#REF!</v>
      </c>
      <c r="BV33" s="157" t="e">
        <f t="shared" si="59"/>
        <v>#REF!</v>
      </c>
      <c r="BW33" s="157" t="e">
        <f t="shared" si="59"/>
        <v>#REF!</v>
      </c>
      <c r="BX33" s="157" t="e">
        <f t="shared" si="59"/>
        <v>#REF!</v>
      </c>
      <c r="BY33" s="157" t="e">
        <f t="shared" si="59"/>
        <v>#REF!</v>
      </c>
      <c r="BZ33" s="157">
        <f t="shared" si="59"/>
        <v>0</v>
      </c>
      <c r="CA33" s="157">
        <f t="shared" si="59"/>
        <v>0</v>
      </c>
      <c r="CB33" s="157"/>
      <c r="CC33" s="157">
        <f>CC32-CC31</f>
        <v>0</v>
      </c>
      <c r="CD33" s="157">
        <f>CD32-CD31</f>
        <v>0</v>
      </c>
      <c r="CE33" s="157"/>
      <c r="CF33" s="157">
        <f>CF32-CF31</f>
        <v>0</v>
      </c>
      <c r="CG33" s="157">
        <f>CG32-CG31</f>
        <v>0</v>
      </c>
      <c r="CH33" s="157"/>
      <c r="CI33" s="157">
        <f>CI32-CI31</f>
        <v>0</v>
      </c>
      <c r="CJ33" s="157">
        <f>CJ32-CJ31</f>
        <v>0</v>
      </c>
      <c r="CK33" s="157"/>
      <c r="CL33" s="157">
        <f>CL32-CL31</f>
        <v>0</v>
      </c>
      <c r="CM33" s="157">
        <f>CM32-CM31</f>
        <v>0</v>
      </c>
      <c r="CN33" s="157"/>
      <c r="CO33" s="157">
        <f>CO32-CO31</f>
        <v>0</v>
      </c>
      <c r="CP33" s="157">
        <f>CP32-CP31</f>
        <v>0</v>
      </c>
      <c r="CQ33" s="157"/>
      <c r="CR33" s="157">
        <f>CR32-CR31</f>
        <v>0</v>
      </c>
      <c r="CS33" s="157">
        <f>CS32-CS31</f>
        <v>0</v>
      </c>
      <c r="CT33" s="157"/>
      <c r="CU33" s="157" t="e">
        <f>CU32-CU31</f>
        <v>#REF!</v>
      </c>
      <c r="CV33" s="157" t="e">
        <f>CV32-CV31</f>
        <v>#REF!</v>
      </c>
      <c r="CW33" s="157"/>
      <c r="CX33" s="157" t="e">
        <f t="shared" ref="CX33:DH33" si="60">CX32-CX31</f>
        <v>#REF!</v>
      </c>
      <c r="CY33" s="157" t="e">
        <f t="shared" si="60"/>
        <v>#REF!</v>
      </c>
      <c r="CZ33" s="157" t="e">
        <f t="shared" si="60"/>
        <v>#REF!</v>
      </c>
      <c r="DA33" s="157" t="e">
        <f t="shared" si="60"/>
        <v>#REF!</v>
      </c>
      <c r="DB33" s="157" t="e">
        <f t="shared" si="60"/>
        <v>#REF!</v>
      </c>
      <c r="DC33" s="157" t="e">
        <f t="shared" si="60"/>
        <v>#REF!</v>
      </c>
      <c r="DD33" s="157" t="e">
        <f t="shared" si="60"/>
        <v>#REF!</v>
      </c>
      <c r="DE33" s="157" t="e">
        <f t="shared" si="60"/>
        <v>#REF!</v>
      </c>
      <c r="DF33" s="157">
        <f t="shared" si="60"/>
        <v>0</v>
      </c>
      <c r="DG33" s="157">
        <f t="shared" si="60"/>
        <v>0</v>
      </c>
      <c r="DH33" s="157">
        <f t="shared" si="60"/>
        <v>0</v>
      </c>
      <c r="DI33" s="157"/>
      <c r="DJ33" s="157">
        <f>DJ32-DJ31</f>
        <v>0</v>
      </c>
      <c r="DK33" s="157">
        <f>DK32-DK31</f>
        <v>0</v>
      </c>
      <c r="DL33" s="157"/>
      <c r="DM33" s="157">
        <f>DM32-DM31</f>
        <v>0</v>
      </c>
      <c r="DN33" s="157">
        <f>DN32-DN31</f>
        <v>0</v>
      </c>
      <c r="DO33" s="157"/>
      <c r="DP33" s="157">
        <f>DP32-DP31</f>
        <v>0</v>
      </c>
      <c r="DQ33" s="157">
        <f>DQ32-DQ31</f>
        <v>0</v>
      </c>
      <c r="DR33" s="157"/>
      <c r="DS33" s="157">
        <f>DS32-DS31</f>
        <v>0</v>
      </c>
      <c r="DT33" s="157" t="e">
        <f>DT32-DT31</f>
        <v>#REF!</v>
      </c>
      <c r="DU33" s="157"/>
      <c r="DV33" s="157">
        <f>DV32-DV31</f>
        <v>0</v>
      </c>
      <c r="DW33" s="157">
        <f>DW32-DW31</f>
        <v>0</v>
      </c>
      <c r="DX33" s="157"/>
      <c r="DY33" s="157">
        <f>DY32-DY31</f>
        <v>0</v>
      </c>
      <c r="DZ33" s="157">
        <f>DZ32-DZ31</f>
        <v>0</v>
      </c>
      <c r="EA33" s="157"/>
      <c r="EB33" s="157">
        <f>EB32-EB31</f>
        <v>0</v>
      </c>
      <c r="EC33" s="157">
        <f>EC32-EC31</f>
        <v>0</v>
      </c>
      <c r="ED33" s="157"/>
      <c r="EE33" s="157">
        <f>EE32-EE31</f>
        <v>0</v>
      </c>
      <c r="EF33" s="157">
        <f>EF32-EF31</f>
        <v>0</v>
      </c>
      <c r="EG33" s="157"/>
      <c r="EH33" s="157">
        <f>EH32-EH31</f>
        <v>0</v>
      </c>
      <c r="EI33" s="157">
        <f>EI32-EI31</f>
        <v>0</v>
      </c>
      <c r="EJ33" s="157"/>
      <c r="EK33" s="157">
        <f>EK32-EK31</f>
        <v>0</v>
      </c>
      <c r="EL33" s="157">
        <f>EL32-EL31</f>
        <v>0</v>
      </c>
      <c r="EM33" s="157"/>
      <c r="EN33" s="157">
        <f>EN32-EN31</f>
        <v>0</v>
      </c>
      <c r="EO33" s="157">
        <f>EO32-EO31</f>
        <v>0</v>
      </c>
      <c r="EP33" s="157"/>
      <c r="EQ33" s="157">
        <f>EQ32-EQ31</f>
        <v>0</v>
      </c>
      <c r="ER33" s="157">
        <f>ER32-ER31</f>
        <v>0</v>
      </c>
      <c r="ES33" s="157"/>
      <c r="ET33" s="157">
        <f>ET32-ET31</f>
        <v>0</v>
      </c>
      <c r="EU33" s="157">
        <f>EU32-EU31</f>
        <v>0</v>
      </c>
      <c r="EV33" s="157"/>
      <c r="EW33" s="157">
        <f>EW32-EW31</f>
        <v>0</v>
      </c>
      <c r="EX33" s="157">
        <f>EX32-EX31</f>
        <v>0</v>
      </c>
      <c r="EY33" s="159"/>
    </row>
  </sheetData>
  <customSheetViews>
    <customSheetView guid="{5BFCA170-DEAE-4D2C-98A0-1E68B427AC01}" scale="75" showPageBreaks="1" printArea="1" hiddenColumns="1" view="pageBreakPreview" topLeftCell="A10">
      <pane xSplit="2" ySplit="4" topLeftCell="C14" activePane="bottomRight" state="frozen"/>
      <selection pane="bottomRight" activeCell="EL30" sqref="EL30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1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2"/>
    </customSheetView>
    <customSheetView guid="{3DCB9AAA-F09C-4EA6-B992-F93E466D374A}" scale="75" showPageBreaks="1" printArea="1" hiddenRows="1" hiddenColumns="1" view="pageBreakPreview" topLeftCell="A10">
      <pane xSplit="2" ySplit="4" topLeftCell="DI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3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4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5"/>
    </customSheetView>
    <customSheetView guid="{B31C8DB7-3E78-4144-A6B5-8DE36DE63F0E}" scale="75" showPageBreaks="1" printArea="1" hiddenColumns="1" view="pageBreakPreview" topLeftCell="A10">
      <pane xSplit="2" ySplit="4" topLeftCell="C14" activePane="bottomRight" state="frozen"/>
      <selection pane="bottomRight" activeCell="EW33" sqref="EW33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6"/>
    </customSheetView>
    <customSheetView guid="{B30CE22D-C12F-4E12-8BB9-3AAE0A6991CC}" scale="75" showPageBreaks="1" fitToPage="1" printArea="1" hiddenColumns="1" view="pageBreakPreview" topLeftCell="H10">
      <selection activeCell="X12" sqref="X1:Y1048576"/>
      <colBreaks count="6" manualBreakCount="6">
        <brk id="17" max="30" man="1"/>
        <brk id="35" max="13" man="1"/>
        <brk id="59" max="13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54" fitToWidth="7" orientation="landscape" r:id="rId7"/>
    </customSheetView>
    <customSheetView guid="{1718F1EE-9F48-4DBE-9531-3B70F9C4A5DD}" scale="75" showPageBreaks="1" printArea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8"/>
    </customSheetView>
    <customSheetView guid="{61528DAC-5C4C-48F4-ADE2-8A724B05A086}" scale="70" showPageBreaks="1" printArea="1" hiddenColumns="1" view="pageBreakPreview" topLeftCell="A7">
      <selection activeCell="CG29" sqref="CG29"/>
      <pageMargins left="0.70866141732283472" right="0.19685039370078741" top="0.27559055118110237" bottom="0.31496062992125984" header="0.31496062992125984" footer="0.31496062992125984"/>
      <pageSetup paperSize="9" scale="60" fitToWidth="11" orientation="landscape" r:id="rId9"/>
    </customSheetView>
  </customSheetViews>
  <mergeCells count="69">
    <mergeCell ref="CO9:CQ11"/>
    <mergeCell ref="CU9:CW11"/>
    <mergeCell ref="DD9:DF11"/>
    <mergeCell ref="EB9:ED11"/>
    <mergeCell ref="DM11:DO11"/>
    <mergeCell ref="DV11:DX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EN9:EP11"/>
    <mergeCell ref="DM9:DX9"/>
    <mergeCell ref="DY9:EA11"/>
    <mergeCell ref="EH9:EJ11"/>
    <mergeCell ref="EK9:EM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Q9:BS11"/>
    <mergeCell ref="AM9:AO11"/>
    <mergeCell ref="AD9:AF11"/>
    <mergeCell ref="AG9:AI11"/>
    <mergeCell ref="BK9:BM11"/>
    <mergeCell ref="AJ9:AL11"/>
    <mergeCell ref="AP9:AR11"/>
    <mergeCell ref="AD1:AF1"/>
    <mergeCell ref="I8:AX8"/>
    <mergeCell ref="AD2:AF2"/>
    <mergeCell ref="AD3:AF3"/>
    <mergeCell ref="X1:Z1"/>
    <mergeCell ref="B5:Z5"/>
    <mergeCell ref="I6:X6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DD8:DF8"/>
    <mergeCell ref="AY9:BA11"/>
    <mergeCell ref="AV9:AX11"/>
    <mergeCell ref="AS9:AU11"/>
    <mergeCell ref="BB9:BD11"/>
    <mergeCell ref="CI9:CK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DA8:DC8"/>
  </mergeCells>
  <phoneticPr fontId="14" type="noConversion"/>
  <pageMargins left="0.70866141732283472" right="0.19685039370078741" top="0.27559055118110237" bottom="0.31496062992125984" header="0.31496062992125984" footer="0.31496062992125984"/>
  <pageSetup paperSize="9" scale="51" fitToWidth="11" orientation="landscape" r:id="rId10"/>
  <colBreaks count="7" manualBreakCount="7">
    <brk id="20" max="30" man="1"/>
    <brk id="41" max="30" man="1"/>
    <brk id="65" max="30" man="1"/>
    <brk id="86" max="30" man="1"/>
    <brk id="101" max="30" man="1"/>
    <brk id="128" max="30" man="1"/>
    <brk id="149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324</v>
      </c>
      <c r="AO1" t="s">
        <v>325</v>
      </c>
      <c r="AP1" t="s">
        <v>326</v>
      </c>
      <c r="AS1" t="s">
        <v>327</v>
      </c>
      <c r="AW1">
        <v>187.4</v>
      </c>
      <c r="AX1" t="s">
        <v>328</v>
      </c>
      <c r="AY1" t="s">
        <v>329</v>
      </c>
    </row>
    <row r="2" spans="32:51">
      <c r="AF2" t="s">
        <v>330</v>
      </c>
      <c r="AJ2" t="s">
        <v>331</v>
      </c>
    </row>
    <row r="3" spans="32:51">
      <c r="AF3" t="s">
        <v>333</v>
      </c>
      <c r="AH3" t="s">
        <v>332</v>
      </c>
      <c r="AJ3" t="s">
        <v>333</v>
      </c>
      <c r="AN3" t="s">
        <v>332</v>
      </c>
      <c r="AO3" t="s">
        <v>332</v>
      </c>
      <c r="AP3" t="s">
        <v>332</v>
      </c>
      <c r="AS3" t="s">
        <v>334</v>
      </c>
      <c r="AT3" t="s">
        <v>335</v>
      </c>
      <c r="AU3" t="s">
        <v>336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337</v>
      </c>
      <c r="AU4" t="s">
        <v>338</v>
      </c>
      <c r="AV4" t="s">
        <v>339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340</v>
      </c>
      <c r="AU5" t="s">
        <v>338</v>
      </c>
      <c r="AV5" t="s">
        <v>341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342</v>
      </c>
      <c r="AU6" t="s">
        <v>338</v>
      </c>
      <c r="AV6" t="s">
        <v>341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343</v>
      </c>
      <c r="AU7" t="s">
        <v>338</v>
      </c>
      <c r="AV7" t="s">
        <v>344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345</v>
      </c>
      <c r="AU8" t="s">
        <v>338</v>
      </c>
      <c r="AV8" t="s">
        <v>346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347</v>
      </c>
      <c r="AU9" t="s">
        <v>338</v>
      </c>
      <c r="AV9" t="s">
        <v>348</v>
      </c>
      <c r="AW9" t="s">
        <v>349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350</v>
      </c>
      <c r="AU10" t="s">
        <v>338</v>
      </c>
      <c r="AV10" t="s">
        <v>351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352</v>
      </c>
      <c r="AU11" t="s">
        <v>338</v>
      </c>
      <c r="AV11" t="s">
        <v>353</v>
      </c>
      <c r="AW11" t="s">
        <v>349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354</v>
      </c>
      <c r="AU12" t="s">
        <v>338</v>
      </c>
      <c r="AV12" t="s">
        <v>355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356</v>
      </c>
      <c r="AU13" t="s">
        <v>338</v>
      </c>
      <c r="AV13" t="s">
        <v>357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358</v>
      </c>
      <c r="AU14" t="s">
        <v>338</v>
      </c>
      <c r="AV14" t="s">
        <v>344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359</v>
      </c>
      <c r="AU15" t="s">
        <v>338</v>
      </c>
      <c r="AV15" t="s">
        <v>360</v>
      </c>
      <c r="AW15" t="s">
        <v>361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362</v>
      </c>
      <c r="AU16" t="s">
        <v>338</v>
      </c>
      <c r="AV16" t="s">
        <v>341</v>
      </c>
      <c r="AW16" t="s">
        <v>363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364</v>
      </c>
      <c r="AU17" t="s">
        <v>338</v>
      </c>
      <c r="AV17" t="s">
        <v>365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366</v>
      </c>
      <c r="AU18" t="s">
        <v>338</v>
      </c>
      <c r="AV18" t="s">
        <v>341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367</v>
      </c>
      <c r="AU19" t="s">
        <v>368</v>
      </c>
      <c r="AV19" t="s">
        <v>351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369</v>
      </c>
      <c r="AY20" t="s">
        <v>370</v>
      </c>
    </row>
    <row r="82" hidden="1"/>
    <row r="83" hidden="1"/>
    <row r="84" hidden="1"/>
  </sheetData>
  <customSheetViews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1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2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3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4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5"/>
    </customSheetView>
    <customSheetView guid="{B30CE22D-C12F-4E12-8BB9-3AAE0A6991CC}" showPageBreaks="1" hiddenRows="1" state="hidden">
      <selection activeCell="B100" sqref="B100"/>
      <pageMargins left="0.7" right="0.7" top="0.75" bottom="0.75" header="0.3" footer="0.3"/>
      <pageSetup paperSize="9" orientation="portrait" r:id="rId6"/>
    </customSheetView>
    <customSheetView guid="{1718F1EE-9F48-4DBE-9531-3B70F9C4A5DD}" hiddenRows="1" state="hidden">
      <selection activeCell="B100" sqref="B100"/>
      <pageMargins left="0.7" right="0.7" top="0.75" bottom="0.75" header="0.3" footer="0.3"/>
      <pageSetup paperSize="9" orientation="portrait" verticalDpi="0" r:id="rId7"/>
    </customSheetView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8"/>
    </customSheetView>
  </customSheetViews>
  <pageMargins left="0.7" right="0.7" top="0.75" bottom="0.75" header="0.3" footer="0.3"/>
  <pageSetup paperSize="9" orientation="portrait" verticalDpi="0" r:id="rId9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5BFCA170-DEAE-4D2C-98A0-1E68B427AC01}" showPageBreaks="1" topLeftCell="A16">
      <pageMargins left="0.7" right="0.7" top="0.75" bottom="0.75" header="0.3" footer="0.3"/>
      <pageSetup paperSize="9" orientation="portrait" r:id="rId1"/>
    </customSheetView>
    <customSheetView guid="{3DCB9AAA-F09C-4EA6-B992-F93E466D374A}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1A52382B-3765-4E8C-903F-6B8919B7242E}" topLeftCell="A16">
      <pageMargins left="0.7" right="0.7" top="0.75" bottom="0.75" header="0.3" footer="0.3"/>
    </customSheetView>
    <customSheetView guid="{B31C8DB7-3E78-4144-A6B5-8DE36DE63F0E}" topLeftCell="A16">
      <pageMargins left="0.7" right="0.7" top="0.75" bottom="0.75" header="0.3" footer="0.3"/>
      <pageSetup paperSize="9" orientation="portrait" r:id="rId2"/>
    </customSheetView>
    <customSheetView guid="{B30CE22D-C12F-4E12-8BB9-3AAE0A6991CC}" showPageBreaks="1" state="hidden" topLeftCell="A16">
      <pageMargins left="0.7" right="0.7" top="0.75" bottom="0.75" header="0.3" footer="0.3"/>
      <pageSetup paperSize="9" orientation="portrait" r:id="rId3"/>
    </customSheetView>
    <customSheetView guid="{1718F1EE-9F48-4DBE-9531-3B70F9C4A5DD}" state="hidden" topLeftCell="A16">
      <pageMargins left="0.7" right="0.7" top="0.75" bottom="0.75" header="0.3" footer="0.3"/>
    </customSheetView>
    <customSheetView guid="{61528DAC-5C4C-48F4-ADE2-8A724B05A086}" state="hidden" topLeftCell="A16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3" sqref="F23"/>
    </sheetView>
  </sheetViews>
  <sheetFormatPr defaultRowHeight="12.75"/>
  <sheetData/>
  <customSheetViews>
    <customSheetView guid="{5BFCA170-DEAE-4D2C-98A0-1E68B427AC01}" showPageBreaks="1">
      <selection activeCell="F23" sqref="F23"/>
      <pageMargins left="0.7" right="0.7" top="0.75" bottom="0.75" header="0.3" footer="0.3"/>
      <pageSetup paperSize="9" orientation="portrait" r:id="rId1"/>
    </customSheetView>
    <customSheetView guid="{B31C8DB7-3E78-4144-A6B5-8DE36DE63F0E}">
      <selection activeCell="F23" sqref="F23"/>
      <pageMargins left="0.7" right="0.7" top="0.75" bottom="0.75" header="0.3" footer="0.3"/>
    </customSheetView>
    <customSheetView guid="{B30CE22D-C12F-4E12-8BB9-3AAE0A6991CC}" showPageBreaks="1" state="hidden">
      <selection activeCell="L38" sqref="L38"/>
      <pageMargins left="0.7" right="0.7" top="0.75" bottom="0.75" header="0.3" footer="0.3"/>
      <pageSetup paperSize="9" orientation="portrait" r:id="rId2"/>
    </customSheetView>
    <customSheetView guid="{1718F1EE-9F48-4DBE-9531-3B70F9C4A5DD}">
      <selection activeCell="F23" sqref="F23"/>
      <pageMargins left="0.7" right="0.7" top="0.75" bottom="0.75" header="0.3" footer="0.3"/>
    </customSheetView>
    <customSheetView guid="{61528DAC-5C4C-48F4-ADE2-8A724B05A086}">
      <selection activeCell="F23" sqref="F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37" sqref="Q37"/>
    </sheetView>
  </sheetViews>
  <sheetFormatPr defaultRowHeight="12.75"/>
  <sheetData/>
  <customSheetViews>
    <customSheetView guid="{5BFCA170-DEAE-4D2C-98A0-1E68B427AC01}" showPageBreaks="1">
      <selection activeCell="L38" sqref="L38"/>
      <pageMargins left="0.7" right="0.7" top="0.75" bottom="0.75" header="0.3" footer="0.3"/>
      <pageSetup paperSize="9" orientation="portrait" r:id="rId1"/>
    </customSheetView>
    <customSheetView guid="{B31C8DB7-3E78-4144-A6B5-8DE36DE63F0E}">
      <pageMargins left="0.7" right="0.7" top="0.75" bottom="0.75" header="0.3" footer="0.3"/>
    </customSheetView>
    <customSheetView guid="{B30CE22D-C12F-4E12-8BB9-3AAE0A6991CC}" showPageBreaks="1" state="hidden">
      <selection activeCell="L38" sqref="L38"/>
      <pageMargins left="0.7" right="0.7" top="0.75" bottom="0.75" header="0.3" footer="0.3"/>
      <pageSetup paperSize="9" orientation="portrait" r:id="rId2"/>
    </customSheetView>
    <customSheetView guid="{1718F1EE-9F48-4DBE-9531-3B70F9C4A5DD}">
      <selection activeCell="L38" sqref="L38"/>
      <pageMargins left="0.7" right="0.7" top="0.75" bottom="0.75" header="0.3" footer="0.3"/>
    </customSheetView>
    <customSheetView guid="{61528DAC-5C4C-48F4-ADE2-8A724B05A086}">
      <selection activeCell="L38" sqref="L3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5BFCA170-DEAE-4D2C-98A0-1E68B427AC01}" showPageBreaks="1" state="hidden">
      <pageMargins left="0.7" right="0.7" top="0.75" bottom="0.75" header="0.3" footer="0.3"/>
      <pageSetup paperSize="9" orientation="portrait" r:id="rId1"/>
    </customSheetView>
    <customSheetView guid="{B30CE22D-C12F-4E12-8BB9-3AAE0A6991CC}" state="hidden">
      <pageMargins left="0.7" right="0.7" top="0.75" bottom="0.75" header="0.3" footer="0.3"/>
    </customSheetView>
    <customSheetView guid="{1718F1EE-9F48-4DBE-9531-3B70F9C4A5DD}" state="hidden">
      <pageMargins left="0.7" right="0.7" top="0.75" bottom="0.75" header="0.3" footer="0.3"/>
    </customSheetView>
    <customSheetView guid="{61528DAC-5C4C-48F4-ADE2-8A724B05A08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40"/>
  <sheetViews>
    <sheetView view="pageBreakPreview" topLeftCell="A58" zoomScale="60" workbookViewId="0">
      <selection activeCell="D72" sqref="D72"/>
    </sheetView>
  </sheetViews>
  <sheetFormatPr defaultRowHeight="15.75"/>
  <cols>
    <col min="1" max="1" width="16.28515625" style="58" customWidth="1"/>
    <col min="2" max="2" width="70.140625" style="59" customWidth="1"/>
    <col min="3" max="3" width="24.42578125" style="62" customWidth="1"/>
    <col min="4" max="4" width="26.42578125" style="62" customWidth="1"/>
    <col min="5" max="5" width="19" style="62" customWidth="1"/>
    <col min="6" max="6" width="22.42578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 ht="20.25">
      <c r="A1" s="409" t="s">
        <v>380</v>
      </c>
      <c r="B1" s="409"/>
      <c r="C1" s="409"/>
      <c r="D1" s="409"/>
      <c r="E1" s="409"/>
      <c r="F1" s="409"/>
    </row>
    <row r="2" spans="1:6" ht="20.25">
      <c r="A2" s="409" t="s">
        <v>405</v>
      </c>
      <c r="B2" s="409"/>
      <c r="C2" s="409"/>
      <c r="D2" s="409"/>
      <c r="E2" s="409"/>
      <c r="F2" s="409"/>
    </row>
    <row r="3" spans="1:6" ht="101.25">
      <c r="A3" s="333" t="s">
        <v>0</v>
      </c>
      <c r="B3" s="333" t="s">
        <v>1</v>
      </c>
      <c r="C3" s="334" t="s">
        <v>382</v>
      </c>
      <c r="D3" s="335" t="s">
        <v>403</v>
      </c>
      <c r="E3" s="334" t="s">
        <v>2</v>
      </c>
      <c r="F3" s="336" t="s">
        <v>3</v>
      </c>
    </row>
    <row r="4" spans="1:6" s="6" customFormat="1" ht="20.25">
      <c r="A4" s="337"/>
      <c r="B4" s="338" t="s">
        <v>4</v>
      </c>
      <c r="C4" s="339">
        <f>C5+C12+C17+C22+C24+C28+C7</f>
        <v>147095.1</v>
      </c>
      <c r="D4" s="339">
        <f>D5+D12+D17+D22+D24+D28+D7</f>
        <v>149696.77419999999</v>
      </c>
      <c r="E4" s="339">
        <f>SUM(D4/C4*100)</f>
        <v>101.768702152553</v>
      </c>
      <c r="F4" s="339">
        <f>SUM(D4-C4)</f>
        <v>2601.6741999999795</v>
      </c>
    </row>
    <row r="5" spans="1:6" s="6" customFormat="1" ht="20.25">
      <c r="A5" s="337">
        <v>1010000</v>
      </c>
      <c r="B5" s="338" t="s">
        <v>5</v>
      </c>
      <c r="C5" s="339">
        <f>C6</f>
        <v>124470.39999999999</v>
      </c>
      <c r="D5" s="339">
        <f>D6</f>
        <v>126983.13308</v>
      </c>
      <c r="E5" s="339">
        <f t="shared" ref="E5:E73" si="0">SUM(D5/C5*100)</f>
        <v>102.01873945934135</v>
      </c>
      <c r="F5" s="339">
        <f t="shared" ref="F5:F74" si="1">SUM(D5-C5)</f>
        <v>2512.7330800000054</v>
      </c>
    </row>
    <row r="6" spans="1:6" ht="20.25">
      <c r="A6" s="340">
        <v>1010200001</v>
      </c>
      <c r="B6" s="341" t="s">
        <v>209</v>
      </c>
      <c r="C6" s="342">
        <v>124470.39999999999</v>
      </c>
      <c r="D6" s="343">
        <v>126983.13308</v>
      </c>
      <c r="E6" s="342">
        <f t="shared" si="0"/>
        <v>102.01873945934135</v>
      </c>
      <c r="F6" s="342">
        <f t="shared" si="1"/>
        <v>2512.7330800000054</v>
      </c>
    </row>
    <row r="7" spans="1:6" ht="40.5">
      <c r="A7" s="337">
        <v>1030000</v>
      </c>
      <c r="B7" s="344" t="s">
        <v>250</v>
      </c>
      <c r="C7" s="339">
        <f>C8+C10+C9</f>
        <v>5337</v>
      </c>
      <c r="D7" s="339">
        <f>D8+D10+D9+D11</f>
        <v>5068.1252100000002</v>
      </c>
      <c r="E7" s="342">
        <f t="shared" si="0"/>
        <v>94.962061270376623</v>
      </c>
      <c r="F7" s="342">
        <f t="shared" si="1"/>
        <v>-268.87478999999985</v>
      </c>
    </row>
    <row r="8" spans="1:6" ht="20.25">
      <c r="A8" s="340">
        <v>1030223001</v>
      </c>
      <c r="B8" s="341" t="s">
        <v>252</v>
      </c>
      <c r="C8" s="342">
        <v>1814.9069999999999</v>
      </c>
      <c r="D8" s="343">
        <v>2337.6106799999998</v>
      </c>
      <c r="E8" s="342">
        <f t="shared" si="0"/>
        <v>128.80057655846829</v>
      </c>
      <c r="F8" s="342">
        <f>SUM(D8-C8)</f>
        <v>522.70367999999985</v>
      </c>
    </row>
    <row r="9" spans="1:6" ht="20.25">
      <c r="A9" s="340">
        <v>1030224001</v>
      </c>
      <c r="B9" s="341" t="s">
        <v>258</v>
      </c>
      <c r="C9" s="342">
        <v>21.959</v>
      </c>
      <c r="D9" s="343">
        <v>16.720269999999999</v>
      </c>
      <c r="E9" s="342">
        <f t="shared" si="0"/>
        <v>76.143130379343319</v>
      </c>
      <c r="F9" s="342">
        <f>SUM(D9-C9)</f>
        <v>-5.2387300000000003</v>
      </c>
    </row>
    <row r="10" spans="1:6" ht="20.25">
      <c r="A10" s="340">
        <v>1030225001</v>
      </c>
      <c r="B10" s="341" t="s">
        <v>251</v>
      </c>
      <c r="C10" s="342">
        <v>3500.134</v>
      </c>
      <c r="D10" s="343">
        <v>3144.7431499999998</v>
      </c>
      <c r="E10" s="342">
        <f t="shared" si="0"/>
        <v>89.846364453475204</v>
      </c>
      <c r="F10" s="342">
        <f t="shared" si="1"/>
        <v>-355.39085000000023</v>
      </c>
    </row>
    <row r="11" spans="1:6" ht="20.25">
      <c r="A11" s="340">
        <v>1030226001</v>
      </c>
      <c r="B11" s="341" t="s">
        <v>260</v>
      </c>
      <c r="C11" s="342">
        <v>0</v>
      </c>
      <c r="D11" s="343">
        <v>-430.94889000000001</v>
      </c>
      <c r="E11" s="342" t="e">
        <f t="shared" si="0"/>
        <v>#DIV/0!</v>
      </c>
      <c r="F11" s="342">
        <f t="shared" si="1"/>
        <v>-430.94889000000001</v>
      </c>
    </row>
    <row r="12" spans="1:6" s="6" customFormat="1" ht="20.25">
      <c r="A12" s="337">
        <v>1050000</v>
      </c>
      <c r="B12" s="338" t="s">
        <v>6</v>
      </c>
      <c r="C12" s="339">
        <f>SUM(C13:C16)</f>
        <v>9087.6999999999989</v>
      </c>
      <c r="D12" s="339">
        <f>SUM(D13:D16)</f>
        <v>8971.9629800000002</v>
      </c>
      <c r="E12" s="339">
        <f t="shared" si="0"/>
        <v>98.726443214454719</v>
      </c>
      <c r="F12" s="339">
        <f t="shared" si="1"/>
        <v>-115.73701999999867</v>
      </c>
    </row>
    <row r="13" spans="1:6" s="6" customFormat="1" ht="20.25">
      <c r="A13" s="340">
        <v>1050100000</v>
      </c>
      <c r="B13" s="345" t="s">
        <v>385</v>
      </c>
      <c r="C13" s="342">
        <v>1973.1</v>
      </c>
      <c r="D13" s="342">
        <v>1946.6147100000001</v>
      </c>
      <c r="E13" s="342">
        <f t="shared" si="0"/>
        <v>98.65768131366886</v>
      </c>
      <c r="F13" s="342">
        <f t="shared" si="1"/>
        <v>-26.48528999999985</v>
      </c>
    </row>
    <row r="14" spans="1:6" ht="20.25">
      <c r="A14" s="340">
        <v>1050200000</v>
      </c>
      <c r="B14" s="345" t="s">
        <v>217</v>
      </c>
      <c r="C14" s="346">
        <v>5366.2</v>
      </c>
      <c r="D14" s="343">
        <v>5312.9864900000002</v>
      </c>
      <c r="E14" s="342">
        <f t="shared" si="0"/>
        <v>99.008357683276813</v>
      </c>
      <c r="F14" s="342">
        <f t="shared" si="1"/>
        <v>-53.213509999999587</v>
      </c>
    </row>
    <row r="15" spans="1:6" ht="23.25" customHeight="1">
      <c r="A15" s="340">
        <v>1050300000</v>
      </c>
      <c r="B15" s="345" t="s">
        <v>210</v>
      </c>
      <c r="C15" s="346">
        <v>1548.4</v>
      </c>
      <c r="D15" s="343">
        <v>1592.5395799999999</v>
      </c>
      <c r="E15" s="342">
        <f t="shared" si="0"/>
        <v>102.85065745285455</v>
      </c>
      <c r="F15" s="342">
        <f t="shared" si="1"/>
        <v>44.139579999999796</v>
      </c>
    </row>
    <row r="16" spans="1:6" ht="40.5">
      <c r="A16" s="340">
        <v>1050400002</v>
      </c>
      <c r="B16" s="341" t="s">
        <v>238</v>
      </c>
      <c r="C16" s="346">
        <v>200</v>
      </c>
      <c r="D16" s="343">
        <v>119.8222</v>
      </c>
      <c r="E16" s="342">
        <f t="shared" si="0"/>
        <v>59.911099999999998</v>
      </c>
      <c r="F16" s="342">
        <f t="shared" si="1"/>
        <v>-80.177800000000005</v>
      </c>
    </row>
    <row r="17" spans="1:6" s="6" customFormat="1" ht="24" customHeight="1">
      <c r="A17" s="337">
        <v>1060000</v>
      </c>
      <c r="B17" s="338" t="s">
        <v>133</v>
      </c>
      <c r="C17" s="339">
        <f>SUM(C18:C21)</f>
        <v>2300</v>
      </c>
      <c r="D17" s="339">
        <f>SUM(D18:D21)</f>
        <v>2771.5982199999999</v>
      </c>
      <c r="E17" s="339">
        <f t="shared" si="0"/>
        <v>120.5042704347826</v>
      </c>
      <c r="F17" s="339">
        <f t="shared" si="1"/>
        <v>471.59821999999986</v>
      </c>
    </row>
    <row r="18" spans="1:6" s="6" customFormat="1" ht="18" customHeight="1">
      <c r="A18" s="340">
        <v>1060100000</v>
      </c>
      <c r="B18" s="345" t="s">
        <v>8</v>
      </c>
      <c r="C18" s="342">
        <v>0</v>
      </c>
      <c r="D18" s="343">
        <v>0</v>
      </c>
      <c r="E18" s="339" t="e">
        <f t="shared" si="0"/>
        <v>#DIV/0!</v>
      </c>
      <c r="F18" s="339">
        <f t="shared" si="1"/>
        <v>0</v>
      </c>
    </row>
    <row r="19" spans="1:6" s="6" customFormat="1" ht="21" customHeight="1">
      <c r="A19" s="340">
        <v>1060200000</v>
      </c>
      <c r="B19" s="345" t="s">
        <v>120</v>
      </c>
      <c r="C19" s="342">
        <v>0</v>
      </c>
      <c r="D19" s="343">
        <v>0</v>
      </c>
      <c r="E19" s="339" t="e">
        <f t="shared" si="0"/>
        <v>#DIV/0!</v>
      </c>
      <c r="F19" s="339">
        <f t="shared" si="1"/>
        <v>0</v>
      </c>
    </row>
    <row r="20" spans="1:6" s="6" customFormat="1" ht="21.75" customHeight="1">
      <c r="A20" s="340">
        <v>1060400000</v>
      </c>
      <c r="B20" s="345" t="s">
        <v>249</v>
      </c>
      <c r="C20" s="342">
        <v>2300</v>
      </c>
      <c r="D20" s="343">
        <v>2771.5982199999999</v>
      </c>
      <c r="E20" s="342">
        <f t="shared" si="0"/>
        <v>120.5042704347826</v>
      </c>
      <c r="F20" s="342">
        <f t="shared" si="1"/>
        <v>471.59821999999986</v>
      </c>
    </row>
    <row r="21" spans="1:6" ht="22.5" customHeight="1">
      <c r="A21" s="340">
        <v>1060600000</v>
      </c>
      <c r="B21" s="345" t="s">
        <v>7</v>
      </c>
      <c r="C21" s="342">
        <v>0</v>
      </c>
      <c r="D21" s="343"/>
      <c r="E21" s="342" t="e">
        <f t="shared" si="0"/>
        <v>#DIV/0!</v>
      </c>
      <c r="F21" s="342">
        <f t="shared" si="1"/>
        <v>0</v>
      </c>
    </row>
    <row r="22" spans="1:6" s="6" customFormat="1" ht="42" customHeight="1">
      <c r="A22" s="337">
        <v>1070000</v>
      </c>
      <c r="B22" s="344" t="s">
        <v>9</v>
      </c>
      <c r="C22" s="339">
        <f>SUM(C23)</f>
        <v>2700</v>
      </c>
      <c r="D22" s="339">
        <f>SUM(D23)</f>
        <v>2707.3069399999999</v>
      </c>
      <c r="E22" s="339">
        <f t="shared" si="0"/>
        <v>100.2706274074074</v>
      </c>
      <c r="F22" s="339">
        <f t="shared" si="1"/>
        <v>7.3069399999999405</v>
      </c>
    </row>
    <row r="23" spans="1:6" ht="41.25" customHeight="1">
      <c r="A23" s="340">
        <v>1070102001</v>
      </c>
      <c r="B23" s="341" t="s">
        <v>218</v>
      </c>
      <c r="C23" s="342">
        <v>2700</v>
      </c>
      <c r="D23" s="343">
        <v>2707.3069399999999</v>
      </c>
      <c r="E23" s="342">
        <f t="shared" si="0"/>
        <v>100.2706274074074</v>
      </c>
      <c r="F23" s="342">
        <f t="shared" si="1"/>
        <v>7.3069399999999405</v>
      </c>
    </row>
    <row r="24" spans="1:6" s="6" customFormat="1" ht="20.25">
      <c r="A24" s="337">
        <v>1080000</v>
      </c>
      <c r="B24" s="338" t="s">
        <v>10</v>
      </c>
      <c r="C24" s="339">
        <f>C25+C26+C27</f>
        <v>3200</v>
      </c>
      <c r="D24" s="339">
        <f>D25+D26+D27</f>
        <v>3194.3883800000003</v>
      </c>
      <c r="E24" s="339">
        <f t="shared" si="0"/>
        <v>99.82463687500001</v>
      </c>
      <c r="F24" s="339">
        <f t="shared" si="1"/>
        <v>-5.6116199999996752</v>
      </c>
    </row>
    <row r="25" spans="1:6" ht="30.75" customHeight="1">
      <c r="A25" s="340">
        <v>1080300001</v>
      </c>
      <c r="B25" s="341" t="s">
        <v>219</v>
      </c>
      <c r="C25" s="342">
        <v>2590</v>
      </c>
      <c r="D25" s="412">
        <v>2546.40933</v>
      </c>
      <c r="E25" s="342">
        <f t="shared" si="0"/>
        <v>98.316962548262538</v>
      </c>
      <c r="F25" s="342">
        <f t="shared" si="1"/>
        <v>-43.590670000000046</v>
      </c>
    </row>
    <row r="26" spans="1:6" ht="30.75" customHeight="1">
      <c r="A26" s="340">
        <v>1080600001</v>
      </c>
      <c r="B26" s="341" t="s">
        <v>208</v>
      </c>
      <c r="C26" s="342">
        <v>0</v>
      </c>
      <c r="D26" s="343">
        <v>2.4</v>
      </c>
      <c r="E26" s="342" t="e">
        <f>SUM(D26/C26*100)</f>
        <v>#DIV/0!</v>
      </c>
      <c r="F26" s="342">
        <f t="shared" si="1"/>
        <v>2.4</v>
      </c>
    </row>
    <row r="27" spans="1:6" ht="86.25" customHeight="1">
      <c r="A27" s="340">
        <v>1080700001</v>
      </c>
      <c r="B27" s="341" t="s">
        <v>207</v>
      </c>
      <c r="C27" s="342">
        <v>610</v>
      </c>
      <c r="D27" s="343">
        <v>645.57905000000005</v>
      </c>
      <c r="E27" s="342">
        <f t="shared" si="0"/>
        <v>105.83263114754101</v>
      </c>
      <c r="F27" s="342">
        <f t="shared" si="1"/>
        <v>35.579050000000052</v>
      </c>
    </row>
    <row r="28" spans="1:6" s="15" customFormat="1" ht="33.75" customHeight="1">
      <c r="A28" s="434">
        <v>109000000</v>
      </c>
      <c r="B28" s="344" t="s">
        <v>211</v>
      </c>
      <c r="C28" s="339">
        <f>C29+C30+C31+C32</f>
        <v>0</v>
      </c>
      <c r="D28" s="339">
        <f>D29+D30+D31+D32</f>
        <v>0.25939000000000001</v>
      </c>
      <c r="E28" s="342" t="e">
        <f t="shared" si="0"/>
        <v>#DIV/0!</v>
      </c>
      <c r="F28" s="339">
        <f t="shared" si="1"/>
        <v>0.25939000000000001</v>
      </c>
    </row>
    <row r="29" spans="1:6" s="15" customFormat="1" ht="37.5" customHeight="1">
      <c r="A29" s="340">
        <v>1090100000</v>
      </c>
      <c r="B29" s="341" t="s">
        <v>122</v>
      </c>
      <c r="C29" s="342">
        <v>0</v>
      </c>
      <c r="D29" s="343">
        <v>0</v>
      </c>
      <c r="E29" s="342" t="e">
        <f t="shared" si="0"/>
        <v>#DIV/0!</v>
      </c>
      <c r="F29" s="342">
        <f t="shared" si="1"/>
        <v>0</v>
      </c>
    </row>
    <row r="30" spans="1:6" s="15" customFormat="1" ht="36" customHeight="1">
      <c r="A30" s="340">
        <v>1090400000</v>
      </c>
      <c r="B30" s="341" t="s">
        <v>123</v>
      </c>
      <c r="C30" s="342">
        <v>0</v>
      </c>
      <c r="D30" s="343">
        <v>0</v>
      </c>
      <c r="E30" s="342" t="e">
        <f t="shared" si="0"/>
        <v>#DIV/0!</v>
      </c>
      <c r="F30" s="342">
        <f t="shared" si="1"/>
        <v>0</v>
      </c>
    </row>
    <row r="31" spans="1:6" s="15" customFormat="1" ht="36" customHeight="1">
      <c r="A31" s="340">
        <v>1090600000</v>
      </c>
      <c r="B31" s="341" t="s">
        <v>124</v>
      </c>
      <c r="C31" s="342">
        <v>0</v>
      </c>
      <c r="D31" s="343">
        <v>0</v>
      </c>
      <c r="E31" s="342" t="e">
        <f t="shared" si="0"/>
        <v>#DIV/0!</v>
      </c>
      <c r="F31" s="342">
        <f t="shared" si="1"/>
        <v>0</v>
      </c>
    </row>
    <row r="32" spans="1:6" s="15" customFormat="1" ht="37.5" customHeight="1">
      <c r="A32" s="340">
        <v>1090700000</v>
      </c>
      <c r="B32" s="341" t="s">
        <v>125</v>
      </c>
      <c r="C32" s="342">
        <v>0</v>
      </c>
      <c r="D32" s="343">
        <v>0.25939000000000001</v>
      </c>
      <c r="E32" s="342" t="e">
        <f t="shared" si="0"/>
        <v>#DIV/0!</v>
      </c>
      <c r="F32" s="342">
        <f t="shared" si="1"/>
        <v>0.25939000000000001</v>
      </c>
    </row>
    <row r="33" spans="1:6" s="6" customFormat="1" ht="33.75" customHeight="1">
      <c r="A33" s="337"/>
      <c r="B33" s="338" t="s">
        <v>12</v>
      </c>
      <c r="C33" s="339">
        <f>C34+C43+C45+C48+C52+C54+C61</f>
        <v>17131</v>
      </c>
      <c r="D33" s="339">
        <f>D34+D43+D45+D48+D52+D54+D61</f>
        <v>17605.45059</v>
      </c>
      <c r="E33" s="339">
        <f t="shared" si="0"/>
        <v>102.76954404296306</v>
      </c>
      <c r="F33" s="339">
        <f t="shared" si="1"/>
        <v>474.45059000000037</v>
      </c>
    </row>
    <row r="34" spans="1:6" s="6" customFormat="1" ht="60.75" customHeight="1">
      <c r="A34" s="337">
        <v>1110000</v>
      </c>
      <c r="B34" s="344" t="s">
        <v>126</v>
      </c>
      <c r="C34" s="339">
        <f>SUM(C35:C42)</f>
        <v>8847</v>
      </c>
      <c r="D34" s="339">
        <f>SUM(D35+D37+D38+D40+D41+D42)</f>
        <v>8875.6525500000007</v>
      </c>
      <c r="E34" s="339">
        <f t="shared" si="0"/>
        <v>100.32386741268226</v>
      </c>
      <c r="F34" s="339">
        <f t="shared" si="1"/>
        <v>28.652550000000701</v>
      </c>
    </row>
    <row r="35" spans="1:6" s="6" customFormat="1" ht="34.5" customHeight="1">
      <c r="A35" s="340">
        <v>1110105005</v>
      </c>
      <c r="B35" s="341" t="s">
        <v>289</v>
      </c>
      <c r="C35" s="342">
        <v>17</v>
      </c>
      <c r="D35" s="342">
        <v>17.61</v>
      </c>
      <c r="E35" s="342">
        <f t="shared" si="0"/>
        <v>103.58823529411765</v>
      </c>
      <c r="F35" s="342">
        <f t="shared" si="1"/>
        <v>0.60999999999999943</v>
      </c>
    </row>
    <row r="36" spans="1:6" ht="27.75" customHeight="1">
      <c r="A36" s="340">
        <v>1110305005</v>
      </c>
      <c r="B36" s="345" t="s">
        <v>220</v>
      </c>
      <c r="C36" s="342">
        <v>0</v>
      </c>
      <c r="D36" s="343">
        <v>0</v>
      </c>
      <c r="E36" s="342" t="e">
        <f t="shared" si="0"/>
        <v>#DIV/0!</v>
      </c>
      <c r="F36" s="342">
        <f t="shared" si="1"/>
        <v>0</v>
      </c>
    </row>
    <row r="37" spans="1:6" ht="20.25">
      <c r="A37" s="347">
        <v>1110501101</v>
      </c>
      <c r="B37" s="348" t="s">
        <v>206</v>
      </c>
      <c r="C37" s="346">
        <v>8000</v>
      </c>
      <c r="D37" s="343">
        <v>7926.3848900000003</v>
      </c>
      <c r="E37" s="342">
        <f t="shared" si="0"/>
        <v>99.079811125000006</v>
      </c>
      <c r="F37" s="342">
        <f t="shared" si="1"/>
        <v>-73.615109999999731</v>
      </c>
    </row>
    <row r="38" spans="1:6" ht="20.25" customHeight="1">
      <c r="A38" s="340">
        <v>1110503505</v>
      </c>
      <c r="B38" s="345" t="s">
        <v>205</v>
      </c>
      <c r="C38" s="346">
        <v>250</v>
      </c>
      <c r="D38" s="343">
        <v>293.72640000000001</v>
      </c>
      <c r="E38" s="342">
        <f t="shared" si="0"/>
        <v>117.49056</v>
      </c>
      <c r="F38" s="342">
        <f t="shared" si="1"/>
        <v>43.726400000000012</v>
      </c>
    </row>
    <row r="39" spans="1:6" ht="131.25" customHeight="1">
      <c r="A39" s="340">
        <v>1110502000</v>
      </c>
      <c r="B39" s="341" t="s">
        <v>246</v>
      </c>
      <c r="C39" s="349">
        <v>0</v>
      </c>
      <c r="D39" s="343">
        <v>0</v>
      </c>
      <c r="E39" s="342" t="e">
        <f t="shared" si="0"/>
        <v>#DIV/0!</v>
      </c>
      <c r="F39" s="342">
        <f t="shared" si="1"/>
        <v>0</v>
      </c>
    </row>
    <row r="40" spans="1:6" s="15" customFormat="1" ht="20.25">
      <c r="A40" s="340">
        <v>1110701505</v>
      </c>
      <c r="B40" s="345" t="s">
        <v>221</v>
      </c>
      <c r="C40" s="346">
        <v>30</v>
      </c>
      <c r="D40" s="343">
        <v>31.940999999999999</v>
      </c>
      <c r="E40" s="342">
        <f t="shared" si="0"/>
        <v>106.47</v>
      </c>
      <c r="F40" s="342">
        <f t="shared" si="1"/>
        <v>1.9409999999999989</v>
      </c>
    </row>
    <row r="41" spans="1:6" s="15" customFormat="1" ht="20.25">
      <c r="A41" s="340">
        <v>1110903000</v>
      </c>
      <c r="B41" s="345" t="s">
        <v>372</v>
      </c>
      <c r="C41" s="346">
        <v>0</v>
      </c>
      <c r="D41" s="343">
        <v>0</v>
      </c>
      <c r="E41" s="342" t="e">
        <f>SUM(D41/C41*100)</f>
        <v>#DIV/0!</v>
      </c>
      <c r="F41" s="342">
        <f>SUM(D41-C41)</f>
        <v>0</v>
      </c>
    </row>
    <row r="42" spans="1:6" s="15" customFormat="1" ht="20.25">
      <c r="A42" s="340">
        <v>1110904505</v>
      </c>
      <c r="B42" s="345" t="s">
        <v>301</v>
      </c>
      <c r="C42" s="346">
        <v>550</v>
      </c>
      <c r="D42" s="343">
        <v>605.99026000000003</v>
      </c>
      <c r="E42" s="342">
        <f t="shared" si="0"/>
        <v>110.18004727272728</v>
      </c>
      <c r="F42" s="342">
        <f t="shared" si="1"/>
        <v>55.990260000000035</v>
      </c>
    </row>
    <row r="43" spans="1:6" s="15" customFormat="1" ht="40.5">
      <c r="A43" s="337">
        <v>1120000</v>
      </c>
      <c r="B43" s="344" t="s">
        <v>127</v>
      </c>
      <c r="C43" s="350">
        <f>C44</f>
        <v>465</v>
      </c>
      <c r="D43" s="350">
        <f>D44</f>
        <v>467.04399999999998</v>
      </c>
      <c r="E43" s="339">
        <f t="shared" si="0"/>
        <v>100.43956989247312</v>
      </c>
      <c r="F43" s="339">
        <f t="shared" si="1"/>
        <v>2.0439999999999827</v>
      </c>
    </row>
    <row r="44" spans="1:6" s="15" customFormat="1" ht="40.5">
      <c r="A44" s="340">
        <v>1120100001</v>
      </c>
      <c r="B44" s="341" t="s">
        <v>222</v>
      </c>
      <c r="C44" s="342">
        <v>465</v>
      </c>
      <c r="D44" s="343">
        <v>467.04399999999998</v>
      </c>
      <c r="E44" s="342">
        <f t="shared" si="0"/>
        <v>100.43956989247312</v>
      </c>
      <c r="F44" s="342">
        <f t="shared" si="1"/>
        <v>2.0439999999999827</v>
      </c>
    </row>
    <row r="45" spans="1:6" s="177" customFormat="1" ht="21.75" customHeight="1">
      <c r="A45" s="351">
        <v>1130000</v>
      </c>
      <c r="B45" s="352" t="s">
        <v>128</v>
      </c>
      <c r="C45" s="339">
        <f>C46+C47</f>
        <v>219</v>
      </c>
      <c r="D45" s="339">
        <f>D46+D47</f>
        <v>226.37066999999999</v>
      </c>
      <c r="E45" s="339">
        <f t="shared" si="0"/>
        <v>103.36560273972601</v>
      </c>
      <c r="F45" s="339">
        <f t="shared" si="1"/>
        <v>7.3706699999999898</v>
      </c>
    </row>
    <row r="46" spans="1:6" s="15" customFormat="1" ht="36" customHeight="1">
      <c r="A46" s="340">
        <v>1130200000</v>
      </c>
      <c r="B46" s="341" t="s">
        <v>299</v>
      </c>
      <c r="C46" s="342">
        <v>219</v>
      </c>
      <c r="D46" s="342">
        <v>226.37066999999999</v>
      </c>
      <c r="E46" s="342">
        <f>SUM(D46/C46*100)</f>
        <v>103.36560273972601</v>
      </c>
      <c r="F46" s="342">
        <f>SUM(D46-C46)</f>
        <v>7.3706699999999898</v>
      </c>
    </row>
    <row r="47" spans="1:6" ht="25.5" customHeight="1">
      <c r="A47" s="340">
        <v>1130305005</v>
      </c>
      <c r="B47" s="341" t="s">
        <v>204</v>
      </c>
      <c r="C47" s="342">
        <v>0</v>
      </c>
      <c r="D47" s="343">
        <v>0</v>
      </c>
      <c r="E47" s="342"/>
      <c r="F47" s="342">
        <f t="shared" si="1"/>
        <v>0</v>
      </c>
    </row>
    <row r="48" spans="1:6" ht="20.25" customHeight="1">
      <c r="A48" s="353">
        <v>1140000</v>
      </c>
      <c r="B48" s="354" t="s">
        <v>129</v>
      </c>
      <c r="C48" s="339">
        <f>C49+C50</f>
        <v>5200</v>
      </c>
      <c r="D48" s="339">
        <f>D49+D50+D51</f>
        <v>5636.7212600000003</v>
      </c>
      <c r="E48" s="339">
        <f t="shared" si="0"/>
        <v>108.39848576923077</v>
      </c>
      <c r="F48" s="339">
        <f t="shared" si="1"/>
        <v>436.72126000000026</v>
      </c>
    </row>
    <row r="49" spans="1:8" ht="20.25">
      <c r="A49" s="347">
        <v>1140200000</v>
      </c>
      <c r="B49" s="355" t="s">
        <v>202</v>
      </c>
      <c r="C49" s="342">
        <v>400</v>
      </c>
      <c r="D49" s="343">
        <v>278.08010000000002</v>
      </c>
      <c r="E49" s="342">
        <f t="shared" si="0"/>
        <v>69.520025000000004</v>
      </c>
      <c r="F49" s="342">
        <f t="shared" si="1"/>
        <v>-121.91989999999998</v>
      </c>
    </row>
    <row r="50" spans="1:8" ht="19.5" customHeight="1">
      <c r="A50" s="340">
        <v>1140600000</v>
      </c>
      <c r="B50" s="341" t="s">
        <v>203</v>
      </c>
      <c r="C50" s="342">
        <v>4800</v>
      </c>
      <c r="D50" s="343">
        <v>5353.6577699999998</v>
      </c>
      <c r="E50" s="342">
        <f t="shared" si="0"/>
        <v>111.53453687499999</v>
      </c>
      <c r="F50" s="342">
        <f t="shared" si="1"/>
        <v>553.6577699999998</v>
      </c>
    </row>
    <row r="51" spans="1:8" ht="36.75" customHeight="1">
      <c r="A51" s="340">
        <v>1140630000</v>
      </c>
      <c r="B51" s="341" t="s">
        <v>399</v>
      </c>
      <c r="C51" s="342"/>
      <c r="D51" s="343">
        <v>4.98339</v>
      </c>
      <c r="E51" s="342"/>
      <c r="F51" s="342"/>
    </row>
    <row r="52" spans="1:8" ht="25.5" customHeight="1">
      <c r="A52" s="337">
        <v>115000000</v>
      </c>
      <c r="B52" s="344" t="s">
        <v>215</v>
      </c>
      <c r="C52" s="339">
        <f>C53</f>
        <v>0</v>
      </c>
      <c r="D52" s="339">
        <f>D53</f>
        <v>0</v>
      </c>
      <c r="E52" s="339" t="e">
        <f t="shared" si="0"/>
        <v>#DIV/0!</v>
      </c>
      <c r="F52" s="339">
        <f t="shared" si="1"/>
        <v>0</v>
      </c>
    </row>
    <row r="53" spans="1:8" ht="61.5" customHeight="1">
      <c r="A53" s="340">
        <v>1150205005</v>
      </c>
      <c r="B53" s="341" t="s">
        <v>216</v>
      </c>
      <c r="C53" s="342">
        <v>0</v>
      </c>
      <c r="D53" s="343">
        <v>0</v>
      </c>
      <c r="E53" s="342" t="e">
        <f t="shared" si="0"/>
        <v>#DIV/0!</v>
      </c>
      <c r="F53" s="342">
        <f t="shared" si="1"/>
        <v>0</v>
      </c>
    </row>
    <row r="54" spans="1:8" ht="50.25" customHeight="1">
      <c r="A54" s="337">
        <v>1160000</v>
      </c>
      <c r="B54" s="344" t="s">
        <v>131</v>
      </c>
      <c r="C54" s="339">
        <f>SUM(C55:C60)</f>
        <v>2400</v>
      </c>
      <c r="D54" s="462">
        <f>SUM(D55:D60)</f>
        <v>2399.6621099999998</v>
      </c>
      <c r="E54" s="339">
        <f>SUM(D54/C54*100)</f>
        <v>99.98592124999999</v>
      </c>
      <c r="F54" s="339">
        <f t="shared" si="1"/>
        <v>-0.33789000000024316</v>
      </c>
      <c r="H54" s="140"/>
    </row>
    <row r="55" spans="1:8" ht="59.25" customHeight="1">
      <c r="A55" s="340">
        <v>1160100001</v>
      </c>
      <c r="B55" s="341" t="s">
        <v>389</v>
      </c>
      <c r="C55" s="342">
        <v>617</v>
      </c>
      <c r="D55" s="356">
        <v>697.71144000000004</v>
      </c>
      <c r="E55" s="342">
        <f>SUM(D55/C55*100)</f>
        <v>113.08127066450568</v>
      </c>
      <c r="F55" s="342">
        <f t="shared" si="1"/>
        <v>80.711440000000039</v>
      </c>
    </row>
    <row r="56" spans="1:8" ht="42" customHeight="1">
      <c r="A56" s="340">
        <v>1161000000</v>
      </c>
      <c r="B56" s="341" t="s">
        <v>390</v>
      </c>
      <c r="C56" s="342">
        <v>1260</v>
      </c>
      <c r="D56" s="356">
        <v>1196.94184</v>
      </c>
      <c r="E56" s="342">
        <f>SUM(D56/C56*100)</f>
        <v>94.995384126984135</v>
      </c>
      <c r="F56" s="342"/>
    </row>
    <row r="57" spans="1:8" ht="42" customHeight="1">
      <c r="A57" s="340">
        <v>1161100001</v>
      </c>
      <c r="B57" s="341" t="s">
        <v>391</v>
      </c>
      <c r="C57" s="342">
        <v>37</v>
      </c>
      <c r="D57" s="356">
        <v>33.234999999999999</v>
      </c>
      <c r="E57" s="342">
        <f>SUM(D57/C57*100)</f>
        <v>89.824324324324323</v>
      </c>
      <c r="F57" s="342"/>
    </row>
    <row r="58" spans="1:8" ht="42" customHeight="1">
      <c r="A58" s="340">
        <v>1160701000</v>
      </c>
      <c r="B58" s="341" t="s">
        <v>432</v>
      </c>
      <c r="C58" s="342">
        <v>150</v>
      </c>
      <c r="D58" s="356">
        <v>225.83895000000001</v>
      </c>
      <c r="E58" s="342">
        <f>SUM(D58/C58*100)</f>
        <v>150.55930000000001</v>
      </c>
      <c r="F58" s="342"/>
    </row>
    <row r="59" spans="1:8" ht="39.75" customHeight="1">
      <c r="A59" s="340">
        <v>1160709000</v>
      </c>
      <c r="B59" s="341" t="s">
        <v>386</v>
      </c>
      <c r="C59" s="342">
        <v>336</v>
      </c>
      <c r="D59" s="357">
        <v>245.93487999999999</v>
      </c>
      <c r="E59" s="342">
        <f t="shared" si="0"/>
        <v>73.194904761904752</v>
      </c>
      <c r="F59" s="342">
        <f t="shared" si="1"/>
        <v>-90.065120000000007</v>
      </c>
    </row>
    <row r="60" spans="1:8" ht="41.25" customHeight="1">
      <c r="A60" s="340">
        <v>1161012000</v>
      </c>
      <c r="B60" s="341" t="s">
        <v>387</v>
      </c>
      <c r="C60" s="358">
        <v>0</v>
      </c>
      <c r="D60" s="357">
        <v>0</v>
      </c>
      <c r="E60" s="342" t="e">
        <f t="shared" si="0"/>
        <v>#DIV/0!</v>
      </c>
      <c r="F60" s="342">
        <f t="shared" si="1"/>
        <v>0</v>
      </c>
    </row>
    <row r="61" spans="1:8" ht="25.5" customHeight="1">
      <c r="A61" s="337">
        <v>1170000</v>
      </c>
      <c r="B61" s="344" t="s">
        <v>132</v>
      </c>
      <c r="C61" s="339">
        <f>C62+C63</f>
        <v>0</v>
      </c>
      <c r="D61" s="339">
        <f>D62+D63</f>
        <v>0</v>
      </c>
      <c r="E61" s="342" t="e">
        <f t="shared" si="0"/>
        <v>#DIV/0!</v>
      </c>
      <c r="F61" s="339">
        <f t="shared" si="1"/>
        <v>0</v>
      </c>
    </row>
    <row r="62" spans="1:8" ht="20.25">
      <c r="A62" s="340">
        <v>1170105005</v>
      </c>
      <c r="B62" s="341" t="s">
        <v>15</v>
      </c>
      <c r="C62" s="342">
        <v>0</v>
      </c>
      <c r="D62" s="342"/>
      <c r="E62" s="342" t="e">
        <f t="shared" si="0"/>
        <v>#DIV/0!</v>
      </c>
      <c r="F62" s="342">
        <f t="shared" si="1"/>
        <v>0</v>
      </c>
    </row>
    <row r="63" spans="1:8" ht="20.25">
      <c r="A63" s="340">
        <v>1170505005</v>
      </c>
      <c r="B63" s="345" t="s">
        <v>201</v>
      </c>
      <c r="C63" s="342">
        <v>0</v>
      </c>
      <c r="D63" s="343">
        <v>0</v>
      </c>
      <c r="E63" s="342" t="e">
        <f t="shared" si="0"/>
        <v>#DIV/0!</v>
      </c>
      <c r="F63" s="342">
        <f t="shared" si="1"/>
        <v>0</v>
      </c>
    </row>
    <row r="64" spans="1:8" s="6" customFormat="1" ht="20.25">
      <c r="A64" s="337">
        <v>100000</v>
      </c>
      <c r="B64" s="338" t="s">
        <v>16</v>
      </c>
      <c r="C64" s="432">
        <f>SUM(C4,C33)</f>
        <v>164226.1</v>
      </c>
      <c r="D64" s="432">
        <f>SUM(D4,D33)</f>
        <v>167302.22478999998</v>
      </c>
      <c r="E64" s="339">
        <f>SUM(D64/C64*100)</f>
        <v>101.87310347746185</v>
      </c>
      <c r="F64" s="339">
        <f>SUM(D64-C64)</f>
        <v>3076.1247899999726</v>
      </c>
      <c r="G64" s="91"/>
      <c r="H64" s="91"/>
    </row>
    <row r="65" spans="1:8" s="6" customFormat="1" ht="30" customHeight="1">
      <c r="A65" s="337">
        <v>200000</v>
      </c>
      <c r="B65" s="338" t="s">
        <v>17</v>
      </c>
      <c r="C65" s="463">
        <f>C66+C69+C70+C71+C73+C68+C72</f>
        <v>705902.71231000009</v>
      </c>
      <c r="D65" s="463">
        <f>D66+D69+D70+D71+D73+D68+D72</f>
        <v>636620.15780000004</v>
      </c>
      <c r="E65" s="339">
        <f t="shared" si="0"/>
        <v>90.185254525615946</v>
      </c>
      <c r="F65" s="339">
        <f t="shared" si="1"/>
        <v>-69282.554510000045</v>
      </c>
      <c r="G65" s="91"/>
      <c r="H65" s="91"/>
    </row>
    <row r="66" spans="1:8" ht="21.75" customHeight="1">
      <c r="A66" s="347">
        <v>2021000000</v>
      </c>
      <c r="B66" s="348" t="s">
        <v>18</v>
      </c>
      <c r="C66" s="346">
        <v>0</v>
      </c>
      <c r="D66" s="359"/>
      <c r="E66" s="342" t="e">
        <f t="shared" si="0"/>
        <v>#DIV/0!</v>
      </c>
      <c r="F66" s="342">
        <f t="shared" si="1"/>
        <v>0</v>
      </c>
    </row>
    <row r="67" spans="1:8" ht="21" customHeight="1">
      <c r="A67" s="347">
        <v>2020100905</v>
      </c>
      <c r="B67" s="355" t="s">
        <v>245</v>
      </c>
      <c r="C67" s="346">
        <v>0</v>
      </c>
      <c r="D67" s="359">
        <v>0</v>
      </c>
      <c r="E67" s="342" t="e">
        <f t="shared" si="0"/>
        <v>#DIV/0!</v>
      </c>
      <c r="F67" s="342">
        <f t="shared" si="1"/>
        <v>0</v>
      </c>
    </row>
    <row r="68" spans="1:8" ht="21.75" customHeight="1">
      <c r="A68" s="347">
        <v>2021500200</v>
      </c>
      <c r="B68" s="348" t="s">
        <v>212</v>
      </c>
      <c r="C68" s="346">
        <v>13934.8</v>
      </c>
      <c r="D68" s="359">
        <v>13934.8</v>
      </c>
      <c r="E68" s="342">
        <f t="shared" si="0"/>
        <v>100</v>
      </c>
      <c r="F68" s="342">
        <f t="shared" si="1"/>
        <v>0</v>
      </c>
    </row>
    <row r="69" spans="1:8" ht="20.25">
      <c r="A69" s="347">
        <v>2022000000</v>
      </c>
      <c r="B69" s="348" t="s">
        <v>19</v>
      </c>
      <c r="C69" s="346">
        <v>301083.02309999999</v>
      </c>
      <c r="D69" s="343">
        <v>237327.34346999999</v>
      </c>
      <c r="E69" s="342">
        <f t="shared" si="0"/>
        <v>78.824551788552839</v>
      </c>
      <c r="F69" s="342">
        <f t="shared" si="1"/>
        <v>-63755.679629999999</v>
      </c>
    </row>
    <row r="70" spans="1:8" ht="20.25">
      <c r="A70" s="347">
        <v>2023000000</v>
      </c>
      <c r="B70" s="348" t="s">
        <v>20</v>
      </c>
      <c r="C70" s="346">
        <v>369384.38653999998</v>
      </c>
      <c r="D70" s="360">
        <v>364239.50741000002</v>
      </c>
      <c r="E70" s="342">
        <f t="shared" si="0"/>
        <v>98.607174716237552</v>
      </c>
      <c r="F70" s="342">
        <f t="shared" si="1"/>
        <v>-5144.8791299999575</v>
      </c>
    </row>
    <row r="71" spans="1:8" ht="19.5" customHeight="1">
      <c r="A71" s="347">
        <v>2024000000</v>
      </c>
      <c r="B71" s="355" t="s">
        <v>21</v>
      </c>
      <c r="C71" s="346">
        <v>75796.730420000007</v>
      </c>
      <c r="D71" s="361">
        <v>75336.09607</v>
      </c>
      <c r="E71" s="342">
        <f t="shared" si="0"/>
        <v>99.392276754620454</v>
      </c>
      <c r="F71" s="342">
        <f t="shared" si="1"/>
        <v>-460.63435000000754</v>
      </c>
    </row>
    <row r="72" spans="1:8" ht="20.25">
      <c r="A72" s="347">
        <v>2180500005</v>
      </c>
      <c r="B72" s="355" t="s">
        <v>294</v>
      </c>
      <c r="C72" s="346">
        <v>0</v>
      </c>
      <c r="D72" s="361">
        <v>78.638599999999997</v>
      </c>
      <c r="E72" s="342" t="e">
        <f t="shared" si="0"/>
        <v>#DIV/0!</v>
      </c>
      <c r="F72" s="342">
        <f t="shared" si="1"/>
        <v>78.638599999999997</v>
      </c>
    </row>
    <row r="73" spans="1:8" ht="18" customHeight="1">
      <c r="A73" s="340">
        <v>2196001005</v>
      </c>
      <c r="B73" s="345" t="s">
        <v>23</v>
      </c>
      <c r="C73" s="343">
        <v>-54296.227749999998</v>
      </c>
      <c r="D73" s="343">
        <v>-54296.227749999998</v>
      </c>
      <c r="E73" s="342">
        <f t="shared" si="0"/>
        <v>100</v>
      </c>
      <c r="F73" s="342">
        <f>SUM(D73-C73)</f>
        <v>0</v>
      </c>
    </row>
    <row r="74" spans="1:8" s="6" customFormat="1" ht="1.5" customHeight="1">
      <c r="A74" s="337">
        <v>3000000000</v>
      </c>
      <c r="B74" s="344" t="s">
        <v>24</v>
      </c>
      <c r="C74" s="350">
        <v>0</v>
      </c>
      <c r="D74" s="362">
        <v>0</v>
      </c>
      <c r="E74" s="342" t="e">
        <f>SUM(D74/C74*100)</f>
        <v>#DIV/0!</v>
      </c>
      <c r="F74" s="339">
        <f t="shared" si="1"/>
        <v>0</v>
      </c>
    </row>
    <row r="75" spans="1:8" s="6" customFormat="1" ht="22.5" customHeight="1">
      <c r="A75" s="337"/>
      <c r="B75" s="338" t="s">
        <v>25</v>
      </c>
      <c r="C75" s="460">
        <f>C64+C65</f>
        <v>870128.81231000007</v>
      </c>
      <c r="D75" s="460">
        <f>D64+D65</f>
        <v>803922.38259000005</v>
      </c>
      <c r="E75" s="342">
        <f>SUM(D75/C75*100)</f>
        <v>92.391192110483445</v>
      </c>
      <c r="F75" s="339">
        <f>SUM(D76-C75)</f>
        <v>-880172.25641999987</v>
      </c>
      <c r="G75" s="198"/>
      <c r="H75" s="91">
        <f>D75-24575.623</f>
        <v>779346.75959000003</v>
      </c>
    </row>
    <row r="76" spans="1:8" s="6" customFormat="1" ht="20.25">
      <c r="A76" s="337"/>
      <c r="B76" s="363" t="s">
        <v>290</v>
      </c>
      <c r="C76" s="364">
        <f>C75-C137</f>
        <v>-64122.814909999841</v>
      </c>
      <c r="D76" s="339">
        <f>D75-D137</f>
        <v>-10043.444109999808</v>
      </c>
      <c r="E76" s="365"/>
      <c r="F76" s="365"/>
      <c r="G76" s="91"/>
      <c r="H76" s="91"/>
    </row>
    <row r="77" spans="1:8" ht="20.25">
      <c r="A77" s="366"/>
      <c r="B77" s="367"/>
      <c r="C77" s="368"/>
      <c r="D77" s="368"/>
      <c r="E77" s="369"/>
      <c r="F77" s="369"/>
    </row>
    <row r="78" spans="1:8" ht="101.25">
      <c r="A78" s="370" t="s">
        <v>0</v>
      </c>
      <c r="B78" s="370" t="s">
        <v>26</v>
      </c>
      <c r="C78" s="334" t="s">
        <v>382</v>
      </c>
      <c r="D78" s="335" t="s">
        <v>406</v>
      </c>
      <c r="E78" s="334" t="s">
        <v>2</v>
      </c>
      <c r="F78" s="336" t="s">
        <v>3</v>
      </c>
    </row>
    <row r="79" spans="1:8" ht="20.25">
      <c r="A79" s="371">
        <v>1</v>
      </c>
      <c r="B79" s="370">
        <v>2</v>
      </c>
      <c r="C79" s="372">
        <v>3</v>
      </c>
      <c r="D79" s="373">
        <v>4</v>
      </c>
      <c r="E79" s="372">
        <v>5</v>
      </c>
      <c r="F79" s="372">
        <v>6</v>
      </c>
    </row>
    <row r="80" spans="1:8" s="6" customFormat="1" ht="22.5" customHeight="1">
      <c r="A80" s="374" t="s">
        <v>27</v>
      </c>
      <c r="B80" s="375" t="s">
        <v>28</v>
      </c>
      <c r="C80" s="365">
        <f>SUM(C81+C82+C83+C84+C85+C86+C87)</f>
        <v>68234.019889999996</v>
      </c>
      <c r="D80" s="365">
        <f>SUM(D81:D87)</f>
        <v>47407.415079999999</v>
      </c>
      <c r="E80" s="376">
        <f>SUM(D80/C80*100)</f>
        <v>69.477681596988489</v>
      </c>
      <c r="F80" s="376">
        <f>SUM(D80-C80)</f>
        <v>-20826.604809999997</v>
      </c>
    </row>
    <row r="81" spans="1:6" s="6" customFormat="1" ht="40.5">
      <c r="A81" s="377" t="s">
        <v>29</v>
      </c>
      <c r="B81" s="378" t="s">
        <v>30</v>
      </c>
      <c r="C81" s="379">
        <v>50</v>
      </c>
      <c r="D81" s="379">
        <v>50</v>
      </c>
      <c r="E81" s="376">
        <f>SUM(D81/C81*100)</f>
        <v>100</v>
      </c>
      <c r="F81" s="376">
        <f>SUM(D81-C81)</f>
        <v>0</v>
      </c>
    </row>
    <row r="82" spans="1:6" ht="21.75" customHeight="1">
      <c r="A82" s="377" t="s">
        <v>31</v>
      </c>
      <c r="B82" s="380" t="s">
        <v>32</v>
      </c>
      <c r="C82" s="379">
        <v>24315.169979999999</v>
      </c>
      <c r="D82" s="379">
        <v>23558.649109999998</v>
      </c>
      <c r="E82" s="381">
        <f t="shared" ref="E82:E137" si="2">SUM(D82/C82*100)</f>
        <v>96.888687717905071</v>
      </c>
      <c r="F82" s="381">
        <f t="shared" ref="F82:F137" si="3">SUM(D82-C82)</f>
        <v>-756.52087000000029</v>
      </c>
    </row>
    <row r="83" spans="1:6" ht="19.5" customHeight="1">
      <c r="A83" s="377" t="s">
        <v>33</v>
      </c>
      <c r="B83" s="380" t="s">
        <v>34</v>
      </c>
      <c r="C83" s="379">
        <v>15.9</v>
      </c>
      <c r="D83" s="379">
        <v>15.9</v>
      </c>
      <c r="E83" s="381">
        <f t="shared" si="2"/>
        <v>100</v>
      </c>
      <c r="F83" s="381">
        <f t="shared" si="3"/>
        <v>0</v>
      </c>
    </row>
    <row r="84" spans="1:6" ht="38.25" customHeight="1">
      <c r="A84" s="377" t="s">
        <v>35</v>
      </c>
      <c r="B84" s="380" t="s">
        <v>36</v>
      </c>
      <c r="C84" s="382">
        <v>5516.4429899999996</v>
      </c>
      <c r="D84" s="382">
        <v>5229.8915800000004</v>
      </c>
      <c r="E84" s="381">
        <f t="shared" si="2"/>
        <v>94.805504008299394</v>
      </c>
      <c r="F84" s="381">
        <f t="shared" si="3"/>
        <v>-286.55140999999912</v>
      </c>
    </row>
    <row r="85" spans="1:6" ht="18.75" customHeight="1">
      <c r="A85" s="377" t="s">
        <v>37</v>
      </c>
      <c r="B85" s="380" t="s">
        <v>38</v>
      </c>
      <c r="C85" s="379">
        <v>1200</v>
      </c>
      <c r="D85" s="379">
        <v>1200</v>
      </c>
      <c r="E85" s="381">
        <f t="shared" si="2"/>
        <v>100</v>
      </c>
      <c r="F85" s="381">
        <f t="shared" si="3"/>
        <v>0</v>
      </c>
    </row>
    <row r="86" spans="1:6" ht="24.75" customHeight="1">
      <c r="A86" s="377" t="s">
        <v>39</v>
      </c>
      <c r="B86" s="380" t="s">
        <v>40</v>
      </c>
      <c r="C86" s="382">
        <v>19434.3999</v>
      </c>
      <c r="D86" s="382">
        <v>0</v>
      </c>
      <c r="E86" s="381">
        <f t="shared" si="2"/>
        <v>0</v>
      </c>
      <c r="F86" s="381">
        <f t="shared" si="3"/>
        <v>-19434.3999</v>
      </c>
    </row>
    <row r="87" spans="1:6" ht="24" customHeight="1">
      <c r="A87" s="377" t="s">
        <v>41</v>
      </c>
      <c r="B87" s="380" t="s">
        <v>42</v>
      </c>
      <c r="C87" s="379">
        <v>17702.107019999999</v>
      </c>
      <c r="D87" s="379">
        <v>17352.974389999999</v>
      </c>
      <c r="E87" s="381">
        <f t="shared" si="2"/>
        <v>98.027734045413084</v>
      </c>
      <c r="F87" s="381">
        <f t="shared" si="3"/>
        <v>-349.13263000000006</v>
      </c>
    </row>
    <row r="88" spans="1:6" s="6" customFormat="1" ht="20.25">
      <c r="A88" s="383" t="s">
        <v>43</v>
      </c>
      <c r="B88" s="384" t="s">
        <v>44</v>
      </c>
      <c r="C88" s="365">
        <f>C89</f>
        <v>2380.4</v>
      </c>
      <c r="D88" s="474">
        <f>D89</f>
        <v>2380.4</v>
      </c>
      <c r="E88" s="376">
        <f t="shared" si="2"/>
        <v>100</v>
      </c>
      <c r="F88" s="376">
        <f t="shared" si="3"/>
        <v>0</v>
      </c>
    </row>
    <row r="89" spans="1:6" ht="20.25">
      <c r="A89" s="385" t="s">
        <v>45</v>
      </c>
      <c r="B89" s="386" t="s">
        <v>46</v>
      </c>
      <c r="C89" s="379">
        <v>2380.4</v>
      </c>
      <c r="D89" s="379">
        <v>2380.4</v>
      </c>
      <c r="E89" s="381">
        <f t="shared" si="2"/>
        <v>100</v>
      </c>
      <c r="F89" s="381">
        <f t="shared" si="3"/>
        <v>0</v>
      </c>
    </row>
    <row r="90" spans="1:6" s="6" customFormat="1" ht="21" customHeight="1">
      <c r="A90" s="374" t="s">
        <v>47</v>
      </c>
      <c r="B90" s="375" t="s">
        <v>48</v>
      </c>
      <c r="C90" s="365">
        <f>SUM(C92:C95)</f>
        <v>5504.4991399999999</v>
      </c>
      <c r="D90" s="365">
        <f>SUM(D92:D95)</f>
        <v>5470.8397500000001</v>
      </c>
      <c r="E90" s="376">
        <f t="shared" si="2"/>
        <v>99.388511304227407</v>
      </c>
      <c r="F90" s="376">
        <f t="shared" si="3"/>
        <v>-33.659389999999803</v>
      </c>
    </row>
    <row r="91" spans="1:6" ht="23.25" customHeight="1">
      <c r="A91" s="377" t="s">
        <v>49</v>
      </c>
      <c r="B91" s="380" t="s">
        <v>50</v>
      </c>
      <c r="C91" s="379">
        <v>0</v>
      </c>
      <c r="D91" s="379">
        <v>0</v>
      </c>
      <c r="E91" s="381" t="e">
        <f t="shared" si="2"/>
        <v>#DIV/0!</v>
      </c>
      <c r="F91" s="381">
        <f t="shared" si="3"/>
        <v>0</v>
      </c>
    </row>
    <row r="92" spans="1:6" ht="20.25">
      <c r="A92" s="387" t="s">
        <v>51</v>
      </c>
      <c r="B92" s="380" t="s">
        <v>296</v>
      </c>
      <c r="C92" s="379">
        <v>1778.99</v>
      </c>
      <c r="D92" s="379">
        <v>1778.99</v>
      </c>
      <c r="E92" s="381">
        <f t="shared" si="2"/>
        <v>100</v>
      </c>
      <c r="F92" s="381">
        <f t="shared" si="3"/>
        <v>0</v>
      </c>
    </row>
    <row r="93" spans="1:6" ht="24" customHeight="1">
      <c r="A93" s="388" t="s">
        <v>53</v>
      </c>
      <c r="B93" s="389" t="s">
        <v>54</v>
      </c>
      <c r="C93" s="379">
        <v>2636.5391399999999</v>
      </c>
      <c r="D93" s="379">
        <v>2608.6052500000001</v>
      </c>
      <c r="E93" s="381">
        <f t="shared" si="2"/>
        <v>98.940509185841265</v>
      </c>
      <c r="F93" s="381">
        <f t="shared" si="3"/>
        <v>-27.933889999999792</v>
      </c>
    </row>
    <row r="94" spans="1:6" ht="21" customHeight="1">
      <c r="A94" s="388" t="s">
        <v>199</v>
      </c>
      <c r="B94" s="389" t="s">
        <v>200</v>
      </c>
      <c r="C94" s="379">
        <v>0</v>
      </c>
      <c r="D94" s="379">
        <v>0</v>
      </c>
      <c r="E94" s="381" t="e">
        <f t="shared" si="2"/>
        <v>#DIV/0!</v>
      </c>
      <c r="F94" s="381">
        <f t="shared" si="3"/>
        <v>0</v>
      </c>
    </row>
    <row r="95" spans="1:6" ht="34.5" customHeight="1">
      <c r="A95" s="388" t="s">
        <v>320</v>
      </c>
      <c r="B95" s="389" t="s">
        <v>321</v>
      </c>
      <c r="C95" s="390">
        <v>1088.97</v>
      </c>
      <c r="D95" s="379">
        <v>1083.2445</v>
      </c>
      <c r="E95" s="381">
        <f t="shared" si="2"/>
        <v>99.474227940163644</v>
      </c>
      <c r="F95" s="381">
        <f t="shared" si="3"/>
        <v>-5.7255000000000109</v>
      </c>
    </row>
    <row r="96" spans="1:6" s="6" customFormat="1" ht="27" customHeight="1">
      <c r="A96" s="374" t="s">
        <v>55</v>
      </c>
      <c r="B96" s="375" t="s">
        <v>56</v>
      </c>
      <c r="C96" s="391">
        <f>SUM(C97:C102)</f>
        <v>103564.18672</v>
      </c>
      <c r="D96" s="391">
        <f>SUM(D97:D102)</f>
        <v>92330.212049999987</v>
      </c>
      <c r="E96" s="376">
        <f t="shared" si="2"/>
        <v>89.152645305492911</v>
      </c>
      <c r="F96" s="376">
        <f t="shared" si="3"/>
        <v>-11233.974670000011</v>
      </c>
    </row>
    <row r="97" spans="1:7" ht="20.25" customHeight="1">
      <c r="A97" s="377" t="s">
        <v>378</v>
      </c>
      <c r="B97" s="378" t="s">
        <v>379</v>
      </c>
      <c r="C97" s="392">
        <v>200</v>
      </c>
      <c r="D97" s="392">
        <v>200</v>
      </c>
      <c r="E97" s="381">
        <f t="shared" si="2"/>
        <v>100</v>
      </c>
      <c r="F97" s="381">
        <f t="shared" si="3"/>
        <v>0</v>
      </c>
    </row>
    <row r="98" spans="1:7" ht="0.75" customHeight="1">
      <c r="A98" s="377" t="s">
        <v>57</v>
      </c>
      <c r="B98" s="380" t="s">
        <v>58</v>
      </c>
      <c r="C98" s="392">
        <v>0</v>
      </c>
      <c r="D98" s="379">
        <v>0</v>
      </c>
      <c r="E98" s="381" t="e">
        <f t="shared" si="2"/>
        <v>#DIV/0!</v>
      </c>
      <c r="F98" s="381">
        <f t="shared" si="3"/>
        <v>0</v>
      </c>
    </row>
    <row r="99" spans="1:7" s="6" customFormat="1" ht="20.25" customHeight="1">
      <c r="A99" s="377" t="s">
        <v>57</v>
      </c>
      <c r="B99" s="380" t="s">
        <v>293</v>
      </c>
      <c r="C99" s="392">
        <v>105.9</v>
      </c>
      <c r="D99" s="379">
        <v>32.4</v>
      </c>
      <c r="E99" s="381">
        <f t="shared" si="2"/>
        <v>30.594900849858352</v>
      </c>
      <c r="F99" s="381">
        <f t="shared" si="3"/>
        <v>-73.5</v>
      </c>
      <c r="G99" s="50"/>
    </row>
    <row r="100" spans="1:7" s="6" customFormat="1" ht="20.25" customHeight="1">
      <c r="A100" s="377" t="s">
        <v>59</v>
      </c>
      <c r="B100" s="380" t="s">
        <v>373</v>
      </c>
      <c r="C100" s="392">
        <v>0</v>
      </c>
      <c r="D100" s="379">
        <v>0</v>
      </c>
      <c r="E100" s="381" t="e">
        <f t="shared" si="2"/>
        <v>#DIV/0!</v>
      </c>
      <c r="F100" s="381">
        <f t="shared" si="3"/>
        <v>0</v>
      </c>
      <c r="G100" s="50"/>
    </row>
    <row r="101" spans="1:7" ht="24" customHeight="1">
      <c r="A101" s="377" t="s">
        <v>61</v>
      </c>
      <c r="B101" s="380" t="s">
        <v>62</v>
      </c>
      <c r="C101" s="392">
        <v>100807.41486</v>
      </c>
      <c r="D101" s="379">
        <v>91484.371369999993</v>
      </c>
      <c r="E101" s="381">
        <f t="shared" si="2"/>
        <v>90.751629229905632</v>
      </c>
      <c r="F101" s="381">
        <f t="shared" si="3"/>
        <v>-9323.0434900000109</v>
      </c>
    </row>
    <row r="102" spans="1:7" ht="20.25">
      <c r="A102" s="377" t="s">
        <v>63</v>
      </c>
      <c r="B102" s="380" t="s">
        <v>64</v>
      </c>
      <c r="C102" s="392">
        <v>2450.8718600000002</v>
      </c>
      <c r="D102" s="379">
        <v>613.44068000000004</v>
      </c>
      <c r="E102" s="381">
        <f t="shared" si="2"/>
        <v>25.029488077765112</v>
      </c>
      <c r="F102" s="381">
        <f t="shared" si="3"/>
        <v>-1837.43118</v>
      </c>
    </row>
    <row r="103" spans="1:7" s="6" customFormat="1" ht="20.25">
      <c r="A103" s="374" t="s">
        <v>65</v>
      </c>
      <c r="B103" s="375" t="s">
        <v>66</v>
      </c>
      <c r="C103" s="365">
        <f>SUM(C104:C106)</f>
        <v>63641.448749999996</v>
      </c>
      <c r="D103" s="365">
        <f>SUM(D104:D106)</f>
        <v>42621.335270000003</v>
      </c>
      <c r="E103" s="376">
        <f t="shared" si="2"/>
        <v>66.971032412268912</v>
      </c>
      <c r="F103" s="376">
        <f t="shared" si="3"/>
        <v>-21020.113479999993</v>
      </c>
    </row>
    <row r="104" spans="1:7" ht="20.25">
      <c r="A104" s="377" t="s">
        <v>67</v>
      </c>
      <c r="B104" s="393" t="s">
        <v>68</v>
      </c>
      <c r="C104" s="379">
        <v>565</v>
      </c>
      <c r="D104" s="379">
        <v>561.79745000000003</v>
      </c>
      <c r="E104" s="381">
        <f t="shared" si="2"/>
        <v>99.433176991150447</v>
      </c>
      <c r="F104" s="381">
        <f t="shared" si="3"/>
        <v>-3.2025499999999738</v>
      </c>
    </row>
    <row r="105" spans="1:7" ht="23.25" customHeight="1">
      <c r="A105" s="377" t="s">
        <v>69</v>
      </c>
      <c r="B105" s="393" t="s">
        <v>70</v>
      </c>
      <c r="C105" s="379">
        <v>14683.29855</v>
      </c>
      <c r="D105" s="379">
        <v>13768.272000000001</v>
      </c>
      <c r="E105" s="381">
        <f t="shared" si="2"/>
        <v>93.768249369280866</v>
      </c>
      <c r="F105" s="381">
        <f t="shared" si="3"/>
        <v>-915.02654999999868</v>
      </c>
    </row>
    <row r="106" spans="1:7" ht="19.5" customHeight="1">
      <c r="A106" s="377" t="s">
        <v>71</v>
      </c>
      <c r="B106" s="380" t="s">
        <v>72</v>
      </c>
      <c r="C106" s="379">
        <v>48393.150199999996</v>
      </c>
      <c r="D106" s="379">
        <v>28291.265820000001</v>
      </c>
      <c r="E106" s="381">
        <f t="shared" si="2"/>
        <v>58.46130227744505</v>
      </c>
      <c r="F106" s="381">
        <f t="shared" si="3"/>
        <v>-20101.884379999996</v>
      </c>
    </row>
    <row r="107" spans="1:7" s="6" customFormat="1" ht="20.25">
      <c r="A107" s="374" t="s">
        <v>73</v>
      </c>
      <c r="B107" s="394" t="s">
        <v>74</v>
      </c>
      <c r="C107" s="391">
        <f>SUM(C108)</f>
        <v>310</v>
      </c>
      <c r="D107" s="391">
        <f>SUM(D108)</f>
        <v>248.92202</v>
      </c>
      <c r="E107" s="376">
        <f t="shared" si="2"/>
        <v>80.297425806451614</v>
      </c>
      <c r="F107" s="376">
        <f t="shared" si="3"/>
        <v>-61.077979999999997</v>
      </c>
    </row>
    <row r="108" spans="1:7" ht="40.5">
      <c r="A108" s="377" t="s">
        <v>75</v>
      </c>
      <c r="B108" s="393" t="s">
        <v>76</v>
      </c>
      <c r="C108" s="381">
        <v>310</v>
      </c>
      <c r="D108" s="382">
        <v>248.92202</v>
      </c>
      <c r="E108" s="381">
        <f t="shared" si="2"/>
        <v>80.297425806451614</v>
      </c>
      <c r="F108" s="381">
        <f t="shared" si="3"/>
        <v>-61.077979999999997</v>
      </c>
    </row>
    <row r="109" spans="1:7" s="6" customFormat="1" ht="20.25">
      <c r="A109" s="374" t="s">
        <v>77</v>
      </c>
      <c r="B109" s="394" t="s">
        <v>78</v>
      </c>
      <c r="C109" s="391">
        <f>SUM(C110:C114)</f>
        <v>504906.1165</v>
      </c>
      <c r="D109" s="391">
        <f>D110+D111+D113+D114+D112</f>
        <v>454316.50398999994</v>
      </c>
      <c r="E109" s="376">
        <f t="shared" si="2"/>
        <v>89.980392224066065</v>
      </c>
      <c r="F109" s="376">
        <f t="shared" si="3"/>
        <v>-50589.612510000065</v>
      </c>
    </row>
    <row r="110" spans="1:7" ht="20.25">
      <c r="A110" s="377" t="s">
        <v>79</v>
      </c>
      <c r="B110" s="393" t="s">
        <v>231</v>
      </c>
      <c r="C110" s="392">
        <v>120917.03607</v>
      </c>
      <c r="D110" s="475">
        <v>118913.93901</v>
      </c>
      <c r="E110" s="381">
        <f t="shared" si="2"/>
        <v>98.343412040929962</v>
      </c>
      <c r="F110" s="381">
        <f t="shared" si="3"/>
        <v>-2003.0970600000001</v>
      </c>
    </row>
    <row r="111" spans="1:7" ht="20.25">
      <c r="A111" s="377" t="s">
        <v>80</v>
      </c>
      <c r="B111" s="393" t="s">
        <v>232</v>
      </c>
      <c r="C111" s="392">
        <v>359745.03915000003</v>
      </c>
      <c r="D111" s="379">
        <v>311182.17868000001</v>
      </c>
      <c r="E111" s="381">
        <f t="shared" si="2"/>
        <v>86.500756039681988</v>
      </c>
      <c r="F111" s="381">
        <f t="shared" si="3"/>
        <v>-48562.860470000014</v>
      </c>
    </row>
    <row r="112" spans="1:7" ht="20.25">
      <c r="A112" s="377" t="s">
        <v>302</v>
      </c>
      <c r="B112" s="393" t="s">
        <v>303</v>
      </c>
      <c r="C112" s="392">
        <v>20762.151279999998</v>
      </c>
      <c r="D112" s="379">
        <v>20762.093799999999</v>
      </c>
      <c r="E112" s="381">
        <f t="shared" si="2"/>
        <v>99.999723150076193</v>
      </c>
      <c r="F112" s="381">
        <f t="shared" si="3"/>
        <v>-5.7479999999486608E-2</v>
      </c>
    </row>
    <row r="113" spans="1:7" ht="20.25">
      <c r="A113" s="377" t="s">
        <v>81</v>
      </c>
      <c r="B113" s="393" t="s">
        <v>233</v>
      </c>
      <c r="C113" s="392">
        <v>212.59</v>
      </c>
      <c r="D113" s="379">
        <v>188.99250000000001</v>
      </c>
      <c r="E113" s="381">
        <f t="shared" si="2"/>
        <v>88.899995296109878</v>
      </c>
      <c r="F113" s="381">
        <f t="shared" si="3"/>
        <v>-23.597499999999997</v>
      </c>
    </row>
    <row r="114" spans="1:7" ht="20.25">
      <c r="A114" s="377" t="s">
        <v>82</v>
      </c>
      <c r="B114" s="393" t="s">
        <v>234</v>
      </c>
      <c r="C114" s="392">
        <v>3269.3</v>
      </c>
      <c r="D114" s="379">
        <v>3269.3</v>
      </c>
      <c r="E114" s="381">
        <f t="shared" si="2"/>
        <v>100</v>
      </c>
      <c r="F114" s="381">
        <f t="shared" si="3"/>
        <v>0</v>
      </c>
    </row>
    <row r="115" spans="1:7" s="6" customFormat="1" ht="20.25">
      <c r="A115" s="374" t="s">
        <v>83</v>
      </c>
      <c r="B115" s="375" t="s">
        <v>84</v>
      </c>
      <c r="C115" s="365">
        <f>SUM(C116:C117)</f>
        <v>80820.514979999993</v>
      </c>
      <c r="D115" s="365">
        <f>SUM(D116:D117)</f>
        <v>73183.469219999999</v>
      </c>
      <c r="E115" s="376">
        <f t="shared" si="2"/>
        <v>90.550609876848881</v>
      </c>
      <c r="F115" s="376">
        <f t="shared" si="3"/>
        <v>-7637.0457599999936</v>
      </c>
    </row>
    <row r="116" spans="1:7" ht="20.25">
      <c r="A116" s="377" t="s">
        <v>85</v>
      </c>
      <c r="B116" s="380" t="s">
        <v>214</v>
      </c>
      <c r="C116" s="379">
        <v>79993.564979999996</v>
      </c>
      <c r="D116" s="379">
        <v>72476.184909999996</v>
      </c>
      <c r="E116" s="381">
        <f t="shared" si="2"/>
        <v>90.602519000272721</v>
      </c>
      <c r="F116" s="381">
        <f t="shared" si="3"/>
        <v>-7517.3800699999993</v>
      </c>
    </row>
    <row r="117" spans="1:7" ht="40.5">
      <c r="A117" s="377" t="s">
        <v>242</v>
      </c>
      <c r="B117" s="380" t="s">
        <v>243</v>
      </c>
      <c r="C117" s="379">
        <v>826.95</v>
      </c>
      <c r="D117" s="379">
        <v>707.28431</v>
      </c>
      <c r="E117" s="381">
        <f t="shared" si="2"/>
        <v>85.529271419070071</v>
      </c>
      <c r="F117" s="381">
        <f t="shared" si="3"/>
        <v>-119.66569000000004</v>
      </c>
    </row>
    <row r="118" spans="1:7" s="6" customFormat="1" ht="20.25">
      <c r="A118" s="395">
        <v>1000</v>
      </c>
      <c r="B118" s="375" t="s">
        <v>86</v>
      </c>
      <c r="C118" s="365">
        <f>SUM(C119:C122)</f>
        <v>37513.653709999999</v>
      </c>
      <c r="D118" s="455">
        <f>D119+D120+D121+D122</f>
        <v>32009.448050000003</v>
      </c>
      <c r="E118" s="376">
        <f t="shared" si="2"/>
        <v>85.327460495982706</v>
      </c>
      <c r="F118" s="376">
        <f t="shared" si="3"/>
        <v>-5504.205659999996</v>
      </c>
      <c r="G118" s="91"/>
    </row>
    <row r="119" spans="1:7" ht="20.25">
      <c r="A119" s="396">
        <v>1001</v>
      </c>
      <c r="B119" s="397" t="s">
        <v>87</v>
      </c>
      <c r="C119" s="379">
        <v>65.7</v>
      </c>
      <c r="D119" s="379">
        <v>65.644279999999995</v>
      </c>
      <c r="E119" s="381">
        <f t="shared" si="2"/>
        <v>99.915190258751892</v>
      </c>
      <c r="F119" s="381">
        <f t="shared" si="3"/>
        <v>-5.5720000000007985E-2</v>
      </c>
    </row>
    <row r="120" spans="1:7" ht="20.25">
      <c r="A120" s="396">
        <v>1003</v>
      </c>
      <c r="B120" s="397" t="s">
        <v>88</v>
      </c>
      <c r="C120" s="379">
        <v>9868.9282800000001</v>
      </c>
      <c r="D120" s="379">
        <v>9792.1852699999999</v>
      </c>
      <c r="E120" s="381">
        <f t="shared" si="2"/>
        <v>99.222377467718303</v>
      </c>
      <c r="F120" s="381">
        <f t="shared" si="3"/>
        <v>-76.74301000000014</v>
      </c>
    </row>
    <row r="121" spans="1:7" ht="20.25">
      <c r="A121" s="396">
        <v>1004</v>
      </c>
      <c r="B121" s="397" t="s">
        <v>89</v>
      </c>
      <c r="C121" s="379">
        <v>27428.425429999999</v>
      </c>
      <c r="D121" s="428">
        <v>22021.38654</v>
      </c>
      <c r="E121" s="381">
        <f t="shared" si="2"/>
        <v>80.28673244915467</v>
      </c>
      <c r="F121" s="381">
        <f t="shared" si="3"/>
        <v>-5407.0388899999998</v>
      </c>
    </row>
    <row r="122" spans="1:7" ht="20.25" customHeight="1">
      <c r="A122" s="377" t="s">
        <v>90</v>
      </c>
      <c r="B122" s="380" t="s">
        <v>91</v>
      </c>
      <c r="C122" s="379">
        <v>150.6</v>
      </c>
      <c r="D122" s="379">
        <v>130.23195999999999</v>
      </c>
      <c r="E122" s="381">
        <f t="shared" si="2"/>
        <v>86.475405046480731</v>
      </c>
      <c r="F122" s="381">
        <f t="shared" si="3"/>
        <v>-20.368040000000008</v>
      </c>
    </row>
    <row r="123" spans="1:7" ht="20.25">
      <c r="A123" s="374" t="s">
        <v>92</v>
      </c>
      <c r="B123" s="375" t="s">
        <v>93</v>
      </c>
      <c r="C123" s="365">
        <f>C124+C125</f>
        <v>6523.6350000000002</v>
      </c>
      <c r="D123" s="365">
        <f>D124+D125</f>
        <v>6521.3463900000006</v>
      </c>
      <c r="E123" s="381">
        <f t="shared" si="2"/>
        <v>99.964918178285572</v>
      </c>
      <c r="F123" s="365">
        <f>F124+F125+F126+F127+F128</f>
        <v>-2.2886099999998351</v>
      </c>
    </row>
    <row r="124" spans="1:7" ht="20.25">
      <c r="A124" s="377" t="s">
        <v>94</v>
      </c>
      <c r="B124" s="380" t="s">
        <v>95</v>
      </c>
      <c r="C124" s="379">
        <v>300</v>
      </c>
      <c r="D124" s="379">
        <v>299.16174999999998</v>
      </c>
      <c r="E124" s="381">
        <f t="shared" si="2"/>
        <v>99.720583333333323</v>
      </c>
      <c r="F124" s="381">
        <f t="shared" ref="F124:F132" si="4">SUM(D124-C124)</f>
        <v>-0.83825000000001637</v>
      </c>
    </row>
    <row r="125" spans="1:7" ht="20.25" customHeight="1">
      <c r="A125" s="377" t="s">
        <v>96</v>
      </c>
      <c r="B125" s="380" t="s">
        <v>97</v>
      </c>
      <c r="C125" s="379">
        <v>6223.6350000000002</v>
      </c>
      <c r="D125" s="379">
        <v>6222.1846400000004</v>
      </c>
      <c r="E125" s="381">
        <f t="shared" si="2"/>
        <v>99.976695934128529</v>
      </c>
      <c r="F125" s="381">
        <f t="shared" si="4"/>
        <v>-1.4503599999998187</v>
      </c>
    </row>
    <row r="126" spans="1:7" ht="21" customHeight="1">
      <c r="A126" s="377" t="s">
        <v>98</v>
      </c>
      <c r="B126" s="380" t="s">
        <v>99</v>
      </c>
      <c r="C126" s="379">
        <v>0</v>
      </c>
      <c r="D126" s="379">
        <v>0</v>
      </c>
      <c r="E126" s="381" t="e">
        <f t="shared" si="2"/>
        <v>#DIV/0!</v>
      </c>
      <c r="F126" s="381"/>
    </row>
    <row r="127" spans="1:7" ht="21" customHeight="1">
      <c r="A127" s="377" t="s">
        <v>100</v>
      </c>
      <c r="B127" s="380" t="s">
        <v>101</v>
      </c>
      <c r="C127" s="379"/>
      <c r="D127" s="379"/>
      <c r="E127" s="381" t="e">
        <f t="shared" si="2"/>
        <v>#DIV/0!</v>
      </c>
      <c r="F127" s="381"/>
    </row>
    <row r="128" spans="1:7" ht="21" customHeight="1">
      <c r="A128" s="377" t="s">
        <v>102</v>
      </c>
      <c r="B128" s="380" t="s">
        <v>103</v>
      </c>
      <c r="C128" s="379"/>
      <c r="D128" s="379"/>
      <c r="E128" s="381" t="e">
        <f t="shared" si="2"/>
        <v>#DIV/0!</v>
      </c>
      <c r="F128" s="381"/>
    </row>
    <row r="129" spans="1:8" ht="20.25" customHeight="1">
      <c r="A129" s="374" t="s">
        <v>104</v>
      </c>
      <c r="B129" s="375" t="s">
        <v>105</v>
      </c>
      <c r="C129" s="365">
        <f>C130</f>
        <v>45</v>
      </c>
      <c r="D129" s="429">
        <f>D130</f>
        <v>37.494999999999997</v>
      </c>
      <c r="E129" s="381">
        <f>SUM(D129/C129*100)</f>
        <v>83.322222222222223</v>
      </c>
      <c r="F129" s="381">
        <f t="shared" si="4"/>
        <v>-7.5050000000000026</v>
      </c>
    </row>
    <row r="130" spans="1:8" ht="22.5" customHeight="1">
      <c r="A130" s="377" t="s">
        <v>106</v>
      </c>
      <c r="B130" s="380" t="s">
        <v>107</v>
      </c>
      <c r="C130" s="379">
        <v>45</v>
      </c>
      <c r="D130" s="379">
        <v>37.494999999999997</v>
      </c>
      <c r="E130" s="381">
        <f t="shared" si="2"/>
        <v>83.322222222222223</v>
      </c>
      <c r="F130" s="381">
        <f t="shared" si="4"/>
        <v>-7.5050000000000026</v>
      </c>
    </row>
    <row r="131" spans="1:8" ht="19.5" customHeight="1">
      <c r="A131" s="374" t="s">
        <v>108</v>
      </c>
      <c r="B131" s="384" t="s">
        <v>109</v>
      </c>
      <c r="C131" s="398">
        <f>C132</f>
        <v>0</v>
      </c>
      <c r="D131" s="398">
        <v>0</v>
      </c>
      <c r="E131" s="381"/>
      <c r="F131" s="376">
        <f t="shared" si="4"/>
        <v>0</v>
      </c>
    </row>
    <row r="132" spans="1:8" ht="37.5" hidden="1" customHeight="1">
      <c r="A132" s="377" t="s">
        <v>110</v>
      </c>
      <c r="B132" s="386" t="s">
        <v>111</v>
      </c>
      <c r="C132" s="382">
        <v>0</v>
      </c>
      <c r="D132" s="382">
        <v>0</v>
      </c>
      <c r="E132" s="376"/>
      <c r="F132" s="381">
        <f t="shared" si="4"/>
        <v>0</v>
      </c>
    </row>
    <row r="133" spans="1:8" s="6" customFormat="1" ht="19.5" customHeight="1">
      <c r="A133" s="395">
        <v>1400</v>
      </c>
      <c r="B133" s="399" t="s">
        <v>112</v>
      </c>
      <c r="C133" s="391">
        <f>C134+C135+C136</f>
        <v>60808.152529999999</v>
      </c>
      <c r="D133" s="391">
        <f>D134+D135+D136</f>
        <v>57438.439879999998</v>
      </c>
      <c r="E133" s="376">
        <f t="shared" si="2"/>
        <v>94.458452510397294</v>
      </c>
      <c r="F133" s="376">
        <f t="shared" si="3"/>
        <v>-3369.7126500000013</v>
      </c>
    </row>
    <row r="134" spans="1:8" ht="40.5" customHeight="1">
      <c r="A134" s="396">
        <v>1401</v>
      </c>
      <c r="B134" s="397" t="s">
        <v>113</v>
      </c>
      <c r="C134" s="392">
        <v>29508</v>
      </c>
      <c r="D134" s="379">
        <v>29508</v>
      </c>
      <c r="E134" s="381">
        <f t="shared" si="2"/>
        <v>100</v>
      </c>
      <c r="F134" s="381">
        <f t="shared" si="3"/>
        <v>0</v>
      </c>
    </row>
    <row r="135" spans="1:8" ht="24.75" customHeight="1">
      <c r="A135" s="396">
        <v>1402</v>
      </c>
      <c r="B135" s="397" t="s">
        <v>114</v>
      </c>
      <c r="C135" s="392">
        <v>9777.0576600000004</v>
      </c>
      <c r="D135" s="379">
        <v>9777.0576600000004</v>
      </c>
      <c r="E135" s="381">
        <f t="shared" si="2"/>
        <v>100</v>
      </c>
      <c r="F135" s="381">
        <f t="shared" si="3"/>
        <v>0</v>
      </c>
    </row>
    <row r="136" spans="1:8" ht="27" customHeight="1">
      <c r="A136" s="396">
        <v>1403</v>
      </c>
      <c r="B136" s="397" t="s">
        <v>115</v>
      </c>
      <c r="C136" s="392">
        <v>21523.094870000001</v>
      </c>
      <c r="D136" s="379">
        <v>18153.38222</v>
      </c>
      <c r="E136" s="381">
        <f t="shared" si="2"/>
        <v>84.343735553120297</v>
      </c>
      <c r="F136" s="381">
        <f t="shared" si="3"/>
        <v>-3369.7126500000013</v>
      </c>
    </row>
    <row r="137" spans="1:8" s="6" customFormat="1" ht="20.25">
      <c r="A137" s="395"/>
      <c r="B137" s="400" t="s">
        <v>116</v>
      </c>
      <c r="C137" s="460">
        <f>C80+C88+C90+C96+C103+C107+C109+C115+C118+C123+C129+C131+C133</f>
        <v>934251.62721999991</v>
      </c>
      <c r="D137" s="460">
        <f>D80+D88+D90+D96+D103+D107+D109+D115+D118+D123+D129+D131+D133</f>
        <v>813965.82669999986</v>
      </c>
      <c r="E137" s="376">
        <f t="shared" si="2"/>
        <v>87.124903289927602</v>
      </c>
      <c r="F137" s="376">
        <f t="shared" si="3"/>
        <v>-120285.80052000005</v>
      </c>
      <c r="G137" s="91"/>
      <c r="H137" s="91"/>
    </row>
    <row r="138" spans="1:8" ht="20.25">
      <c r="A138" s="401"/>
      <c r="B138" s="402"/>
      <c r="C138" s="403"/>
      <c r="D138" s="414"/>
      <c r="E138" s="404"/>
      <c r="F138" s="404"/>
    </row>
    <row r="139" spans="1:8" s="65" customFormat="1" ht="20.25">
      <c r="A139" s="405" t="s">
        <v>400</v>
      </c>
      <c r="B139" s="405"/>
      <c r="C139" s="406"/>
      <c r="D139" s="406"/>
      <c r="E139" s="407"/>
      <c r="F139" s="407"/>
    </row>
    <row r="140" spans="1:8" s="65" customFormat="1" ht="20.25">
      <c r="A140" s="408" t="s">
        <v>401</v>
      </c>
      <c r="B140" s="408"/>
      <c r="C140" s="406"/>
      <c r="D140" s="406"/>
      <c r="E140" s="406" t="s">
        <v>119</v>
      </c>
      <c r="F140" s="407"/>
    </row>
  </sheetData>
  <customSheetViews>
    <customSheetView guid="{5BFCA170-DEAE-4D2C-98A0-1E68B427AC01}" scale="67" showPageBreaks="1" hiddenRows="1" view="pageBreakPreview">
      <selection activeCell="D146" sqref="D14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1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2"/>
      <headerFooter alignWithMargins="0"/>
    </customSheetView>
    <customSheetView guid="{3DCB9AAA-F09C-4EA6-B992-F93E466D374A}" scale="67" showPageBreaks="1" fitToPage="1" hiddenRows="1" view="pageBreakPreview" topLeftCell="A115">
      <selection activeCell="D87" sqref="D87:D142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47" fitToHeight="2" orientation="portrait" r:id="rId3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4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5"/>
      <headerFooter alignWithMargins="0"/>
    </customSheetView>
    <customSheetView guid="{B31C8DB7-3E78-4144-A6B5-8DE36DE63F0E}" scale="67" showPageBreaks="1" hiddenRows="1" view="pageBreakPreview" topLeftCell="A44">
      <selection activeCell="D120" sqref="D120"/>
      <rowBreaks count="1" manualBreakCount="1">
        <brk id="72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6"/>
      <headerFooter alignWithMargins="0"/>
    </customSheetView>
    <customSheetView guid="{B30CE22D-C12F-4E12-8BB9-3AAE0A6991CC}" scale="60" showPageBreaks="1" printArea="1" hiddenRows="1" view="pageBreakPreview">
      <selection activeCell="D4" sqref="D4"/>
      <rowBreaks count="1" manualBreakCount="1">
        <brk id="73" max="5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7"/>
      <headerFooter alignWithMargins="0"/>
    </customSheetView>
    <customSheetView guid="{1718F1EE-9F48-4DBE-9531-3B70F9C4A5DD}" scale="60" showPageBreaks="1" hiddenRows="1" view="pageBreakPreview" topLeftCell="A66">
      <selection activeCell="D77" sqref="D77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8"/>
      <headerFooter alignWithMargins="0"/>
    </customSheetView>
    <customSheetView guid="{61528DAC-5C4C-48F4-ADE2-8A724B05A086}" scale="60" showPageBreaks="1" printArea="1" hiddenRows="1" view="pageBreakPreview" topLeftCell="A40">
      <selection activeCell="D10" sqref="D10"/>
      <rowBreaks count="1" manualBreakCount="1">
        <brk id="75" max="5" man="1"/>
      </rowBreaks>
      <pageMargins left="0.59055118110236227" right="0.55118110236220474" top="0.15748031496062992" bottom="0.15748031496062992" header="0.15748031496062992" footer="0.27559055118110237"/>
      <pageSetup paperSize="9" scale="50" orientation="portrait" r:id="rId9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50" orientation="portrait" r:id="rId10"/>
  <headerFooter alignWithMargins="0"/>
  <rowBreaks count="1" manualBreakCount="1">
    <brk id="7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1"/>
  <sheetViews>
    <sheetView view="pageBreakPreview" topLeftCell="A18" zoomScale="70" zoomScaleSheetLayoutView="70" workbookViewId="0">
      <selection activeCell="D35" sqref="D35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43" t="s">
        <v>408</v>
      </c>
      <c r="B1" s="543"/>
      <c r="C1" s="543"/>
      <c r="D1" s="543"/>
      <c r="E1" s="543"/>
      <c r="F1" s="543"/>
    </row>
    <row r="2" spans="1:6">
      <c r="A2" s="543"/>
      <c r="B2" s="543"/>
      <c r="C2" s="543"/>
      <c r="D2" s="543"/>
      <c r="E2" s="543"/>
      <c r="F2" s="543"/>
    </row>
    <row r="3" spans="1:6" ht="63">
      <c r="A3" s="2" t="s">
        <v>0</v>
      </c>
      <c r="B3" s="2" t="s">
        <v>1</v>
      </c>
      <c r="C3" s="72" t="s">
        <v>382</v>
      </c>
      <c r="D3" s="73" t="s">
        <v>407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C5+C7+C12+C14+C17+C20</f>
        <v>615.48</v>
      </c>
      <c r="D4" s="5">
        <f>D5+D12+D14+D17+D20+D7</f>
        <v>643.11258000000009</v>
      </c>
      <c r="E4" s="5">
        <f>SUM(D4/C4*100)</f>
        <v>104.48959836225387</v>
      </c>
      <c r="F4" s="5">
        <f>SUM(D4-C4)</f>
        <v>27.632580000000075</v>
      </c>
    </row>
    <row r="5" spans="1:6" s="6" customFormat="1">
      <c r="A5" s="68">
        <v>1010000000</v>
      </c>
      <c r="B5" s="67" t="s">
        <v>5</v>
      </c>
      <c r="C5" s="5">
        <f>C6</f>
        <v>89.8</v>
      </c>
      <c r="D5" s="5">
        <f>D6</f>
        <v>60.655880000000003</v>
      </c>
      <c r="E5" s="5">
        <f t="shared" ref="E5:E46" si="0">SUM(D5/C5*100)</f>
        <v>67.545523385300683</v>
      </c>
      <c r="F5" s="5">
        <f t="shared" ref="F5:F46" si="1">SUM(D5-C5)</f>
        <v>-29.144119999999994</v>
      </c>
    </row>
    <row r="6" spans="1:6">
      <c r="A6" s="7">
        <v>1010200001</v>
      </c>
      <c r="B6" s="8" t="s">
        <v>209</v>
      </c>
      <c r="C6" s="9">
        <v>89.8</v>
      </c>
      <c r="D6" s="10">
        <v>60.655880000000003</v>
      </c>
      <c r="E6" s="9">
        <f t="shared" ref="E6:E11" si="2">SUM(D6/C6*100)</f>
        <v>67.545523385300683</v>
      </c>
      <c r="F6" s="9">
        <f t="shared" si="1"/>
        <v>-29.144119999999994</v>
      </c>
    </row>
    <row r="7" spans="1:6" ht="31.5">
      <c r="A7" s="3">
        <v>1030000000</v>
      </c>
      <c r="B7" s="13" t="s">
        <v>250</v>
      </c>
      <c r="C7" s="5">
        <f>C8+C10+C9</f>
        <v>256.67999999999995</v>
      </c>
      <c r="D7" s="5">
        <f>D8+D10+D9+D11</f>
        <v>243.75267000000005</v>
      </c>
      <c r="E7" s="9">
        <f t="shared" si="2"/>
        <v>94.963639551192188</v>
      </c>
      <c r="F7" s="9">
        <f t="shared" si="1"/>
        <v>-12.927329999999898</v>
      </c>
    </row>
    <row r="8" spans="1:6">
      <c r="A8" s="7">
        <v>1030223001</v>
      </c>
      <c r="B8" s="8" t="s">
        <v>252</v>
      </c>
      <c r="C8" s="9">
        <v>95.74</v>
      </c>
      <c r="D8" s="10">
        <v>112.42793</v>
      </c>
      <c r="E8" s="9">
        <f t="shared" si="2"/>
        <v>117.4304679339879</v>
      </c>
      <c r="F8" s="9">
        <f t="shared" si="1"/>
        <v>16.687930000000009</v>
      </c>
    </row>
    <row r="9" spans="1:6">
      <c r="A9" s="7">
        <v>1030224001</v>
      </c>
      <c r="B9" s="8" t="s">
        <v>256</v>
      </c>
      <c r="C9" s="9">
        <v>1.03</v>
      </c>
      <c r="D9" s="10">
        <v>0.80417000000000005</v>
      </c>
      <c r="E9" s="9">
        <f t="shared" si="2"/>
        <v>78.074757281553403</v>
      </c>
      <c r="F9" s="9">
        <f t="shared" si="1"/>
        <v>-0.22582999999999998</v>
      </c>
    </row>
    <row r="10" spans="1:6">
      <c r="A10" s="7">
        <v>1030225001</v>
      </c>
      <c r="B10" s="8" t="s">
        <v>251</v>
      </c>
      <c r="C10" s="9">
        <v>159.91</v>
      </c>
      <c r="D10" s="10">
        <v>151.24717000000001</v>
      </c>
      <c r="E10" s="9">
        <f t="shared" si="2"/>
        <v>94.582684009755496</v>
      </c>
      <c r="F10" s="9">
        <f t="shared" si="1"/>
        <v>-8.6628299999999854</v>
      </c>
    </row>
    <row r="11" spans="1:6">
      <c r="A11" s="7">
        <v>1030226001</v>
      </c>
      <c r="B11" s="8" t="s">
        <v>257</v>
      </c>
      <c r="C11" s="9">
        <v>0</v>
      </c>
      <c r="D11" s="10">
        <v>-20.726600000000001</v>
      </c>
      <c r="E11" s="9" t="e">
        <f t="shared" si="2"/>
        <v>#DIV/0!</v>
      </c>
      <c r="F11" s="9">
        <f t="shared" si="1"/>
        <v>-20.726600000000001</v>
      </c>
    </row>
    <row r="12" spans="1:6" s="6" customFormat="1">
      <c r="A12" s="68">
        <v>1050000000</v>
      </c>
      <c r="B12" s="67" t="s">
        <v>6</v>
      </c>
      <c r="C12" s="5">
        <f>C13</f>
        <v>35</v>
      </c>
      <c r="D12" s="5">
        <f>D13</f>
        <v>24.1173</v>
      </c>
      <c r="E12" s="5">
        <f t="shared" si="0"/>
        <v>68.906571428571425</v>
      </c>
      <c r="F12" s="5">
        <f t="shared" si="1"/>
        <v>-10.8827</v>
      </c>
    </row>
    <row r="13" spans="1:6" ht="15.75" customHeight="1">
      <c r="A13" s="7">
        <v>1050300000</v>
      </c>
      <c r="B13" s="11" t="s">
        <v>210</v>
      </c>
      <c r="C13" s="12">
        <v>35</v>
      </c>
      <c r="D13" s="10">
        <v>24.1173</v>
      </c>
      <c r="E13" s="9">
        <f t="shared" si="0"/>
        <v>68.906571428571425</v>
      </c>
      <c r="F13" s="9">
        <f t="shared" si="1"/>
        <v>-10.8827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231</v>
      </c>
      <c r="D14" s="5">
        <f>D15+D16</f>
        <v>312.48673000000002</v>
      </c>
      <c r="E14" s="5">
        <f t="shared" si="0"/>
        <v>135.27564069264071</v>
      </c>
      <c r="F14" s="5">
        <f t="shared" si="1"/>
        <v>81.486730000000023</v>
      </c>
    </row>
    <row r="15" spans="1:6" s="6" customFormat="1" ht="15.75" customHeight="1">
      <c r="A15" s="7">
        <v>1060100000</v>
      </c>
      <c r="B15" s="11" t="s">
        <v>8</v>
      </c>
      <c r="C15" s="9">
        <v>38</v>
      </c>
      <c r="D15" s="10">
        <v>58.26511</v>
      </c>
      <c r="E15" s="9">
        <f t="shared" si="0"/>
        <v>153.32923684210527</v>
      </c>
      <c r="F15" s="9">
        <f>SUM(D15-C15)</f>
        <v>20.26511</v>
      </c>
    </row>
    <row r="16" spans="1:6" ht="15" customHeight="1">
      <c r="A16" s="7">
        <v>1060600000</v>
      </c>
      <c r="B16" s="11" t="s">
        <v>7</v>
      </c>
      <c r="C16" s="9">
        <v>193</v>
      </c>
      <c r="D16" s="10">
        <v>254.22162</v>
      </c>
      <c r="E16" s="9">
        <f t="shared" si="0"/>
        <v>131.72104663212437</v>
      </c>
      <c r="F16" s="9">
        <f t="shared" si="1"/>
        <v>61.221620000000001</v>
      </c>
    </row>
    <row r="17" spans="1:6" s="6" customFormat="1" ht="15" customHeight="1">
      <c r="A17" s="3">
        <v>1080000000</v>
      </c>
      <c r="B17" s="4" t="s">
        <v>10</v>
      </c>
      <c r="C17" s="5">
        <f>C18</f>
        <v>3</v>
      </c>
      <c r="D17" s="5">
        <f>D18</f>
        <v>2.1</v>
      </c>
      <c r="E17" s="9">
        <f t="shared" si="0"/>
        <v>70</v>
      </c>
      <c r="F17" s="5">
        <f t="shared" si="1"/>
        <v>-0.89999999999999991</v>
      </c>
    </row>
    <row r="18" spans="1:6" ht="18.75" customHeight="1">
      <c r="A18" s="7">
        <v>1080402001</v>
      </c>
      <c r="B18" s="8" t="s">
        <v>208</v>
      </c>
      <c r="C18" s="9">
        <v>3</v>
      </c>
      <c r="D18" s="10">
        <v>2.1</v>
      </c>
      <c r="E18" s="9">
        <f t="shared" si="0"/>
        <v>70</v>
      </c>
      <c r="F18" s="9">
        <f t="shared" si="1"/>
        <v>-0.89999999999999991</v>
      </c>
    </row>
    <row r="19" spans="1:6" ht="15" hidden="1" customHeight="1">
      <c r="A19" s="7">
        <v>1080714001</v>
      </c>
      <c r="B19" s="8" t="s">
        <v>207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211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54.3</v>
      </c>
      <c r="D25" s="5">
        <f>D26+D31+D34+D29</f>
        <v>86.469620000000006</v>
      </c>
      <c r="E25" s="5">
        <f t="shared" si="0"/>
        <v>159.24423572744018</v>
      </c>
      <c r="F25" s="5">
        <f t="shared" si="1"/>
        <v>32.169620000000009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54.3</v>
      </c>
      <c r="D26" s="5">
        <f>D27+D28</f>
        <v>81.293120000000002</v>
      </c>
      <c r="E26" s="5">
        <f t="shared" si="0"/>
        <v>149.71108655616945</v>
      </c>
      <c r="F26" s="5">
        <f t="shared" si="1"/>
        <v>26.993120000000005</v>
      </c>
    </row>
    <row r="27" spans="1:6" ht="22.5" customHeight="1">
      <c r="A27" s="16">
        <v>1110502000</v>
      </c>
      <c r="B27" s="17" t="s">
        <v>206</v>
      </c>
      <c r="C27" s="12">
        <v>54.3</v>
      </c>
      <c r="D27" s="10">
        <v>54.284680000000002</v>
      </c>
      <c r="E27" s="9">
        <f t="shared" si="0"/>
        <v>99.971786372007372</v>
      </c>
      <c r="F27" s="9">
        <f t="shared" si="1"/>
        <v>-1.5319999999995559E-2</v>
      </c>
    </row>
    <row r="28" spans="1:6" ht="25.5" customHeight="1">
      <c r="A28" s="7">
        <v>1110900000</v>
      </c>
      <c r="B28" s="8" t="s">
        <v>409</v>
      </c>
      <c r="C28" s="12">
        <v>0</v>
      </c>
      <c r="D28" s="10">
        <v>27.00844</v>
      </c>
      <c r="E28" s="9" t="e">
        <f t="shared" si="0"/>
        <v>#DIV/0!</v>
      </c>
      <c r="F28" s="9">
        <f t="shared" si="1"/>
        <v>27.00844</v>
      </c>
    </row>
    <row r="29" spans="1:6" s="15" customFormat="1" ht="25.5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9" t="e">
        <f t="shared" si="0"/>
        <v>#DIV/0!</v>
      </c>
      <c r="F29" s="5">
        <f t="shared" si="1"/>
        <v>0</v>
      </c>
    </row>
    <row r="30" spans="1:6" ht="30.75" customHeight="1">
      <c r="A30" s="7">
        <v>1130200000</v>
      </c>
      <c r="B30" s="8" t="s">
        <v>204</v>
      </c>
      <c r="C30" s="9">
        <v>0</v>
      </c>
      <c r="D30" s="10"/>
      <c r="E30" s="9" t="e">
        <f t="shared" si="0"/>
        <v>#DIV/0!</v>
      </c>
      <c r="F30" s="9">
        <f t="shared" si="1"/>
        <v>0</v>
      </c>
    </row>
    <row r="31" spans="1:6" ht="25.5" customHeight="1">
      <c r="A31" s="70">
        <v>1140000000</v>
      </c>
      <c r="B31" s="71" t="s">
        <v>129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4.75" customHeight="1">
      <c r="A32" s="16">
        <v>1140200000</v>
      </c>
      <c r="B32" s="18" t="s">
        <v>202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7.75" customHeight="1">
      <c r="A33" s="7">
        <v>1140600000</v>
      </c>
      <c r="B33" s="8" t="s">
        <v>203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>
      <c r="A34" s="3">
        <v>1160000000</v>
      </c>
      <c r="B34" s="13" t="s">
        <v>410</v>
      </c>
      <c r="C34" s="5">
        <v>0</v>
      </c>
      <c r="D34" s="5">
        <f>D35</f>
        <v>5.1764999999999999</v>
      </c>
      <c r="E34" s="9" t="e">
        <f t="shared" si="0"/>
        <v>#DIV/0!</v>
      </c>
      <c r="F34" s="5">
        <f t="shared" si="1"/>
        <v>5.1764999999999999</v>
      </c>
    </row>
    <row r="35" spans="1:11" ht="18.75" customHeight="1">
      <c r="A35" s="7">
        <v>1160701000</v>
      </c>
      <c r="B35" s="8" t="s">
        <v>411</v>
      </c>
      <c r="C35" s="9">
        <v>0</v>
      </c>
      <c r="D35" s="9">
        <v>5.1764999999999999</v>
      </c>
      <c r="E35" s="9" t="e">
        <f t="shared" si="0"/>
        <v>#DIV/0!</v>
      </c>
      <c r="F35" s="9">
        <f t="shared" si="1"/>
        <v>5.1764999999999999</v>
      </c>
    </row>
    <row r="36" spans="1:11" s="6" customFormat="1">
      <c r="A36" s="3">
        <v>1000000000</v>
      </c>
      <c r="B36" s="4" t="s">
        <v>16</v>
      </c>
      <c r="C36" s="123">
        <f>C25+C4</f>
        <v>669.78</v>
      </c>
      <c r="D36" s="123">
        <f>SUM(D4,D25)</f>
        <v>729.58220000000006</v>
      </c>
      <c r="E36" s="5">
        <f t="shared" si="0"/>
        <v>108.9286332825704</v>
      </c>
      <c r="F36" s="5">
        <f t="shared" si="1"/>
        <v>59.802200000000084</v>
      </c>
    </row>
    <row r="37" spans="1:11" s="6" customFormat="1">
      <c r="A37" s="3">
        <v>2000000000</v>
      </c>
      <c r="B37" s="4" t="s">
        <v>17</v>
      </c>
      <c r="C37" s="182">
        <f>C38+C39+C40+C41+C42+C43</f>
        <v>3945.5140000000001</v>
      </c>
      <c r="D37" s="471">
        <f>D38+D39+D40+D41+D42+D44+D43</f>
        <v>3945.5140000000001</v>
      </c>
      <c r="E37" s="5">
        <f t="shared" si="0"/>
        <v>100</v>
      </c>
      <c r="F37" s="5">
        <f t="shared" si="1"/>
        <v>0</v>
      </c>
      <c r="G37" s="19"/>
    </row>
    <row r="38" spans="1:11">
      <c r="A38" s="16">
        <v>2021000000</v>
      </c>
      <c r="B38" s="17" t="s">
        <v>18</v>
      </c>
      <c r="C38" s="208">
        <v>1194.4000000000001</v>
      </c>
      <c r="D38" s="20">
        <v>1194.4000000000001</v>
      </c>
      <c r="E38" s="9">
        <f t="shared" si="0"/>
        <v>100</v>
      </c>
      <c r="F38" s="9">
        <f t="shared" si="1"/>
        <v>0</v>
      </c>
    </row>
    <row r="39" spans="1:11">
      <c r="A39" s="16">
        <v>2021500200</v>
      </c>
      <c r="B39" s="17" t="s">
        <v>212</v>
      </c>
      <c r="C39" s="205">
        <v>600</v>
      </c>
      <c r="D39" s="20">
        <v>600</v>
      </c>
      <c r="E39" s="9">
        <f>SUM(D39/C39*100)</f>
        <v>100</v>
      </c>
      <c r="F39" s="9">
        <f>SUM(D39-C39)</f>
        <v>0</v>
      </c>
    </row>
    <row r="40" spans="1:11">
      <c r="A40" s="16">
        <v>2022000000</v>
      </c>
      <c r="B40" s="17" t="s">
        <v>19</v>
      </c>
      <c r="C40" s="205">
        <v>751.93</v>
      </c>
      <c r="D40" s="10">
        <v>751.93</v>
      </c>
      <c r="E40" s="9">
        <f t="shared" si="0"/>
        <v>100</v>
      </c>
      <c r="F40" s="9">
        <f t="shared" si="1"/>
        <v>0</v>
      </c>
    </row>
    <row r="41" spans="1:11" ht="19.5" customHeight="1">
      <c r="A41" s="16">
        <v>2023000000</v>
      </c>
      <c r="B41" s="17" t="s">
        <v>20</v>
      </c>
      <c r="C41" s="205">
        <v>99.183999999999997</v>
      </c>
      <c r="D41" s="175">
        <v>99.183999999999997</v>
      </c>
      <c r="E41" s="9">
        <f t="shared" si="0"/>
        <v>100</v>
      </c>
      <c r="F41" s="9">
        <f t="shared" si="1"/>
        <v>0</v>
      </c>
    </row>
    <row r="42" spans="1:11">
      <c r="A42" s="7">
        <v>2070500010</v>
      </c>
      <c r="B42" s="17" t="s">
        <v>319</v>
      </c>
      <c r="C42" s="205">
        <v>0</v>
      </c>
      <c r="D42" s="176">
        <v>0</v>
      </c>
      <c r="E42" s="9" t="e">
        <f t="shared" si="0"/>
        <v>#DIV/0!</v>
      </c>
      <c r="F42" s="9">
        <f t="shared" si="1"/>
        <v>0</v>
      </c>
    </row>
    <row r="43" spans="1:11" ht="15.75" customHeight="1">
      <c r="A43" s="16">
        <v>2024000000</v>
      </c>
      <c r="B43" s="18" t="s">
        <v>21</v>
      </c>
      <c r="C43" s="205">
        <v>1300</v>
      </c>
      <c r="D43" s="176">
        <v>1300</v>
      </c>
      <c r="E43" s="9">
        <f t="shared" si="0"/>
        <v>100</v>
      </c>
      <c r="F43" s="9">
        <f t="shared" si="1"/>
        <v>0</v>
      </c>
    </row>
    <row r="44" spans="1:11" ht="17.25" customHeight="1">
      <c r="A44" s="7">
        <v>2190000010</v>
      </c>
      <c r="B44" s="11" t="s">
        <v>23</v>
      </c>
      <c r="C44" s="213">
        <v>0</v>
      </c>
      <c r="D44" s="202">
        <v>0</v>
      </c>
      <c r="E44" s="5" t="e">
        <f t="shared" si="0"/>
        <v>#DIV/0!</v>
      </c>
      <c r="F44" s="5">
        <f>SUM(D44-C44)</f>
        <v>0</v>
      </c>
    </row>
    <row r="45" spans="1:11" s="413" customFormat="1" ht="19.5" hidden="1" customHeight="1">
      <c r="A45" s="3">
        <v>3000000000</v>
      </c>
      <c r="B45" s="13" t="s">
        <v>24</v>
      </c>
      <c r="C45" s="214">
        <v>0</v>
      </c>
      <c r="D45" s="215">
        <v>0</v>
      </c>
      <c r="E45" s="5" t="e">
        <f t="shared" si="0"/>
        <v>#DIV/0!</v>
      </c>
      <c r="F45" s="5">
        <f t="shared" si="1"/>
        <v>0</v>
      </c>
    </row>
    <row r="46" spans="1:11" s="6" customFormat="1" ht="15.75" customHeight="1">
      <c r="A46" s="248"/>
      <c r="B46" s="249" t="s">
        <v>25</v>
      </c>
      <c r="C46" s="451">
        <f>C36+C37</f>
        <v>4615.2939999999999</v>
      </c>
      <c r="D46" s="472">
        <f>D36+D37</f>
        <v>4675.0962</v>
      </c>
      <c r="E46" s="250">
        <f t="shared" si="0"/>
        <v>101.29573977302422</v>
      </c>
      <c r="F46" s="250">
        <f t="shared" si="1"/>
        <v>59.802200000000084</v>
      </c>
      <c r="G46" s="188"/>
      <c r="H46" s="188"/>
      <c r="K46" s="126"/>
    </row>
    <row r="47" spans="1:11" s="6" customFormat="1">
      <c r="A47" s="3"/>
      <c r="B47" s="21" t="s">
        <v>291</v>
      </c>
      <c r="C47" s="5">
        <f>C46-C93</f>
        <v>-154.75804000000062</v>
      </c>
      <c r="D47" s="5">
        <f>D46-D93</f>
        <v>539.92195999999967</v>
      </c>
      <c r="E47" s="22"/>
      <c r="F47" s="22"/>
    </row>
    <row r="48" spans="1:11">
      <c r="A48" s="23"/>
      <c r="B48" s="24"/>
      <c r="C48" s="174"/>
      <c r="D48" s="174"/>
      <c r="E48" s="26"/>
      <c r="F48" s="89"/>
    </row>
    <row r="49" spans="1:6" ht="50.25" customHeight="1">
      <c r="A49" s="28" t="s">
        <v>0</v>
      </c>
      <c r="B49" s="28" t="s">
        <v>26</v>
      </c>
      <c r="C49" s="167" t="s">
        <v>382</v>
      </c>
      <c r="D49" s="168" t="s">
        <v>403</v>
      </c>
      <c r="E49" s="72" t="s">
        <v>2</v>
      </c>
      <c r="F49" s="74" t="s">
        <v>3</v>
      </c>
    </row>
    <row r="50" spans="1:6">
      <c r="A50" s="86">
        <v>1</v>
      </c>
      <c r="B50" s="85">
        <v>2</v>
      </c>
      <c r="C50" s="85">
        <v>3</v>
      </c>
      <c r="D50" s="85">
        <v>4</v>
      </c>
      <c r="E50" s="85">
        <v>5</v>
      </c>
      <c r="F50" s="85">
        <v>6</v>
      </c>
    </row>
    <row r="51" spans="1:6" s="6" customFormat="1" ht="30.75" customHeight="1">
      <c r="A51" s="30" t="s">
        <v>27</v>
      </c>
      <c r="B51" s="31" t="s">
        <v>28</v>
      </c>
      <c r="C51" s="22">
        <f>C53+C56+C57+C58</f>
        <v>1757.7750000000001</v>
      </c>
      <c r="D51" s="22">
        <f>D53+D56+D57+D58</f>
        <v>1634.14229</v>
      </c>
      <c r="E51" s="34">
        <f>SUM(D51/C51*100)</f>
        <v>92.966522450256718</v>
      </c>
      <c r="F51" s="34">
        <f>SUM(D51-C51)</f>
        <v>-123.63271000000009</v>
      </c>
    </row>
    <row r="52" spans="1:6" s="6" customFormat="1" ht="31.5">
      <c r="A52" s="35" t="s">
        <v>29</v>
      </c>
      <c r="B52" s="36" t="s">
        <v>30</v>
      </c>
      <c r="C52" s="89"/>
      <c r="D52" s="89"/>
      <c r="E52" s="38"/>
      <c r="F52" s="38"/>
    </row>
    <row r="53" spans="1:6" ht="16.5" customHeight="1">
      <c r="A53" s="35" t="s">
        <v>31</v>
      </c>
      <c r="B53" s="39" t="s">
        <v>32</v>
      </c>
      <c r="C53" s="89">
        <v>1714</v>
      </c>
      <c r="D53" s="89">
        <v>1596.64229</v>
      </c>
      <c r="E53" s="38">
        <f>SUM(D53/C53*100)</f>
        <v>93.152992415402565</v>
      </c>
      <c r="F53" s="38">
        <f t="shared" ref="F53:F93" si="3">SUM(D53-C53)</f>
        <v>-117.35771</v>
      </c>
    </row>
    <row r="54" spans="1:6" ht="0.75" hidden="1" customHeight="1">
      <c r="A54" s="35" t="s">
        <v>33</v>
      </c>
      <c r="B54" s="39" t="s">
        <v>34</v>
      </c>
      <c r="C54" s="89"/>
      <c r="D54" s="89"/>
      <c r="E54" s="38"/>
      <c r="F54" s="38">
        <f t="shared" si="3"/>
        <v>0</v>
      </c>
    </row>
    <row r="55" spans="1:6" ht="15.75" hidden="1" customHeight="1">
      <c r="A55" s="35" t="s">
        <v>35</v>
      </c>
      <c r="B55" s="39" t="s">
        <v>36</v>
      </c>
      <c r="C55" s="89"/>
      <c r="D55" s="89"/>
      <c r="E55" s="38" t="e">
        <f t="shared" ref="E55:E93" si="4">SUM(D55/C55*100)</f>
        <v>#DIV/0!</v>
      </c>
      <c r="F55" s="38">
        <f t="shared" si="3"/>
        <v>0</v>
      </c>
    </row>
    <row r="56" spans="1:6" ht="17.25" customHeight="1">
      <c r="A56" s="35" t="s">
        <v>37</v>
      </c>
      <c r="B56" s="39" t="s">
        <v>38</v>
      </c>
      <c r="C56" s="89">
        <v>12</v>
      </c>
      <c r="D56" s="89">
        <v>12</v>
      </c>
      <c r="E56" s="38">
        <f t="shared" si="4"/>
        <v>100</v>
      </c>
      <c r="F56" s="38">
        <f t="shared" si="3"/>
        <v>0</v>
      </c>
    </row>
    <row r="57" spans="1:6" ht="17.25" customHeight="1">
      <c r="A57" s="35" t="s">
        <v>39</v>
      </c>
      <c r="B57" s="39" t="s">
        <v>40</v>
      </c>
      <c r="C57" s="100">
        <v>5</v>
      </c>
      <c r="D57" s="100">
        <v>0</v>
      </c>
      <c r="E57" s="38">
        <f t="shared" si="4"/>
        <v>0</v>
      </c>
      <c r="F57" s="38">
        <f t="shared" si="3"/>
        <v>-5</v>
      </c>
    </row>
    <row r="58" spans="1:6" ht="17.25" customHeight="1">
      <c r="A58" s="35" t="s">
        <v>41</v>
      </c>
      <c r="B58" s="39" t="s">
        <v>42</v>
      </c>
      <c r="C58" s="89">
        <v>26.774999999999999</v>
      </c>
      <c r="D58" s="89">
        <v>25.5</v>
      </c>
      <c r="E58" s="38">
        <f t="shared" si="4"/>
        <v>95.238095238095241</v>
      </c>
      <c r="F58" s="38">
        <f t="shared" si="3"/>
        <v>-1.2749999999999986</v>
      </c>
    </row>
    <row r="59" spans="1:6" s="6" customFormat="1">
      <c r="A59" s="41" t="s">
        <v>43</v>
      </c>
      <c r="B59" s="42" t="s">
        <v>44</v>
      </c>
      <c r="C59" s="22">
        <f>C60</f>
        <v>99.183999999999997</v>
      </c>
      <c r="D59" s="22">
        <f>D60</f>
        <v>99.183999999999997</v>
      </c>
      <c r="E59" s="34">
        <f t="shared" si="4"/>
        <v>100</v>
      </c>
      <c r="F59" s="34">
        <f t="shared" si="3"/>
        <v>0</v>
      </c>
    </row>
    <row r="60" spans="1:6">
      <c r="A60" s="43" t="s">
        <v>45</v>
      </c>
      <c r="B60" s="44" t="s">
        <v>46</v>
      </c>
      <c r="C60" s="89">
        <v>99.183999999999997</v>
      </c>
      <c r="D60" s="89">
        <v>99.183999999999997</v>
      </c>
      <c r="E60" s="38">
        <f t="shared" si="4"/>
        <v>100</v>
      </c>
      <c r="F60" s="38">
        <f t="shared" si="3"/>
        <v>0</v>
      </c>
    </row>
    <row r="61" spans="1:6" s="6" customFormat="1" ht="17.25" customHeight="1">
      <c r="A61" s="30" t="s">
        <v>47</v>
      </c>
      <c r="B61" s="31" t="s">
        <v>48</v>
      </c>
      <c r="C61" s="22">
        <f>C64+C65+C66</f>
        <v>12.821999999999999</v>
      </c>
      <c r="D61" s="22">
        <f>D64+D65+D66</f>
        <v>8.89025</v>
      </c>
      <c r="E61" s="34">
        <f t="shared" si="4"/>
        <v>69.335907034783972</v>
      </c>
      <c r="F61" s="34">
        <f t="shared" si="3"/>
        <v>-3.9317499999999992</v>
      </c>
    </row>
    <row r="62" spans="1:6" ht="13.5" hidden="1" customHeight="1">
      <c r="A62" s="35" t="s">
        <v>49</v>
      </c>
      <c r="B62" s="39" t="s">
        <v>50</v>
      </c>
      <c r="C62" s="89"/>
      <c r="D62" s="89"/>
      <c r="E62" s="34" t="e">
        <f t="shared" si="4"/>
        <v>#DIV/0!</v>
      </c>
      <c r="F62" s="34">
        <f t="shared" si="3"/>
        <v>0</v>
      </c>
    </row>
    <row r="63" spans="1:6" hidden="1">
      <c r="A63" s="45" t="s">
        <v>51</v>
      </c>
      <c r="B63" s="39" t="s">
        <v>52</v>
      </c>
      <c r="C63" s="89"/>
      <c r="D63" s="89"/>
      <c r="E63" s="34" t="e">
        <f t="shared" si="4"/>
        <v>#DIV/0!</v>
      </c>
      <c r="F63" s="34">
        <f t="shared" si="3"/>
        <v>0</v>
      </c>
    </row>
    <row r="64" spans="1:6" ht="15.75" customHeight="1">
      <c r="A64" s="46" t="s">
        <v>53</v>
      </c>
      <c r="B64" s="47" t="s">
        <v>54</v>
      </c>
      <c r="C64" s="89">
        <v>2.8220000000000001</v>
      </c>
      <c r="D64" s="89">
        <v>2.8219099999999999</v>
      </c>
      <c r="E64" s="34">
        <f t="shared" si="4"/>
        <v>99.99681077250176</v>
      </c>
      <c r="F64" s="34">
        <f t="shared" si="3"/>
        <v>-9.0000000000145519E-5</v>
      </c>
    </row>
    <row r="65" spans="1:7" ht="15.75" customHeight="1">
      <c r="A65" s="46" t="s">
        <v>199</v>
      </c>
      <c r="B65" s="47" t="s">
        <v>200</v>
      </c>
      <c r="C65" s="89">
        <v>8</v>
      </c>
      <c r="D65" s="89">
        <v>4.0683400000000001</v>
      </c>
      <c r="E65" s="38">
        <f t="shared" si="4"/>
        <v>50.85425</v>
      </c>
      <c r="F65" s="38">
        <f t="shared" si="3"/>
        <v>-3.9316599999999999</v>
      </c>
    </row>
    <row r="66" spans="1:7" ht="15.75" customHeight="1">
      <c r="A66" s="46" t="s">
        <v>320</v>
      </c>
      <c r="B66" s="47" t="s">
        <v>374</v>
      </c>
      <c r="C66" s="89">
        <v>2</v>
      </c>
      <c r="D66" s="89">
        <v>2</v>
      </c>
      <c r="E66" s="38"/>
      <c r="F66" s="38"/>
    </row>
    <row r="67" spans="1:7" s="6" customFormat="1">
      <c r="A67" s="30" t="s">
        <v>55</v>
      </c>
      <c r="B67" s="31" t="s">
        <v>56</v>
      </c>
      <c r="C67" s="101">
        <f>C70+C71+C68+C69</f>
        <v>1178.8680400000001</v>
      </c>
      <c r="D67" s="101">
        <f>D70+D71+D68+D69</f>
        <v>1166.5880400000001</v>
      </c>
      <c r="E67" s="34">
        <f t="shared" si="4"/>
        <v>98.958322765285928</v>
      </c>
      <c r="F67" s="34">
        <f t="shared" si="3"/>
        <v>-12.279999999999973</v>
      </c>
    </row>
    <row r="68" spans="1:7" ht="16.5" customHeight="1">
      <c r="A68" s="35" t="s">
        <v>57</v>
      </c>
      <c r="B68" s="39" t="s">
        <v>58</v>
      </c>
      <c r="C68" s="102"/>
      <c r="D68" s="89">
        <v>0</v>
      </c>
      <c r="E68" s="38" t="e">
        <f t="shared" si="4"/>
        <v>#DIV/0!</v>
      </c>
      <c r="F68" s="38">
        <f t="shared" si="3"/>
        <v>0</v>
      </c>
    </row>
    <row r="69" spans="1:7" s="6" customFormat="1" ht="15.75" customHeight="1">
      <c r="A69" s="35" t="s">
        <v>59</v>
      </c>
      <c r="B69" s="39" t="s">
        <v>60</v>
      </c>
      <c r="C69" s="102">
        <v>32</v>
      </c>
      <c r="D69" s="89">
        <v>19.72</v>
      </c>
      <c r="E69" s="38">
        <f t="shared" si="4"/>
        <v>61.625</v>
      </c>
      <c r="F69" s="38">
        <f t="shared" si="3"/>
        <v>-12.280000000000001</v>
      </c>
      <c r="G69" s="50"/>
    </row>
    <row r="70" spans="1:7" ht="15.75" customHeight="1">
      <c r="A70" s="35" t="s">
        <v>61</v>
      </c>
      <c r="B70" s="39" t="s">
        <v>62</v>
      </c>
      <c r="C70" s="102">
        <v>1146.8680400000001</v>
      </c>
      <c r="D70" s="89">
        <v>1146.8680400000001</v>
      </c>
      <c r="E70" s="38">
        <f t="shared" si="4"/>
        <v>100</v>
      </c>
      <c r="F70" s="38">
        <f t="shared" si="3"/>
        <v>0</v>
      </c>
    </row>
    <row r="71" spans="1:7">
      <c r="A71" s="35" t="s">
        <v>63</v>
      </c>
      <c r="B71" s="39" t="s">
        <v>64</v>
      </c>
      <c r="C71" s="102">
        <v>0</v>
      </c>
      <c r="D71" s="89">
        <v>0</v>
      </c>
      <c r="E71" s="38" t="e">
        <f t="shared" si="4"/>
        <v>#DIV/0!</v>
      </c>
      <c r="F71" s="38">
        <f t="shared" si="3"/>
        <v>0</v>
      </c>
    </row>
    <row r="72" spans="1:7" s="6" customFormat="1" ht="18" customHeight="1">
      <c r="A72" s="30" t="s">
        <v>65</v>
      </c>
      <c r="B72" s="31" t="s">
        <v>66</v>
      </c>
      <c r="C72" s="22">
        <f>C75+C74</f>
        <v>1436.403</v>
      </c>
      <c r="D72" s="22">
        <f>D75</f>
        <v>943.36965999999995</v>
      </c>
      <c r="E72" s="34">
        <f t="shared" si="4"/>
        <v>65.675834706555193</v>
      </c>
      <c r="F72" s="34">
        <f t="shared" si="3"/>
        <v>-493.03334000000007</v>
      </c>
    </row>
    <row r="73" spans="1:7" ht="0.75" hidden="1" customHeight="1">
      <c r="A73" s="35" t="s">
        <v>67</v>
      </c>
      <c r="B73" s="51" t="s">
        <v>68</v>
      </c>
      <c r="C73" s="89"/>
      <c r="D73" s="89"/>
      <c r="E73" s="38" t="e">
        <f t="shared" si="4"/>
        <v>#DIV/0!</v>
      </c>
      <c r="F73" s="38">
        <f t="shared" si="3"/>
        <v>0</v>
      </c>
    </row>
    <row r="74" spans="1:7" ht="15.75" customHeight="1">
      <c r="A74" s="35" t="s">
        <v>69</v>
      </c>
      <c r="B74" s="51" t="s">
        <v>70</v>
      </c>
      <c r="C74" s="89">
        <v>0</v>
      </c>
      <c r="D74" s="89"/>
      <c r="E74" s="38" t="e">
        <f t="shared" si="4"/>
        <v>#DIV/0!</v>
      </c>
      <c r="F74" s="38">
        <f t="shared" si="3"/>
        <v>0</v>
      </c>
    </row>
    <row r="75" spans="1:7" ht="16.5" customHeight="1">
      <c r="A75" s="35" t="s">
        <v>71</v>
      </c>
      <c r="B75" s="39" t="s">
        <v>72</v>
      </c>
      <c r="C75" s="89">
        <v>1436.403</v>
      </c>
      <c r="D75" s="89">
        <v>943.36965999999995</v>
      </c>
      <c r="E75" s="38">
        <f t="shared" si="4"/>
        <v>65.675834706555193</v>
      </c>
      <c r="F75" s="38">
        <f t="shared" si="3"/>
        <v>-493.03334000000007</v>
      </c>
    </row>
    <row r="76" spans="1:7" s="6" customFormat="1">
      <c r="A76" s="30" t="s">
        <v>83</v>
      </c>
      <c r="B76" s="31" t="s">
        <v>84</v>
      </c>
      <c r="C76" s="22">
        <f>C77</f>
        <v>283</v>
      </c>
      <c r="D76" s="22">
        <f>D77</f>
        <v>283</v>
      </c>
      <c r="E76" s="34">
        <f t="shared" si="4"/>
        <v>100</v>
      </c>
      <c r="F76" s="34">
        <f t="shared" si="3"/>
        <v>0</v>
      </c>
    </row>
    <row r="77" spans="1:7" ht="14.25" customHeight="1">
      <c r="A77" s="35" t="s">
        <v>85</v>
      </c>
      <c r="B77" s="39" t="s">
        <v>214</v>
      </c>
      <c r="C77" s="89">
        <v>283</v>
      </c>
      <c r="D77" s="89">
        <v>283</v>
      </c>
      <c r="E77" s="38">
        <f t="shared" si="4"/>
        <v>100</v>
      </c>
      <c r="F77" s="38">
        <f t="shared" si="3"/>
        <v>0</v>
      </c>
    </row>
    <row r="78" spans="1:7" s="6" customFormat="1" ht="0.75" hidden="1" customHeight="1">
      <c r="A78" s="52">
        <v>1000</v>
      </c>
      <c r="B78" s="31" t="s">
        <v>86</v>
      </c>
      <c r="C78" s="22"/>
      <c r="D78" s="22"/>
      <c r="E78" s="34" t="e">
        <f t="shared" si="4"/>
        <v>#DIV/0!</v>
      </c>
      <c r="F78" s="34">
        <f t="shared" si="3"/>
        <v>0</v>
      </c>
    </row>
    <row r="79" spans="1:7" ht="16.5" hidden="1" customHeight="1">
      <c r="A79" s="53">
        <v>1001</v>
      </c>
      <c r="B79" s="54" t="s">
        <v>87</v>
      </c>
      <c r="C79" s="89"/>
      <c r="D79" s="89"/>
      <c r="E79" s="38" t="e">
        <f t="shared" si="4"/>
        <v>#DIV/0!</v>
      </c>
      <c r="F79" s="38">
        <f t="shared" si="3"/>
        <v>0</v>
      </c>
    </row>
    <row r="80" spans="1:7" ht="15.75" hidden="1" customHeight="1">
      <c r="A80" s="53">
        <v>1003</v>
      </c>
      <c r="B80" s="54" t="s">
        <v>88</v>
      </c>
      <c r="C80" s="89"/>
      <c r="D80" s="89"/>
      <c r="E80" s="38" t="e">
        <f t="shared" si="4"/>
        <v>#DIV/0!</v>
      </c>
      <c r="F80" s="38">
        <f t="shared" si="3"/>
        <v>0</v>
      </c>
    </row>
    <row r="81" spans="1:7" ht="16.5" hidden="1" customHeight="1">
      <c r="A81" s="53">
        <v>1004</v>
      </c>
      <c r="B81" s="54" t="s">
        <v>89</v>
      </c>
      <c r="C81" s="89"/>
      <c r="D81" s="178"/>
      <c r="E81" s="38" t="e">
        <f t="shared" si="4"/>
        <v>#DIV/0!</v>
      </c>
      <c r="F81" s="38">
        <f t="shared" si="3"/>
        <v>0</v>
      </c>
    </row>
    <row r="82" spans="1:7" ht="0.75" customHeight="1">
      <c r="A82" s="35" t="s">
        <v>90</v>
      </c>
      <c r="B82" s="39" t="s">
        <v>91</v>
      </c>
      <c r="C82" s="89"/>
      <c r="D82" s="89"/>
      <c r="E82" s="38"/>
      <c r="F82" s="38">
        <f t="shared" si="3"/>
        <v>0</v>
      </c>
    </row>
    <row r="83" spans="1:7" ht="12" customHeight="1">
      <c r="A83" s="30" t="s">
        <v>92</v>
      </c>
      <c r="B83" s="31" t="s">
        <v>93</v>
      </c>
      <c r="C83" s="22">
        <f>C84</f>
        <v>2</v>
      </c>
      <c r="D83" s="22">
        <f>D84</f>
        <v>0</v>
      </c>
      <c r="E83" s="38">
        <f t="shared" si="4"/>
        <v>0</v>
      </c>
      <c r="F83" s="22">
        <f>F84+F85+F86+F87+F88</f>
        <v>-2</v>
      </c>
    </row>
    <row r="84" spans="1:7" ht="11.25" customHeight="1">
      <c r="A84" s="35" t="s">
        <v>94</v>
      </c>
      <c r="B84" s="39" t="s">
        <v>95</v>
      </c>
      <c r="C84" s="89">
        <v>2</v>
      </c>
      <c r="D84" s="89">
        <v>0</v>
      </c>
      <c r="E84" s="38">
        <v>0</v>
      </c>
      <c r="F84" s="38">
        <f>SUM(D84-C84)</f>
        <v>-2</v>
      </c>
    </row>
    <row r="85" spans="1:7" ht="14.25" hidden="1" customHeight="1">
      <c r="A85" s="35" t="s">
        <v>96</v>
      </c>
      <c r="B85" s="39" t="s">
        <v>97</v>
      </c>
      <c r="C85" s="89"/>
      <c r="D85" s="89"/>
      <c r="E85" s="38" t="e">
        <f t="shared" si="4"/>
        <v>#DIV/0!</v>
      </c>
      <c r="F85" s="38">
        <f>SUM(D85-C85)</f>
        <v>0</v>
      </c>
    </row>
    <row r="86" spans="1:7" ht="15.75" hidden="1" customHeight="1">
      <c r="A86" s="35" t="s">
        <v>98</v>
      </c>
      <c r="B86" s="39" t="s">
        <v>99</v>
      </c>
      <c r="C86" s="89"/>
      <c r="D86" s="89"/>
      <c r="E86" s="38" t="e">
        <f t="shared" si="4"/>
        <v>#DIV/0!</v>
      </c>
      <c r="F86" s="38"/>
    </row>
    <row r="87" spans="1:7" ht="9.75" hidden="1" customHeight="1">
      <c r="A87" s="35" t="s">
        <v>100</v>
      </c>
      <c r="B87" s="39" t="s">
        <v>101</v>
      </c>
      <c r="C87" s="89"/>
      <c r="D87" s="89"/>
      <c r="E87" s="38" t="e">
        <f t="shared" si="4"/>
        <v>#DIV/0!</v>
      </c>
      <c r="F87" s="38"/>
    </row>
    <row r="88" spans="1:7" ht="11.25" hidden="1" customHeight="1">
      <c r="A88" s="35" t="s">
        <v>102</v>
      </c>
      <c r="B88" s="39" t="s">
        <v>103</v>
      </c>
      <c r="C88" s="89"/>
      <c r="D88" s="89"/>
      <c r="E88" s="38" t="e">
        <f t="shared" si="4"/>
        <v>#DIV/0!</v>
      </c>
      <c r="F88" s="38"/>
    </row>
    <row r="89" spans="1:7" s="6" customFormat="1" ht="17.25" hidden="1" customHeight="1">
      <c r="A89" s="52">
        <v>1400</v>
      </c>
      <c r="B89" s="56" t="s">
        <v>112</v>
      </c>
      <c r="C89" s="101">
        <v>0</v>
      </c>
      <c r="D89" s="101">
        <f>SUM(D90:D92)</f>
        <v>0</v>
      </c>
      <c r="E89" s="34" t="e">
        <f t="shared" si="4"/>
        <v>#DIV/0!</v>
      </c>
      <c r="F89" s="34">
        <f t="shared" si="3"/>
        <v>0</v>
      </c>
    </row>
    <row r="90" spans="1:7" ht="18.75" hidden="1" customHeight="1">
      <c r="A90" s="53">
        <v>1401</v>
      </c>
      <c r="B90" s="54" t="s">
        <v>113</v>
      </c>
      <c r="C90" s="102"/>
      <c r="D90" s="89"/>
      <c r="E90" s="38" t="e">
        <f t="shared" si="4"/>
        <v>#DIV/0!</v>
      </c>
      <c r="F90" s="38">
        <f t="shared" si="3"/>
        <v>0</v>
      </c>
    </row>
    <row r="91" spans="1:7" ht="15.75" hidden="1" customHeight="1">
      <c r="A91" s="53">
        <v>1402</v>
      </c>
      <c r="B91" s="54" t="s">
        <v>114</v>
      </c>
      <c r="C91" s="102"/>
      <c r="D91" s="89"/>
      <c r="E91" s="38" t="e">
        <f t="shared" si="4"/>
        <v>#DIV/0!</v>
      </c>
      <c r="F91" s="38">
        <f t="shared" si="3"/>
        <v>0</v>
      </c>
    </row>
    <row r="92" spans="1:7" ht="12.75" hidden="1" customHeight="1">
      <c r="A92" s="53">
        <v>1403</v>
      </c>
      <c r="B92" s="54" t="s">
        <v>115</v>
      </c>
      <c r="C92" s="102"/>
      <c r="D92" s="89"/>
      <c r="E92" s="38" t="e">
        <f t="shared" si="4"/>
        <v>#DIV/0!</v>
      </c>
      <c r="F92" s="38">
        <f t="shared" si="3"/>
        <v>0</v>
      </c>
    </row>
    <row r="93" spans="1:7" s="6" customFormat="1">
      <c r="A93" s="52"/>
      <c r="B93" s="57" t="s">
        <v>116</v>
      </c>
      <c r="C93" s="452">
        <f>C51+C59+C61+C67+C72+C76+C83</f>
        <v>4770.0520400000005</v>
      </c>
      <c r="D93" s="452">
        <f>D51+D59+D61+D67+D72+D76+D78+D83+D89</f>
        <v>4135.1742400000003</v>
      </c>
      <c r="E93" s="124">
        <f t="shared" si="4"/>
        <v>86.690338078575763</v>
      </c>
      <c r="F93" s="34">
        <f t="shared" si="3"/>
        <v>-634.87780000000021</v>
      </c>
      <c r="G93" s="188"/>
    </row>
    <row r="94" spans="1:7">
      <c r="C94" s="122"/>
      <c r="D94" s="97"/>
    </row>
    <row r="95" spans="1:7" s="65" customFormat="1" ht="16.5" customHeight="1">
      <c r="A95" s="63" t="s">
        <v>117</v>
      </c>
      <c r="B95" s="63"/>
      <c r="C95" s="173"/>
      <c r="D95" s="173"/>
    </row>
    <row r="96" spans="1:7" s="65" customFormat="1" ht="20.25" customHeight="1">
      <c r="A96" s="66" t="s">
        <v>118</v>
      </c>
      <c r="B96" s="66"/>
      <c r="C96" s="65" t="s">
        <v>119</v>
      </c>
    </row>
    <row r="97" ht="13.5" customHeight="1"/>
    <row r="99" ht="5.25" customHeight="1"/>
    <row r="141" hidden="1"/>
  </sheetData>
  <customSheetViews>
    <customSheetView guid="{5BFCA170-DEAE-4D2C-98A0-1E68B427AC01}" showPageBreaks="1" hiddenRows="1" topLeftCell="A28">
      <selection activeCell="I43" sqref="I42:I43"/>
      <pageMargins left="0.75" right="0.75" top="0.18" bottom="0.17" header="0.5" footer="0.25"/>
      <pageSetup paperSize="9" scale="63" orientation="portrait" r:id="rId1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2"/>
      <headerFooter alignWithMargins="0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3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5"/>
      <headerFooter alignWithMargins="0"/>
    </customSheetView>
    <customSheetView guid="{B31C8DB7-3E78-4144-A6B5-8DE36DE63F0E}" hiddenRows="1" topLeftCell="A34">
      <selection activeCell="D44" sqref="D44"/>
      <pageMargins left="0.75" right="0.75" top="0.18" bottom="0.17" header="0.5" footer="0.25"/>
      <pageSetup paperSize="9" scale="63" orientation="portrait" r:id="rId6"/>
      <headerFooter alignWithMargins="0"/>
    </customSheetView>
    <customSheetView guid="{B30CE22D-C12F-4E12-8BB9-3AAE0A6991CC}" scale="70" showPageBreaks="1" printArea="1" hiddenRows="1" view="pageBreakPreview" topLeftCell="A16">
      <selection activeCell="C48" sqref="C48:D48"/>
      <pageMargins left="0.74803149606299213" right="0.74803149606299213" top="0.19685039370078741" bottom="0.15748031496062992" header="0.51181102362204722" footer="0.23622047244094491"/>
      <pageSetup paperSize="9" scale="60" orientation="portrait" r:id="rId7"/>
      <headerFooter alignWithMargins="0"/>
    </customSheetView>
    <customSheetView guid="{1718F1EE-9F48-4DBE-9531-3B70F9C4A5DD}" scale="70" showPageBreaks="1" hiddenRows="1" view="pageBreakPreview" topLeftCell="A13">
      <selection activeCell="D76" sqref="D76"/>
      <pageMargins left="0.75" right="0.75" top="0.18" bottom="0.17" header="0.5" footer="0.25"/>
      <pageSetup paperSize="9" scale="49" orientation="portrait" r:id="rId8"/>
      <headerFooter alignWithMargins="0"/>
    </customSheetView>
    <customSheetView guid="{61528DAC-5C4C-48F4-ADE2-8A724B05A086}" scale="70" showPageBreaks="1" printArea="1" hiddenRows="1" view="pageBreakPreview">
      <selection activeCell="D47" sqref="D47"/>
      <pageMargins left="0.74803149606299213" right="0.74803149606299213" top="0.19685039370078741" bottom="0.15748031496062992" header="0.51181102362204722" footer="0.23622047244094491"/>
      <pageSetup paperSize="9" scale="60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19685039370078741" bottom="0.15748031496062992" header="0.51181102362204722" footer="0.23622047244094491"/>
  <pageSetup paperSize="9" scale="60" orientation="portrait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42"/>
  <sheetViews>
    <sheetView view="pageBreakPreview" topLeftCell="A25" zoomScale="70" zoomScaleSheetLayoutView="70" workbookViewId="0">
      <selection activeCell="E39" sqref="E39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3" t="s">
        <v>413</v>
      </c>
      <c r="B1" s="543"/>
      <c r="C1" s="543"/>
      <c r="D1" s="543"/>
      <c r="E1" s="543"/>
      <c r="F1" s="543"/>
    </row>
    <row r="2" spans="1:6">
      <c r="A2" s="543"/>
      <c r="B2" s="543"/>
      <c r="C2" s="543"/>
      <c r="D2" s="543"/>
      <c r="E2" s="543"/>
      <c r="F2" s="543"/>
    </row>
    <row r="3" spans="1:6" ht="63">
      <c r="A3" s="2" t="s">
        <v>0</v>
      </c>
      <c r="B3" s="2" t="s">
        <v>1</v>
      </c>
      <c r="C3" s="131" t="s">
        <v>382</v>
      </c>
      <c r="D3" s="73" t="s">
        <v>407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3554.16</v>
      </c>
      <c r="D4" s="5">
        <f>D5+D12+D14+D17+D7</f>
        <v>3218.1223800000002</v>
      </c>
      <c r="E4" s="5">
        <f>SUM(D4/C4*100)</f>
        <v>90.545230940644217</v>
      </c>
      <c r="F4" s="5">
        <f>SUM(D4-C4)</f>
        <v>-336.03761999999961</v>
      </c>
    </row>
    <row r="5" spans="1:6" s="6" customFormat="1">
      <c r="A5" s="68">
        <v>1010000000</v>
      </c>
      <c r="B5" s="67" t="s">
        <v>5</v>
      </c>
      <c r="C5" s="5">
        <f>C6</f>
        <v>403.6</v>
      </c>
      <c r="D5" s="5">
        <f>D6</f>
        <v>345.43527</v>
      </c>
      <c r="E5" s="5">
        <f t="shared" ref="E5:E52" si="0">SUM(D5/C5*100)</f>
        <v>85.588520812685815</v>
      </c>
      <c r="F5" s="5">
        <f t="shared" ref="F5:F52" si="1">SUM(D5-C5)</f>
        <v>-58.16473000000002</v>
      </c>
    </row>
    <row r="6" spans="1:6">
      <c r="A6" s="7">
        <v>1010200001</v>
      </c>
      <c r="B6" s="8" t="s">
        <v>209</v>
      </c>
      <c r="C6" s="9">
        <v>403.6</v>
      </c>
      <c r="D6" s="10">
        <v>345.43527</v>
      </c>
      <c r="E6" s="9">
        <f t="shared" ref="E6:E11" si="2">SUM(D6/C6*100)</f>
        <v>85.588520812685815</v>
      </c>
      <c r="F6" s="9">
        <f t="shared" si="1"/>
        <v>-58.16473000000002</v>
      </c>
    </row>
    <row r="7" spans="1:6" ht="31.5">
      <c r="A7" s="3">
        <v>1030000000</v>
      </c>
      <c r="B7" s="13" t="s">
        <v>250</v>
      </c>
      <c r="C7" s="5">
        <f>C8+C10+C9</f>
        <v>739.56000000000006</v>
      </c>
      <c r="D7" s="5">
        <f>D8+D10+D9+D11</f>
        <v>702.29732000000001</v>
      </c>
      <c r="E7" s="5">
        <f t="shared" si="2"/>
        <v>94.961506841906001</v>
      </c>
      <c r="F7" s="5">
        <f t="shared" si="1"/>
        <v>-37.262680000000046</v>
      </c>
    </row>
    <row r="8" spans="1:6">
      <c r="A8" s="7">
        <v>1030223001</v>
      </c>
      <c r="B8" s="8" t="s">
        <v>252</v>
      </c>
      <c r="C8" s="9">
        <v>275.86</v>
      </c>
      <c r="D8" s="10">
        <v>323.92603000000003</v>
      </c>
      <c r="E8" s="9">
        <f t="shared" si="2"/>
        <v>117.42406655549917</v>
      </c>
      <c r="F8" s="9">
        <f t="shared" si="1"/>
        <v>48.066030000000012</v>
      </c>
    </row>
    <row r="9" spans="1:6">
      <c r="A9" s="7">
        <v>1030224001</v>
      </c>
      <c r="B9" s="8" t="s">
        <v>258</v>
      </c>
      <c r="C9" s="9">
        <v>2.95</v>
      </c>
      <c r="D9" s="10">
        <v>2.3169499999999998</v>
      </c>
      <c r="E9" s="9">
        <f t="shared" si="2"/>
        <v>78.540677966101683</v>
      </c>
      <c r="F9" s="9">
        <f t="shared" si="1"/>
        <v>-0.63305000000000033</v>
      </c>
    </row>
    <row r="10" spans="1:6">
      <c r="A10" s="7">
        <v>1030225001</v>
      </c>
      <c r="B10" s="8" t="s">
        <v>251</v>
      </c>
      <c r="C10" s="9">
        <v>460.75</v>
      </c>
      <c r="D10" s="10">
        <v>435.77154999999999</v>
      </c>
      <c r="E10" s="9">
        <f t="shared" si="2"/>
        <v>94.578741182854046</v>
      </c>
      <c r="F10" s="9">
        <f t="shared" si="1"/>
        <v>-24.978450000000009</v>
      </c>
    </row>
    <row r="11" spans="1:6">
      <c r="A11" s="7">
        <v>1030226001</v>
      </c>
      <c r="B11" s="8" t="s">
        <v>260</v>
      </c>
      <c r="C11" s="9">
        <v>0</v>
      </c>
      <c r="D11" s="10">
        <v>-59.717210000000001</v>
      </c>
      <c r="E11" s="9" t="e">
        <f t="shared" si="2"/>
        <v>#DIV/0!</v>
      </c>
      <c r="F11" s="9">
        <f t="shared" si="1"/>
        <v>-59.717210000000001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29.3325</v>
      </c>
      <c r="E12" s="5">
        <f t="shared" si="0"/>
        <v>73.331249999999997</v>
      </c>
      <c r="F12" s="5">
        <f t="shared" si="1"/>
        <v>-10.6675</v>
      </c>
    </row>
    <row r="13" spans="1:6" ht="15.75" customHeight="1">
      <c r="A13" s="7">
        <v>1050300000</v>
      </c>
      <c r="B13" s="11" t="s">
        <v>210</v>
      </c>
      <c r="C13" s="12">
        <v>40</v>
      </c>
      <c r="D13" s="10">
        <v>29.3325</v>
      </c>
      <c r="E13" s="9">
        <f t="shared" si="0"/>
        <v>73.331249999999997</v>
      </c>
      <c r="F13" s="9">
        <f t="shared" si="1"/>
        <v>-10.6675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2361</v>
      </c>
      <c r="D14" s="5">
        <f>D15+D16</f>
        <v>2131.9472900000001</v>
      </c>
      <c r="E14" s="5">
        <f t="shared" si="0"/>
        <v>90.298487505294361</v>
      </c>
      <c r="F14" s="5">
        <f t="shared" si="1"/>
        <v>-229.05270999999993</v>
      </c>
    </row>
    <row r="15" spans="1:6" s="6" customFormat="1" ht="15.75" customHeight="1">
      <c r="A15" s="7">
        <v>1060100000</v>
      </c>
      <c r="B15" s="11" t="s">
        <v>8</v>
      </c>
      <c r="C15" s="9">
        <v>1120</v>
      </c>
      <c r="D15" s="10">
        <v>847.13923</v>
      </c>
      <c r="E15" s="5">
        <f t="shared" si="0"/>
        <v>75.637431249999992</v>
      </c>
      <c r="F15" s="9">
        <f>SUM(D15-C15)</f>
        <v>-272.86077</v>
      </c>
    </row>
    <row r="16" spans="1:6" ht="15" customHeight="1">
      <c r="A16" s="7">
        <v>1060600000</v>
      </c>
      <c r="B16" s="11" t="s">
        <v>7</v>
      </c>
      <c r="C16" s="9">
        <v>1241</v>
      </c>
      <c r="D16" s="10">
        <v>1284.8080600000001</v>
      </c>
      <c r="E16" s="5">
        <f t="shared" si="0"/>
        <v>103.53006124093473</v>
      </c>
      <c r="F16" s="9">
        <f t="shared" si="1"/>
        <v>43.808060000000069</v>
      </c>
    </row>
    <row r="17" spans="1:6" s="6" customFormat="1" ht="18" customHeight="1">
      <c r="A17" s="3">
        <v>1080000000</v>
      </c>
      <c r="B17" s="4" t="s">
        <v>10</v>
      </c>
      <c r="C17" s="5">
        <f>C18</f>
        <v>10</v>
      </c>
      <c r="D17" s="5">
        <f>D18</f>
        <v>9.11</v>
      </c>
      <c r="E17" s="5">
        <f t="shared" si="0"/>
        <v>91.1</v>
      </c>
      <c r="F17" s="5">
        <f t="shared" si="1"/>
        <v>-0.89000000000000057</v>
      </c>
    </row>
    <row r="18" spans="1:6" ht="18" customHeight="1">
      <c r="A18" s="7">
        <v>1080400001</v>
      </c>
      <c r="B18" s="8" t="s">
        <v>208</v>
      </c>
      <c r="C18" s="9">
        <v>10</v>
      </c>
      <c r="D18" s="10">
        <v>9.11</v>
      </c>
      <c r="E18" s="9">
        <f t="shared" si="0"/>
        <v>91.1</v>
      </c>
      <c r="F18" s="9">
        <f t="shared" si="1"/>
        <v>-0.89000000000000057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C26+C30+C32+C37+C35</f>
        <v>443.9</v>
      </c>
      <c r="D25" s="5">
        <f>D26+D30+D32+D35+D37</f>
        <v>672.86981000000003</v>
      </c>
      <c r="E25" s="5">
        <f t="shared" si="0"/>
        <v>151.58139445821132</v>
      </c>
      <c r="F25" s="5">
        <f t="shared" si="1"/>
        <v>228.96981000000005</v>
      </c>
    </row>
    <row r="26" spans="1:6" s="6" customFormat="1" ht="30.75" customHeight="1">
      <c r="A26" s="68">
        <v>1110000000</v>
      </c>
      <c r="B26" s="69" t="s">
        <v>126</v>
      </c>
      <c r="C26" s="5">
        <f>C28+C29</f>
        <v>243.9</v>
      </c>
      <c r="D26" s="5">
        <f>D28+D29</f>
        <v>282.334</v>
      </c>
      <c r="E26" s="5">
        <f t="shared" si="0"/>
        <v>115.75809758097581</v>
      </c>
      <c r="F26" s="5">
        <f t="shared" si="1"/>
        <v>38.433999999999997</v>
      </c>
    </row>
    <row r="27" spans="1:6">
      <c r="A27" s="16">
        <v>1110502501</v>
      </c>
      <c r="B27" s="17" t="s">
        <v>206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297</v>
      </c>
      <c r="C28" s="12">
        <v>193.9</v>
      </c>
      <c r="D28" s="10">
        <v>232.33</v>
      </c>
      <c r="E28" s="9">
        <f t="shared" si="0"/>
        <v>119.81949458483754</v>
      </c>
      <c r="F28" s="9">
        <f t="shared" si="1"/>
        <v>38.430000000000007</v>
      </c>
    </row>
    <row r="29" spans="1:6">
      <c r="A29" s="7">
        <v>1110503000</v>
      </c>
      <c r="B29" s="11" t="s">
        <v>205</v>
      </c>
      <c r="C29" s="12">
        <v>50</v>
      </c>
      <c r="D29" s="10">
        <v>50.003999999999998</v>
      </c>
      <c r="E29" s="9">
        <f>SUM(D29/C29*100)</f>
        <v>100.00799999999998</v>
      </c>
      <c r="F29" s="9">
        <f t="shared" si="1"/>
        <v>3.9999999999977831E-3</v>
      </c>
    </row>
    <row r="30" spans="1:6" s="15" customFormat="1" ht="35.25" customHeight="1">
      <c r="A30" s="68">
        <v>1130000000</v>
      </c>
      <c r="B30" s="69" t="s">
        <v>128</v>
      </c>
      <c r="C30" s="5">
        <f>C31</f>
        <v>200</v>
      </c>
      <c r="D30" s="5">
        <f>D31</f>
        <v>93.305350000000004</v>
      </c>
      <c r="E30" s="5">
        <f t="shared" si="0"/>
        <v>46.652675000000002</v>
      </c>
      <c r="F30" s="5">
        <f t="shared" si="1"/>
        <v>-106.69465</v>
      </c>
    </row>
    <row r="31" spans="1:6" ht="18" customHeight="1">
      <c r="A31" s="7">
        <v>1130206005</v>
      </c>
      <c r="B31" s="8" t="s">
        <v>204</v>
      </c>
      <c r="C31" s="9">
        <v>200</v>
      </c>
      <c r="D31" s="10">
        <v>93.305350000000004</v>
      </c>
      <c r="E31" s="9">
        <f>SUM(D31/C31*100)</f>
        <v>46.652675000000002</v>
      </c>
      <c r="F31" s="9">
        <f t="shared" si="1"/>
        <v>-106.69465</v>
      </c>
    </row>
    <row r="32" spans="1:6" ht="18.75" customHeight="1">
      <c r="A32" s="70">
        <v>1140000000</v>
      </c>
      <c r="B32" s="71" t="s">
        <v>129</v>
      </c>
      <c r="C32" s="5">
        <f>C33+C34</f>
        <v>0</v>
      </c>
      <c r="D32" s="5">
        <f>D33+D34</f>
        <v>284.35000000000002</v>
      </c>
      <c r="E32" s="5" t="e">
        <f t="shared" si="0"/>
        <v>#DIV/0!</v>
      </c>
      <c r="F32" s="5">
        <f t="shared" si="1"/>
        <v>284.35000000000002</v>
      </c>
    </row>
    <row r="33" spans="1:7" ht="21.75" customHeight="1">
      <c r="A33" s="16">
        <v>1140200000</v>
      </c>
      <c r="B33" s="18" t="s">
        <v>130</v>
      </c>
      <c r="C33" s="9">
        <v>0</v>
      </c>
      <c r="D33" s="10">
        <v>225.55</v>
      </c>
      <c r="E33" s="9" t="e">
        <f t="shared" si="0"/>
        <v>#DIV/0!</v>
      </c>
      <c r="F33" s="9">
        <f t="shared" si="1"/>
        <v>225.55</v>
      </c>
    </row>
    <row r="34" spans="1:7" ht="24.75" customHeight="1">
      <c r="A34" s="7">
        <v>1140600000</v>
      </c>
      <c r="B34" s="8" t="s">
        <v>203</v>
      </c>
      <c r="C34" s="9">
        <v>0</v>
      </c>
      <c r="D34" s="10">
        <v>58.8</v>
      </c>
      <c r="E34" s="9" t="e">
        <f t="shared" si="0"/>
        <v>#DIV/0!</v>
      </c>
      <c r="F34" s="9">
        <f t="shared" si="1"/>
        <v>58.8</v>
      </c>
    </row>
    <row r="35" spans="1:7" ht="25.5" customHeight="1">
      <c r="A35" s="96">
        <v>1160000000</v>
      </c>
      <c r="B35" s="13" t="s">
        <v>225</v>
      </c>
      <c r="C35" s="5">
        <f>C36</f>
        <v>0</v>
      </c>
      <c r="D35" s="14">
        <f>D36</f>
        <v>12.836869999999999</v>
      </c>
      <c r="E35" s="9" t="e">
        <f t="shared" si="0"/>
        <v>#DIV/0!</v>
      </c>
      <c r="F35" s="9">
        <f t="shared" si="1"/>
        <v>12.836869999999999</v>
      </c>
    </row>
    <row r="36" spans="1:7" ht="26.25" customHeight="1">
      <c r="A36" s="7">
        <v>1160701010</v>
      </c>
      <c r="B36" s="8" t="s">
        <v>383</v>
      </c>
      <c r="C36" s="9">
        <v>0</v>
      </c>
      <c r="D36" s="10">
        <v>12.836869999999999</v>
      </c>
      <c r="E36" s="9" t="e">
        <f t="shared" si="0"/>
        <v>#DIV/0!</v>
      </c>
      <c r="F36" s="9">
        <f t="shared" si="1"/>
        <v>12.836869999999999</v>
      </c>
    </row>
    <row r="37" spans="1:7" ht="22.5" customHeight="1">
      <c r="A37" s="3">
        <v>1170000000</v>
      </c>
      <c r="B37" s="13" t="s">
        <v>132</v>
      </c>
      <c r="C37" s="5">
        <f>C38+C39</f>
        <v>0</v>
      </c>
      <c r="D37" s="5">
        <f>D38+D39</f>
        <v>4.3589999999999997E-2</v>
      </c>
      <c r="E37" s="5" t="e">
        <f t="shared" si="0"/>
        <v>#DIV/0!</v>
      </c>
      <c r="F37" s="5">
        <f t="shared" si="1"/>
        <v>4.3589999999999997E-2</v>
      </c>
    </row>
    <row r="38" spans="1:7" ht="25.5" customHeight="1">
      <c r="A38" s="7">
        <v>1170105005</v>
      </c>
      <c r="B38" s="8" t="s">
        <v>15</v>
      </c>
      <c r="C38" s="9">
        <v>0</v>
      </c>
      <c r="D38" s="9">
        <v>4.3589999999999997E-2</v>
      </c>
      <c r="E38" s="9" t="e">
        <f t="shared" si="0"/>
        <v>#DIV/0!</v>
      </c>
      <c r="F38" s="9">
        <f t="shared" si="1"/>
        <v>4.3589999999999997E-2</v>
      </c>
    </row>
    <row r="39" spans="1:7" ht="29.25" customHeight="1">
      <c r="A39" s="7">
        <v>1170505005</v>
      </c>
      <c r="B39" s="11" t="s">
        <v>201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28.5" customHeight="1">
      <c r="A40" s="3">
        <v>1000000000</v>
      </c>
      <c r="B40" s="4" t="s">
        <v>16</v>
      </c>
      <c r="C40" s="123">
        <f>SUM(C4,C25)</f>
        <v>3998.06</v>
      </c>
      <c r="D40" s="123">
        <f>D4+D25</f>
        <v>3890.9921900000004</v>
      </c>
      <c r="E40" s="5">
        <f t="shared" si="0"/>
        <v>97.322005922872606</v>
      </c>
      <c r="F40" s="5">
        <f t="shared" si="1"/>
        <v>-107.06780999999955</v>
      </c>
    </row>
    <row r="41" spans="1:7" s="6" customFormat="1" ht="20.25" customHeight="1">
      <c r="A41" s="3">
        <v>2000000000</v>
      </c>
      <c r="B41" s="4" t="s">
        <v>17</v>
      </c>
      <c r="C41" s="418">
        <f>C42+C43+C44+C46+C47+C45+C48</f>
        <v>11255.384960000001</v>
      </c>
      <c r="D41" s="418">
        <f>D42+D43+D44+D46+D47+D45+D48</f>
        <v>11152.902810000001</v>
      </c>
      <c r="E41" s="5">
        <f t="shared" si="0"/>
        <v>99.089483386270601</v>
      </c>
      <c r="F41" s="5">
        <f t="shared" si="1"/>
        <v>-102.48214999999982</v>
      </c>
      <c r="G41" s="19"/>
    </row>
    <row r="42" spans="1:7" ht="19.5" customHeight="1">
      <c r="A42" s="16">
        <v>2021000000</v>
      </c>
      <c r="B42" s="17" t="s">
        <v>18</v>
      </c>
      <c r="C42" s="419">
        <v>3283.9</v>
      </c>
      <c r="D42" s="420">
        <v>3283.9</v>
      </c>
      <c r="E42" s="9">
        <f t="shared" si="0"/>
        <v>100</v>
      </c>
      <c r="F42" s="9">
        <f t="shared" si="1"/>
        <v>0</v>
      </c>
    </row>
    <row r="43" spans="1:7" ht="21.75" customHeight="1">
      <c r="A43" s="16">
        <v>2021500200</v>
      </c>
      <c r="B43" s="17" t="s">
        <v>212</v>
      </c>
      <c r="C43" s="12">
        <v>572</v>
      </c>
      <c r="D43" s="20">
        <v>572</v>
      </c>
      <c r="E43" s="9">
        <f t="shared" si="0"/>
        <v>100</v>
      </c>
      <c r="F43" s="9">
        <f t="shared" si="1"/>
        <v>0</v>
      </c>
    </row>
    <row r="44" spans="1:7" ht="21" customHeight="1">
      <c r="A44" s="16">
        <v>2022000000</v>
      </c>
      <c r="B44" s="17" t="s">
        <v>19</v>
      </c>
      <c r="C44" s="12">
        <v>3786.41896</v>
      </c>
      <c r="D44" s="10">
        <v>3766.0111900000002</v>
      </c>
      <c r="E44" s="9">
        <f t="shared" si="0"/>
        <v>99.461027154797478</v>
      </c>
      <c r="F44" s="9">
        <f t="shared" si="1"/>
        <v>-20.4077699999998</v>
      </c>
    </row>
    <row r="45" spans="1:7" ht="23.25" hidden="1" customHeight="1">
      <c r="A45" s="16">
        <v>2022999910</v>
      </c>
      <c r="B45" s="18" t="s">
        <v>312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21" customHeight="1">
      <c r="A46" s="16">
        <v>2023000000</v>
      </c>
      <c r="B46" s="17" t="s">
        <v>20</v>
      </c>
      <c r="C46" s="12">
        <v>198.36600000000001</v>
      </c>
      <c r="D46" s="175">
        <v>198.36600000000001</v>
      </c>
      <c r="E46" s="9">
        <f t="shared" si="0"/>
        <v>100</v>
      </c>
      <c r="F46" s="9">
        <f t="shared" si="1"/>
        <v>0</v>
      </c>
    </row>
    <row r="47" spans="1:7" ht="17.25" customHeight="1">
      <c r="A47" s="16">
        <v>2020400000</v>
      </c>
      <c r="B47" s="17" t="s">
        <v>21</v>
      </c>
      <c r="C47" s="12">
        <v>3353.6034</v>
      </c>
      <c r="D47" s="176">
        <v>3321.5290199999999</v>
      </c>
      <c r="E47" s="9">
        <f t="shared" si="0"/>
        <v>99.043584581289494</v>
      </c>
      <c r="F47" s="9">
        <f t="shared" si="1"/>
        <v>-32.074380000000019</v>
      </c>
    </row>
    <row r="48" spans="1:7" ht="16.5" customHeight="1">
      <c r="A48" s="7">
        <v>2070500010</v>
      </c>
      <c r="B48" s="17" t="s">
        <v>313</v>
      </c>
      <c r="C48" s="12">
        <v>61.096600000000002</v>
      </c>
      <c r="D48" s="176">
        <v>11.0966</v>
      </c>
      <c r="E48" s="9">
        <f t="shared" si="0"/>
        <v>18.162385468258464</v>
      </c>
      <c r="F48" s="9">
        <f t="shared" si="1"/>
        <v>-50</v>
      </c>
    </row>
    <row r="49" spans="1:8" ht="47.25" hidden="1">
      <c r="A49" s="16">
        <v>2020900000</v>
      </c>
      <c r="B49" s="18" t="s">
        <v>22</v>
      </c>
      <c r="C49" s="245"/>
      <c r="D49" s="244"/>
      <c r="E49" s="9" t="e">
        <f t="shared" si="0"/>
        <v>#DIV/0!</v>
      </c>
      <c r="F49" s="9">
        <f t="shared" si="1"/>
        <v>0</v>
      </c>
    </row>
    <row r="50" spans="1:8" hidden="1">
      <c r="A50" s="7">
        <v>2190500005</v>
      </c>
      <c r="B50" s="11" t="s">
        <v>23</v>
      </c>
      <c r="C50" s="243">
        <v>0</v>
      </c>
      <c r="D50" s="243"/>
      <c r="E50" s="5"/>
      <c r="F50" s="5">
        <f>SUM(D50-C50)</f>
        <v>0</v>
      </c>
    </row>
    <row r="51" spans="1:8" s="6" customFormat="1" ht="31.5" hidden="1">
      <c r="A51" s="3">
        <v>3000000000</v>
      </c>
      <c r="B51" s="13" t="s">
        <v>24</v>
      </c>
      <c r="C51" s="246">
        <v>0</v>
      </c>
      <c r="D51" s="243">
        <v>0</v>
      </c>
      <c r="E51" s="5" t="e">
        <f t="shared" si="0"/>
        <v>#DIV/0!</v>
      </c>
      <c r="F51" s="5">
        <f t="shared" si="1"/>
        <v>0</v>
      </c>
    </row>
    <row r="52" spans="1:8" s="6" customFormat="1" ht="23.25" customHeight="1">
      <c r="A52" s="3"/>
      <c r="B52" s="4" t="s">
        <v>25</v>
      </c>
      <c r="C52" s="216">
        <f>SUM(C40,C41,C51)</f>
        <v>15253.444960000001</v>
      </c>
      <c r="D52" s="456">
        <f>D40+D41</f>
        <v>15043.895000000002</v>
      </c>
      <c r="E52" s="5">
        <f t="shared" si="0"/>
        <v>98.62621223894331</v>
      </c>
      <c r="F52" s="5">
        <f t="shared" si="1"/>
        <v>-209.54995999999846</v>
      </c>
      <c r="G52" s="91"/>
      <c r="H52" s="91"/>
    </row>
    <row r="53" spans="1:8" s="6" customFormat="1">
      <c r="A53" s="3"/>
      <c r="B53" s="21" t="s">
        <v>290</v>
      </c>
      <c r="C53" s="5">
        <f>C52-C101</f>
        <v>-349.99106000000029</v>
      </c>
      <c r="D53" s="5">
        <f>D52-D101</f>
        <v>487.72741000000133</v>
      </c>
      <c r="E53" s="22"/>
      <c r="F53" s="22"/>
    </row>
    <row r="54" spans="1:8" ht="15.75" customHeight="1">
      <c r="A54" s="23"/>
      <c r="B54" s="24"/>
      <c r="C54" s="111"/>
      <c r="D54" s="111"/>
      <c r="E54" s="26"/>
      <c r="F54" s="27"/>
    </row>
    <row r="55" spans="1:8" ht="63">
      <c r="A55" s="28" t="s">
        <v>0</v>
      </c>
      <c r="B55" s="28" t="s">
        <v>26</v>
      </c>
      <c r="C55" s="134" t="s">
        <v>382</v>
      </c>
      <c r="D55" s="135" t="s">
        <v>412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5">
        <v>3</v>
      </c>
      <c r="D56" s="85">
        <v>4</v>
      </c>
      <c r="E56" s="85">
        <v>5</v>
      </c>
      <c r="F56" s="85">
        <v>6</v>
      </c>
    </row>
    <row r="57" spans="1:8" s="6" customFormat="1" ht="17.25" customHeight="1">
      <c r="A57" s="30" t="s">
        <v>27</v>
      </c>
      <c r="B57" s="31" t="s">
        <v>28</v>
      </c>
      <c r="C57" s="98">
        <f>C58+C59+C60+C61+C62+C64+C63</f>
        <v>1900.25694</v>
      </c>
      <c r="D57" s="98">
        <f>D58+D59+D60+D61+D62+D64+D63</f>
        <v>1850.2811799999999</v>
      </c>
      <c r="E57" s="34">
        <f>SUM(D57/C57*100)</f>
        <v>97.370052494059038</v>
      </c>
      <c r="F57" s="34">
        <f>SUM(D57-C57)</f>
        <v>-49.975760000000037</v>
      </c>
    </row>
    <row r="58" spans="1:8" s="6" customFormat="1" ht="0.75" hidden="1" customHeight="1">
      <c r="A58" s="35" t="s">
        <v>29</v>
      </c>
      <c r="B58" s="36" t="s">
        <v>30</v>
      </c>
      <c r="C58" s="89"/>
      <c r="D58" s="89"/>
      <c r="E58" s="38"/>
      <c r="F58" s="38"/>
    </row>
    <row r="59" spans="1:8" ht="16.5" customHeight="1">
      <c r="A59" s="35" t="s">
        <v>31</v>
      </c>
      <c r="B59" s="39" t="s">
        <v>32</v>
      </c>
      <c r="C59" s="136">
        <v>1836.4139399999999</v>
      </c>
      <c r="D59" s="89">
        <v>1796.2811799999999</v>
      </c>
      <c r="E59" s="38">
        <f t="shared" ref="E59:E101" si="3">SUM(D59/C59*100)</f>
        <v>97.814612537737545</v>
      </c>
      <c r="F59" s="38">
        <f t="shared" ref="F59:F101" si="4">SUM(D59-C59)</f>
        <v>-40.132759999999962</v>
      </c>
    </row>
    <row r="60" spans="1:8" ht="12.75" hidden="1" customHeight="1">
      <c r="A60" s="35" t="s">
        <v>33</v>
      </c>
      <c r="B60" s="39" t="s">
        <v>34</v>
      </c>
      <c r="C60" s="89"/>
      <c r="D60" s="89"/>
      <c r="E60" s="38" t="e">
        <f t="shared" si="3"/>
        <v>#DIV/0!</v>
      </c>
      <c r="F60" s="38">
        <f t="shared" si="4"/>
        <v>0</v>
      </c>
    </row>
    <row r="61" spans="1:8" ht="12.75" hidden="1" customHeight="1">
      <c r="A61" s="35" t="s">
        <v>35</v>
      </c>
      <c r="B61" s="39" t="s">
        <v>36</v>
      </c>
      <c r="C61" s="89"/>
      <c r="D61" s="89"/>
      <c r="E61" s="38" t="e">
        <f t="shared" si="3"/>
        <v>#DIV/0!</v>
      </c>
      <c r="F61" s="38">
        <f t="shared" si="4"/>
        <v>0</v>
      </c>
    </row>
    <row r="62" spans="1:8" ht="19.5" customHeight="1">
      <c r="A62" s="35" t="s">
        <v>37</v>
      </c>
      <c r="B62" s="39" t="s">
        <v>38</v>
      </c>
      <c r="C62" s="89">
        <v>53</v>
      </c>
      <c r="D62" s="89">
        <v>53</v>
      </c>
      <c r="E62" s="38">
        <f t="shared" si="3"/>
        <v>100</v>
      </c>
      <c r="F62" s="38">
        <f t="shared" si="4"/>
        <v>0</v>
      </c>
    </row>
    <row r="63" spans="1:8" ht="18" customHeight="1">
      <c r="A63" s="35" t="s">
        <v>39</v>
      </c>
      <c r="B63" s="39" t="s">
        <v>40</v>
      </c>
      <c r="C63" s="100">
        <v>5</v>
      </c>
      <c r="D63" s="100">
        <v>0</v>
      </c>
      <c r="E63" s="38">
        <f t="shared" si="3"/>
        <v>0</v>
      </c>
      <c r="F63" s="38">
        <f t="shared" si="4"/>
        <v>-5</v>
      </c>
    </row>
    <row r="64" spans="1:8" ht="18" customHeight="1">
      <c r="A64" s="35" t="s">
        <v>41</v>
      </c>
      <c r="B64" s="39" t="s">
        <v>42</v>
      </c>
      <c r="C64" s="89">
        <v>5.843</v>
      </c>
      <c r="D64" s="89">
        <v>1</v>
      </c>
      <c r="E64" s="38">
        <f t="shared" si="3"/>
        <v>17.114495978093444</v>
      </c>
      <c r="F64" s="38">
        <f t="shared" si="4"/>
        <v>-4.843</v>
      </c>
    </row>
    <row r="65" spans="1:7" s="6" customFormat="1" ht="15.75" customHeight="1">
      <c r="A65" s="41" t="s">
        <v>43</v>
      </c>
      <c r="B65" s="42" t="s">
        <v>44</v>
      </c>
      <c r="C65" s="22">
        <f>C66</f>
        <v>198.36600000000001</v>
      </c>
      <c r="D65" s="22">
        <f>D66</f>
        <v>198.36600000000001</v>
      </c>
      <c r="E65" s="34">
        <f t="shared" si="3"/>
        <v>100</v>
      </c>
      <c r="F65" s="34">
        <f t="shared" si="4"/>
        <v>0</v>
      </c>
    </row>
    <row r="66" spans="1:7">
      <c r="A66" s="43" t="s">
        <v>45</v>
      </c>
      <c r="B66" s="44" t="s">
        <v>46</v>
      </c>
      <c r="C66" s="89">
        <v>198.36600000000001</v>
      </c>
      <c r="D66" s="89">
        <v>198.36600000000001</v>
      </c>
      <c r="E66" s="38">
        <f t="shared" si="3"/>
        <v>100</v>
      </c>
      <c r="F66" s="38">
        <f t="shared" si="4"/>
        <v>0</v>
      </c>
    </row>
    <row r="67" spans="1:7" s="6" customFormat="1" ht="20.25" customHeight="1">
      <c r="A67" s="30" t="s">
        <v>47</v>
      </c>
      <c r="B67" s="31" t="s">
        <v>48</v>
      </c>
      <c r="C67" s="22">
        <f>C70+C72+C71</f>
        <v>11.3</v>
      </c>
      <c r="D67" s="22">
        <f>D70+D72+D71</f>
        <v>6.9219100000000005</v>
      </c>
      <c r="E67" s="34">
        <f t="shared" si="3"/>
        <v>61.255840707964602</v>
      </c>
      <c r="F67" s="34">
        <f t="shared" si="4"/>
        <v>-4.3780900000000003</v>
      </c>
    </row>
    <row r="68" spans="1:7" ht="0.75" hidden="1" customHeight="1">
      <c r="A68" s="35" t="s">
        <v>49</v>
      </c>
      <c r="B68" s="39" t="s">
        <v>50</v>
      </c>
      <c r="C68" s="89"/>
      <c r="D68" s="89"/>
      <c r="E68" s="34" t="e">
        <f t="shared" si="3"/>
        <v>#DIV/0!</v>
      </c>
      <c r="F68" s="34">
        <f t="shared" si="4"/>
        <v>0</v>
      </c>
    </row>
    <row r="69" spans="1:7" ht="16.5" hidden="1" customHeight="1">
      <c r="A69" s="45" t="s">
        <v>51</v>
      </c>
      <c r="B69" s="39" t="s">
        <v>52</v>
      </c>
      <c r="C69" s="89">
        <v>0</v>
      </c>
      <c r="D69" s="89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53</v>
      </c>
      <c r="B70" s="47" t="s">
        <v>54</v>
      </c>
      <c r="C70" s="89">
        <v>3</v>
      </c>
      <c r="D70" s="89">
        <v>2.8219099999999999</v>
      </c>
      <c r="E70" s="34">
        <f t="shared" si="3"/>
        <v>94.063666666666663</v>
      </c>
      <c r="F70" s="34">
        <f t="shared" si="4"/>
        <v>-0.17809000000000008</v>
      </c>
    </row>
    <row r="71" spans="1:7" ht="15.75" customHeight="1">
      <c r="A71" s="46" t="s">
        <v>320</v>
      </c>
      <c r="B71" s="47" t="s">
        <v>321</v>
      </c>
      <c r="C71" s="89">
        <v>2</v>
      </c>
      <c r="D71" s="89">
        <v>2</v>
      </c>
      <c r="E71" s="34">
        <v>0</v>
      </c>
      <c r="F71" s="34">
        <v>0</v>
      </c>
    </row>
    <row r="72" spans="1:7" ht="15" customHeight="1">
      <c r="A72" s="46" t="s">
        <v>199</v>
      </c>
      <c r="B72" s="47" t="s">
        <v>200</v>
      </c>
      <c r="C72" s="89">
        <v>6.3</v>
      </c>
      <c r="D72" s="89">
        <v>2.1</v>
      </c>
      <c r="E72" s="38">
        <f t="shared" si="3"/>
        <v>33.333333333333336</v>
      </c>
      <c r="F72" s="38">
        <f t="shared" si="4"/>
        <v>-4.1999999999999993</v>
      </c>
    </row>
    <row r="73" spans="1:7" s="6" customFormat="1" ht="17.25" customHeight="1">
      <c r="A73" s="415" t="s">
        <v>55</v>
      </c>
      <c r="B73" s="31" t="s">
        <v>56</v>
      </c>
      <c r="C73" s="101">
        <f>C75+C76+C77+C74</f>
        <v>4277.33302</v>
      </c>
      <c r="D73" s="101">
        <f>SUM(D74:D77)</f>
        <v>4059.5810700000002</v>
      </c>
      <c r="E73" s="34">
        <f t="shared" si="3"/>
        <v>94.90916538455545</v>
      </c>
      <c r="F73" s="34">
        <f t="shared" si="4"/>
        <v>-217.75194999999985</v>
      </c>
    </row>
    <row r="74" spans="1:7" ht="30" customHeight="1">
      <c r="A74" s="35" t="s">
        <v>57</v>
      </c>
      <c r="B74" s="39" t="s">
        <v>58</v>
      </c>
      <c r="C74" s="102"/>
      <c r="D74" s="89">
        <v>0</v>
      </c>
      <c r="E74" s="38" t="e">
        <f t="shared" si="3"/>
        <v>#DIV/0!</v>
      </c>
      <c r="F74" s="38">
        <f t="shared" si="4"/>
        <v>0</v>
      </c>
    </row>
    <row r="75" spans="1:7" s="6" customFormat="1" ht="13.5" customHeight="1">
      <c r="A75" s="35" t="s">
        <v>59</v>
      </c>
      <c r="B75" s="39" t="s">
        <v>60</v>
      </c>
      <c r="C75" s="102">
        <v>52.69</v>
      </c>
      <c r="D75" s="89">
        <v>0</v>
      </c>
      <c r="E75" s="38">
        <f t="shared" si="3"/>
        <v>0</v>
      </c>
      <c r="F75" s="38">
        <f t="shared" si="4"/>
        <v>-52.69</v>
      </c>
      <c r="G75" s="50"/>
    </row>
    <row r="76" spans="1:7">
      <c r="A76" s="35" t="s">
        <v>61</v>
      </c>
      <c r="B76" s="39" t="s">
        <v>62</v>
      </c>
      <c r="C76" s="102">
        <v>4004.6800199999998</v>
      </c>
      <c r="D76" s="89">
        <v>3853.11807</v>
      </c>
      <c r="E76" s="38">
        <f t="shared" si="3"/>
        <v>96.215379275171159</v>
      </c>
      <c r="F76" s="38">
        <f t="shared" si="4"/>
        <v>-151.5619499999998</v>
      </c>
    </row>
    <row r="77" spans="1:7">
      <c r="A77" s="35" t="s">
        <v>63</v>
      </c>
      <c r="B77" s="39" t="s">
        <v>64</v>
      </c>
      <c r="C77" s="102">
        <v>219.96299999999999</v>
      </c>
      <c r="D77" s="89">
        <v>206.46299999999999</v>
      </c>
      <c r="E77" s="38">
        <f t="shared" si="3"/>
        <v>93.862604165245983</v>
      </c>
      <c r="F77" s="38">
        <f t="shared" si="4"/>
        <v>-13.5</v>
      </c>
    </row>
    <row r="78" spans="1:7" s="6" customFormat="1" ht="24" customHeight="1">
      <c r="A78" s="30" t="s">
        <v>65</v>
      </c>
      <c r="B78" s="31" t="s">
        <v>66</v>
      </c>
      <c r="C78" s="22">
        <f>SUM(C79:C82)</f>
        <v>6353.2590600000003</v>
      </c>
      <c r="D78" s="22">
        <f>SUM(D79:D82)</f>
        <v>5670.9844300000004</v>
      </c>
      <c r="E78" s="34">
        <f t="shared" si="3"/>
        <v>89.261029283449361</v>
      </c>
      <c r="F78" s="34">
        <f t="shared" si="4"/>
        <v>-682.27462999999989</v>
      </c>
    </row>
    <row r="79" spans="1:7" ht="2.25" hidden="1" customHeight="1">
      <c r="A79" s="35" t="s">
        <v>67</v>
      </c>
      <c r="B79" s="51" t="s">
        <v>68</v>
      </c>
      <c r="C79" s="89">
        <v>0</v>
      </c>
      <c r="D79" s="89">
        <v>0</v>
      </c>
      <c r="E79" s="38" t="e">
        <f t="shared" si="3"/>
        <v>#DIV/0!</v>
      </c>
      <c r="F79" s="38">
        <f t="shared" si="4"/>
        <v>0</v>
      </c>
    </row>
    <row r="80" spans="1:7" ht="17.25" customHeight="1">
      <c r="A80" s="35" t="s">
        <v>69</v>
      </c>
      <c r="B80" s="51" t="s">
        <v>70</v>
      </c>
      <c r="C80" s="89">
        <v>1567.348</v>
      </c>
      <c r="D80" s="89">
        <v>1435.91913</v>
      </c>
      <c r="E80" s="38">
        <f t="shared" si="3"/>
        <v>91.614569961489096</v>
      </c>
      <c r="F80" s="38">
        <f t="shared" si="4"/>
        <v>-131.42886999999996</v>
      </c>
    </row>
    <row r="81" spans="1:6" ht="15" customHeight="1">
      <c r="A81" s="35" t="s">
        <v>71</v>
      </c>
      <c r="B81" s="39" t="s">
        <v>72</v>
      </c>
      <c r="C81" s="89">
        <v>4785.9110600000004</v>
      </c>
      <c r="D81" s="89">
        <v>4235.0653000000002</v>
      </c>
      <c r="E81" s="38">
        <f t="shared" si="3"/>
        <v>88.490263335566453</v>
      </c>
      <c r="F81" s="38">
        <f t="shared" si="4"/>
        <v>-550.84576000000015</v>
      </c>
    </row>
    <row r="82" spans="1:6" ht="17.25" hidden="1" customHeight="1">
      <c r="A82" s="35" t="s">
        <v>236</v>
      </c>
      <c r="B82" s="39" t="s">
        <v>237</v>
      </c>
      <c r="C82" s="89">
        <v>0</v>
      </c>
      <c r="D82" s="89">
        <v>0</v>
      </c>
      <c r="E82" s="38" t="e">
        <f t="shared" si="3"/>
        <v>#DIV/0!</v>
      </c>
      <c r="F82" s="38">
        <f t="shared" si="4"/>
        <v>0</v>
      </c>
    </row>
    <row r="83" spans="1:6" s="6" customFormat="1" ht="16.5" customHeight="1">
      <c r="A83" s="30" t="s">
        <v>83</v>
      </c>
      <c r="B83" s="31" t="s">
        <v>84</v>
      </c>
      <c r="C83" s="22">
        <f>C84+C85</f>
        <v>2843.51</v>
      </c>
      <c r="D83" s="22">
        <f>D84+D85</f>
        <v>2755.098</v>
      </c>
      <c r="E83" s="34">
        <f t="shared" si="3"/>
        <v>96.890744185882923</v>
      </c>
      <c r="F83" s="34">
        <f t="shared" si="4"/>
        <v>-88.412000000000262</v>
      </c>
    </row>
    <row r="84" spans="1:6" ht="19.5" customHeight="1">
      <c r="A84" s="35" t="s">
        <v>85</v>
      </c>
      <c r="B84" s="39" t="s">
        <v>214</v>
      </c>
      <c r="C84" s="89">
        <v>2843.51</v>
      </c>
      <c r="D84" s="89">
        <v>2755.098</v>
      </c>
      <c r="E84" s="38">
        <f t="shared" si="3"/>
        <v>96.890744185882923</v>
      </c>
      <c r="F84" s="38">
        <f t="shared" si="4"/>
        <v>-88.412000000000262</v>
      </c>
    </row>
    <row r="85" spans="1:6" ht="0.75" customHeight="1">
      <c r="A85" s="35" t="s">
        <v>242</v>
      </c>
      <c r="B85" s="39" t="s">
        <v>243</v>
      </c>
      <c r="C85" s="89"/>
      <c r="D85" s="89">
        <v>0</v>
      </c>
      <c r="E85" s="38" t="e">
        <f t="shared" si="3"/>
        <v>#DIV/0!</v>
      </c>
      <c r="F85" s="38">
        <f t="shared" si="4"/>
        <v>0</v>
      </c>
    </row>
    <row r="86" spans="1:6" s="6" customFormat="1" ht="21.75" customHeight="1">
      <c r="A86" s="52">
        <v>1000</v>
      </c>
      <c r="B86" s="31" t="s">
        <v>86</v>
      </c>
      <c r="C86" s="22">
        <f>SUM(C87:C90)</f>
        <v>2</v>
      </c>
      <c r="D86" s="22">
        <f>SUM(D87:D90)</f>
        <v>2</v>
      </c>
      <c r="E86" s="34">
        <f t="shared" si="3"/>
        <v>100</v>
      </c>
      <c r="F86" s="34">
        <f t="shared" si="4"/>
        <v>0</v>
      </c>
    </row>
    <row r="87" spans="1:6" ht="20.25" hidden="1" customHeight="1">
      <c r="A87" s="53">
        <v>1001</v>
      </c>
      <c r="B87" s="54" t="s">
        <v>87</v>
      </c>
      <c r="C87" s="89"/>
      <c r="D87" s="89"/>
      <c r="E87" s="34" t="e">
        <f t="shared" si="3"/>
        <v>#DIV/0!</v>
      </c>
      <c r="F87" s="38">
        <f t="shared" si="4"/>
        <v>0</v>
      </c>
    </row>
    <row r="88" spans="1:6" ht="21.75" customHeight="1">
      <c r="A88" s="53">
        <v>1003</v>
      </c>
      <c r="B88" s="54" t="s">
        <v>88</v>
      </c>
      <c r="C88" s="89">
        <v>2</v>
      </c>
      <c r="D88" s="89">
        <v>2</v>
      </c>
      <c r="E88" s="34">
        <f t="shared" si="3"/>
        <v>100</v>
      </c>
      <c r="F88" s="38">
        <f t="shared" si="4"/>
        <v>0</v>
      </c>
    </row>
    <row r="89" spans="1:6" ht="21.75" customHeight="1">
      <c r="A89" s="53">
        <v>1004</v>
      </c>
      <c r="B89" s="54" t="s">
        <v>89</v>
      </c>
      <c r="C89" s="89"/>
      <c r="D89" s="178"/>
      <c r="E89" s="34" t="e">
        <f t="shared" si="3"/>
        <v>#DIV/0!</v>
      </c>
      <c r="F89" s="38">
        <f t="shared" si="4"/>
        <v>0</v>
      </c>
    </row>
    <row r="90" spans="1:6" ht="19.5" customHeight="1">
      <c r="A90" s="35" t="s">
        <v>90</v>
      </c>
      <c r="B90" s="39" t="s">
        <v>91</v>
      </c>
      <c r="C90" s="89">
        <v>0</v>
      </c>
      <c r="D90" s="89">
        <v>0</v>
      </c>
      <c r="E90" s="38" t="e">
        <f t="shared" si="3"/>
        <v>#DIV/0!</v>
      </c>
      <c r="F90" s="38">
        <f t="shared" si="4"/>
        <v>0</v>
      </c>
    </row>
    <row r="91" spans="1:6" ht="15" customHeight="1">
      <c r="A91" s="30" t="s">
        <v>92</v>
      </c>
      <c r="B91" s="31" t="s">
        <v>93</v>
      </c>
      <c r="C91" s="22">
        <f>C92+C93+C94+C95+C96</f>
        <v>17.411000000000001</v>
      </c>
      <c r="D91" s="22">
        <f>D92+D93+D94+D95+D96</f>
        <v>12.935</v>
      </c>
      <c r="E91" s="34">
        <f t="shared" si="3"/>
        <v>74.292114180690362</v>
      </c>
      <c r="F91" s="22">
        <f>F92+F93+F94+F95+F96</f>
        <v>-4.4760000000000009</v>
      </c>
    </row>
    <row r="92" spans="1:6" ht="15.75" customHeight="1">
      <c r="A92" s="35" t="s">
        <v>94</v>
      </c>
      <c r="B92" s="39" t="s">
        <v>95</v>
      </c>
      <c r="C92" s="89">
        <v>17.411000000000001</v>
      </c>
      <c r="D92" s="89">
        <v>12.935</v>
      </c>
      <c r="E92" s="38">
        <f t="shared" si="3"/>
        <v>74.292114180690362</v>
      </c>
      <c r="F92" s="38">
        <f>SUM(D92-C92)</f>
        <v>-4.4760000000000009</v>
      </c>
    </row>
    <row r="93" spans="1:6" ht="15" hidden="1" customHeight="1">
      <c r="A93" s="35" t="s">
        <v>96</v>
      </c>
      <c r="B93" s="39" t="s">
        <v>97</v>
      </c>
      <c r="C93" s="128"/>
      <c r="D93" s="89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98</v>
      </c>
      <c r="B94" s="39" t="s">
        <v>99</v>
      </c>
      <c r="C94" s="128"/>
      <c r="D94" s="89"/>
      <c r="E94" s="38" t="e">
        <f t="shared" si="3"/>
        <v>#DIV/0!</v>
      </c>
      <c r="F94" s="38"/>
    </row>
    <row r="95" spans="1:6" ht="15" hidden="1" customHeight="1">
      <c r="A95" s="35" t="s">
        <v>100</v>
      </c>
      <c r="B95" s="39" t="s">
        <v>101</v>
      </c>
      <c r="C95" s="128"/>
      <c r="D95" s="89"/>
      <c r="E95" s="38" t="e">
        <f t="shared" si="3"/>
        <v>#DIV/0!</v>
      </c>
      <c r="F95" s="38"/>
    </row>
    <row r="96" spans="1:6" ht="57.75" hidden="1" customHeight="1">
      <c r="A96" s="35" t="s">
        <v>102</v>
      </c>
      <c r="B96" s="39" t="s">
        <v>103</v>
      </c>
      <c r="C96" s="164"/>
      <c r="D96" s="89"/>
      <c r="E96" s="38" t="e">
        <f t="shared" si="3"/>
        <v>#DIV/0!</v>
      </c>
      <c r="F96" s="38"/>
    </row>
    <row r="97" spans="1:7" s="6" customFormat="1" ht="18" hidden="1" customHeight="1">
      <c r="A97" s="52">
        <v>1400</v>
      </c>
      <c r="B97" s="56" t="s">
        <v>112</v>
      </c>
      <c r="C97" s="48"/>
      <c r="D97" s="101"/>
      <c r="E97" s="34" t="e">
        <f t="shared" si="3"/>
        <v>#DIV/0!</v>
      </c>
      <c r="F97" s="34">
        <f t="shared" si="4"/>
        <v>0</v>
      </c>
    </row>
    <row r="98" spans="1:7" ht="16.5" hidden="1" customHeight="1">
      <c r="A98" s="53">
        <v>1401</v>
      </c>
      <c r="B98" s="54" t="s">
        <v>113</v>
      </c>
      <c r="C98" s="102">
        <v>0</v>
      </c>
      <c r="D98" s="89">
        <v>0</v>
      </c>
      <c r="E98" s="38" t="e">
        <f t="shared" si="3"/>
        <v>#DIV/0!</v>
      </c>
      <c r="F98" s="38">
        <f t="shared" si="4"/>
        <v>0</v>
      </c>
    </row>
    <row r="99" spans="1:7" ht="20.25" hidden="1" customHeight="1">
      <c r="A99" s="53">
        <v>1402</v>
      </c>
      <c r="B99" s="54" t="s">
        <v>114</v>
      </c>
      <c r="C99" s="102">
        <v>0</v>
      </c>
      <c r="D99" s="89">
        <v>0</v>
      </c>
      <c r="E99" s="38" t="e">
        <f t="shared" si="3"/>
        <v>#DIV/0!</v>
      </c>
      <c r="F99" s="38">
        <f t="shared" si="4"/>
        <v>0</v>
      </c>
    </row>
    <row r="100" spans="1:7" ht="20.25" customHeight="1">
      <c r="A100" s="53">
        <v>1403</v>
      </c>
      <c r="B100" s="54" t="s">
        <v>115</v>
      </c>
      <c r="C100" s="102">
        <v>0</v>
      </c>
      <c r="D100" s="89">
        <v>0</v>
      </c>
      <c r="E100" s="38" t="e">
        <f t="shared" si="3"/>
        <v>#DIV/0!</v>
      </c>
      <c r="F100" s="38">
        <f t="shared" si="4"/>
        <v>0</v>
      </c>
    </row>
    <row r="101" spans="1:7" s="6" customFormat="1" ht="15" customHeight="1">
      <c r="A101" s="52"/>
      <c r="B101" s="57" t="s">
        <v>116</v>
      </c>
      <c r="C101" s="452">
        <f>C57+C65+C67+C73+C78+C83+C91+C86+C97</f>
        <v>15603.436020000001</v>
      </c>
      <c r="D101" s="452">
        <f>D57+D65+D67+D73+D78+D83+D91+D86+D97</f>
        <v>14556.167590000001</v>
      </c>
      <c r="E101" s="34">
        <f t="shared" si="3"/>
        <v>93.288219154693593</v>
      </c>
      <c r="F101" s="34">
        <f t="shared" si="4"/>
        <v>-1047.2684300000001</v>
      </c>
      <c r="G101" s="91"/>
    </row>
    <row r="102" spans="1:7" ht="5.25" customHeight="1">
      <c r="D102" s="61"/>
    </row>
    <row r="103" spans="1:7" s="65" customFormat="1" ht="12.75">
      <c r="A103" s="63" t="s">
        <v>117</v>
      </c>
      <c r="B103" s="63"/>
      <c r="C103" s="129"/>
      <c r="D103" s="64"/>
    </row>
    <row r="104" spans="1:7" s="65" customFormat="1" ht="12.75">
      <c r="A104" s="66" t="s">
        <v>118</v>
      </c>
      <c r="B104" s="66"/>
      <c r="C104" s="129" t="s">
        <v>119</v>
      </c>
    </row>
    <row r="142" hidden="1"/>
  </sheetData>
  <customSheetViews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1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2"/>
      <headerFooter alignWithMargins="0"/>
    </customSheetView>
    <customSheetView guid="{3DCB9AAA-F09C-4EA6-B992-F93E466D374A}" hiddenRows="1" topLeftCell="A52">
      <selection activeCell="B100" sqref="B100"/>
      <pageMargins left="0.75" right="0.75" top="1" bottom="1" header="0.5" footer="0.5"/>
      <pageSetup paperSize="9" scale="46" orientation="portrait" r:id="rId3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4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5"/>
      <headerFooter alignWithMargins="0"/>
    </customSheetView>
    <customSheetView guid="{B31C8DB7-3E78-4144-A6B5-8DE36DE63F0E}" hiddenRows="1" topLeftCell="A27">
      <selection activeCell="D31" sqref="D31"/>
      <pageMargins left="0.75" right="0.75" top="1" bottom="1" header="0.5" footer="0.5"/>
      <pageSetup paperSize="9" scale="56" orientation="portrait" r:id="rId6"/>
      <headerFooter alignWithMargins="0"/>
    </customSheetView>
    <customSheetView guid="{B30CE22D-C12F-4E12-8BB9-3AAE0A6991CC}" scale="70" showPageBreaks="1" fitToPage="1" printArea="1" hiddenRows="1" view="pageBreakPreview" topLeftCell="A52">
      <selection activeCell="D52" activeCellId="2" sqref="C53:D53 C101:D101 C52:D52"/>
      <pageMargins left="0.74803149606299213" right="0.74803149606299213" top="0.98425196850393704" bottom="0.98425196850393704" header="0.51181102362204722" footer="0.51181102362204722"/>
      <pageSetup paperSize="9" scale="51" orientation="portrait" r:id="rId7"/>
      <headerFooter alignWithMargins="0"/>
    </customSheetView>
    <customSheetView guid="{1718F1EE-9F48-4DBE-9531-3B70F9C4A5DD}" scale="70" showPageBreaks="1" hiddenRows="1" view="pageBreakPreview" topLeftCell="A43">
      <selection activeCell="D92" sqref="D92"/>
      <pageMargins left="0.75" right="0.75" top="1" bottom="1" header="0.5" footer="0.5"/>
      <pageSetup paperSize="9" scale="36" orientation="portrait" r:id="rId8"/>
      <headerFooter alignWithMargins="0"/>
    </customSheetView>
    <customSheetView guid="{61528DAC-5C4C-48F4-ADE2-8A724B05A086}" scale="70" showPageBreaks="1" printArea="1" hiddenRows="1" view="pageBreakPreview">
      <selection activeCell="A2" sqref="A2:F2"/>
      <pageMargins left="0.74803149606299213" right="0.74803149606299213" top="0.98425196850393704" bottom="0.98425196850393704" header="0.51181102362204722" footer="0.51181102362204722"/>
      <pageSetup paperSize="9" scale="50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6"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43"/>
  <sheetViews>
    <sheetView view="pageBreakPreview" topLeftCell="A27" zoomScale="70" zoomScaleSheetLayoutView="70" workbookViewId="0">
      <selection activeCell="D44" sqref="D44"/>
    </sheetView>
  </sheetViews>
  <sheetFormatPr defaultRowHeight="15.75"/>
  <cols>
    <col min="1" max="1" width="21.7109375" style="58" customWidth="1"/>
    <col min="2" max="2" width="61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3" t="s">
        <v>414</v>
      </c>
      <c r="B1" s="543"/>
      <c r="C1" s="543"/>
      <c r="D1" s="543"/>
      <c r="E1" s="543"/>
      <c r="F1" s="543"/>
    </row>
    <row r="2" spans="1:6">
      <c r="A2" s="543"/>
      <c r="B2" s="543"/>
      <c r="C2" s="543"/>
      <c r="D2" s="543"/>
      <c r="E2" s="543"/>
      <c r="F2" s="543"/>
    </row>
    <row r="3" spans="1:6" ht="31.5">
      <c r="A3" s="2" t="s">
        <v>0</v>
      </c>
      <c r="B3" s="2" t="s">
        <v>1</v>
      </c>
      <c r="C3" s="72" t="s">
        <v>382</v>
      </c>
      <c r="D3" s="73" t="s">
        <v>403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1844.5900000000001</v>
      </c>
      <c r="D4" s="5">
        <f>D5+D12+D14+D17+D7</f>
        <v>1801.1122</v>
      </c>
      <c r="E4" s="5">
        <f>SUM(D4/C4*100)</f>
        <v>97.642955887216118</v>
      </c>
      <c r="F4" s="5">
        <f>SUM(D4-C4)</f>
        <v>-43.477800000000116</v>
      </c>
    </row>
    <row r="5" spans="1:6" s="6" customFormat="1">
      <c r="A5" s="68">
        <v>1010000000</v>
      </c>
      <c r="B5" s="67" t="s">
        <v>5</v>
      </c>
      <c r="C5" s="5">
        <f>C6</f>
        <v>71.7</v>
      </c>
      <c r="D5" s="5">
        <f>D6</f>
        <v>72.813370000000006</v>
      </c>
      <c r="E5" s="5">
        <f t="shared" ref="E5:E52" si="0">SUM(D5/C5*100)</f>
        <v>101.55281729428174</v>
      </c>
      <c r="F5" s="5">
        <f t="shared" ref="F5:F52" si="1">SUM(D5-C5)</f>
        <v>1.1133700000000033</v>
      </c>
    </row>
    <row r="6" spans="1:6">
      <c r="A6" s="7">
        <v>1010200001</v>
      </c>
      <c r="B6" s="8" t="s">
        <v>209</v>
      </c>
      <c r="C6" s="9">
        <v>71.7</v>
      </c>
      <c r="D6" s="10">
        <v>72.813370000000006</v>
      </c>
      <c r="E6" s="9">
        <f t="shared" ref="E6:E11" si="2">SUM(D6/C6*100)</f>
        <v>101.55281729428174</v>
      </c>
      <c r="F6" s="9">
        <f t="shared" si="1"/>
        <v>1.1133700000000033</v>
      </c>
    </row>
    <row r="7" spans="1:6" ht="31.5">
      <c r="A7" s="3">
        <v>1030000000</v>
      </c>
      <c r="B7" s="13" t="s">
        <v>250</v>
      </c>
      <c r="C7" s="5">
        <f>C8+C10+C9</f>
        <v>698.89</v>
      </c>
      <c r="D7" s="5">
        <f>D8+D10+D9+D11</f>
        <v>663.68307000000004</v>
      </c>
      <c r="E7" s="9">
        <f t="shared" si="2"/>
        <v>94.962450457153494</v>
      </c>
      <c r="F7" s="9">
        <f t="shared" si="1"/>
        <v>-35.206929999999943</v>
      </c>
    </row>
    <row r="8" spans="1:6">
      <c r="A8" s="7">
        <v>1030223001</v>
      </c>
      <c r="B8" s="8" t="s">
        <v>252</v>
      </c>
      <c r="C8" s="9">
        <v>260.69</v>
      </c>
      <c r="D8" s="10">
        <v>306.11568</v>
      </c>
      <c r="E8" s="9">
        <f t="shared" si="2"/>
        <v>117.42517165982585</v>
      </c>
      <c r="F8" s="9">
        <f t="shared" si="1"/>
        <v>45.42568</v>
      </c>
    </row>
    <row r="9" spans="1:6">
      <c r="A9" s="7">
        <v>1030224001</v>
      </c>
      <c r="B9" s="8" t="s">
        <v>258</v>
      </c>
      <c r="C9" s="9">
        <v>2.79</v>
      </c>
      <c r="D9" s="10">
        <v>2.1895600000000002</v>
      </c>
      <c r="E9" s="9">
        <f t="shared" si="2"/>
        <v>78.478853046594992</v>
      </c>
      <c r="F9" s="9">
        <f t="shared" si="1"/>
        <v>-0.60043999999999986</v>
      </c>
    </row>
    <row r="10" spans="1:6">
      <c r="A10" s="7">
        <v>1030225001</v>
      </c>
      <c r="B10" s="8" t="s">
        <v>251</v>
      </c>
      <c r="C10" s="9">
        <v>435.41</v>
      </c>
      <c r="D10" s="10">
        <v>411.8116</v>
      </c>
      <c r="E10" s="9">
        <f t="shared" si="2"/>
        <v>94.580188787579516</v>
      </c>
      <c r="F10" s="9">
        <f t="shared" si="1"/>
        <v>-23.598400000000026</v>
      </c>
    </row>
    <row r="11" spans="1:6">
      <c r="A11" s="7">
        <v>1030226001</v>
      </c>
      <c r="B11" s="8" t="s">
        <v>260</v>
      </c>
      <c r="C11" s="9">
        <v>0</v>
      </c>
      <c r="D11" s="10">
        <v>-56.433770000000003</v>
      </c>
      <c r="E11" s="9" t="e">
        <f t="shared" si="2"/>
        <v>#DIV/0!</v>
      </c>
      <c r="F11" s="9">
        <f t="shared" si="1"/>
        <v>-56.433770000000003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7.3159299999999998</v>
      </c>
      <c r="E12" s="5">
        <f t="shared" si="0"/>
        <v>73.159299999999988</v>
      </c>
      <c r="F12" s="5">
        <f t="shared" si="1"/>
        <v>-2.6840700000000002</v>
      </c>
    </row>
    <row r="13" spans="1:6" ht="15.75" customHeight="1">
      <c r="A13" s="7">
        <v>1050300000</v>
      </c>
      <c r="B13" s="11" t="s">
        <v>210</v>
      </c>
      <c r="C13" s="12">
        <v>10</v>
      </c>
      <c r="D13" s="10">
        <v>7.3159299999999998</v>
      </c>
      <c r="E13" s="9">
        <f t="shared" si="0"/>
        <v>73.159299999999988</v>
      </c>
      <c r="F13" s="9">
        <f t="shared" si="1"/>
        <v>-2.6840700000000002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1060</v>
      </c>
      <c r="D14" s="216">
        <f>D15+D16</f>
        <v>1053.7998299999999</v>
      </c>
      <c r="E14" s="5">
        <f t="shared" si="0"/>
        <v>99.41507830188678</v>
      </c>
      <c r="F14" s="5">
        <f t="shared" si="1"/>
        <v>-6.200170000000071</v>
      </c>
    </row>
    <row r="15" spans="1:6" s="6" customFormat="1" ht="15.75" customHeight="1">
      <c r="A15" s="7">
        <v>1060100000</v>
      </c>
      <c r="B15" s="11" t="s">
        <v>8</v>
      </c>
      <c r="C15" s="9">
        <v>310</v>
      </c>
      <c r="D15" s="10">
        <v>292.95361000000003</v>
      </c>
      <c r="E15" s="9">
        <f t="shared" si="0"/>
        <v>94.501164516129037</v>
      </c>
      <c r="F15" s="9">
        <f>SUM(D15-C15)</f>
        <v>-17.046389999999974</v>
      </c>
    </row>
    <row r="16" spans="1:6" ht="15.75" customHeight="1">
      <c r="A16" s="7">
        <v>1060600000</v>
      </c>
      <c r="B16" s="11" t="s">
        <v>7</v>
      </c>
      <c r="C16" s="9">
        <v>750</v>
      </c>
      <c r="D16" s="10">
        <v>760.84622000000002</v>
      </c>
      <c r="E16" s="9">
        <f t="shared" si="0"/>
        <v>101.44616266666667</v>
      </c>
      <c r="F16" s="9">
        <f t="shared" si="1"/>
        <v>10.846220000000017</v>
      </c>
    </row>
    <row r="17" spans="1:6" s="6" customFormat="1">
      <c r="A17" s="3">
        <v>1080000000</v>
      </c>
      <c r="B17" s="4" t="s">
        <v>10</v>
      </c>
      <c r="C17" s="5">
        <f>C18</f>
        <v>4</v>
      </c>
      <c r="D17" s="5">
        <f>D18</f>
        <v>3.5</v>
      </c>
      <c r="E17" s="5">
        <f t="shared" si="0"/>
        <v>87.5</v>
      </c>
      <c r="F17" s="5">
        <f t="shared" si="1"/>
        <v>-0.5</v>
      </c>
    </row>
    <row r="18" spans="1:6" ht="21.75" customHeight="1">
      <c r="A18" s="7">
        <v>1080400001</v>
      </c>
      <c r="B18" s="8" t="s">
        <v>208</v>
      </c>
      <c r="C18" s="9">
        <v>4</v>
      </c>
      <c r="D18" s="10">
        <v>3.5</v>
      </c>
      <c r="E18" s="9">
        <f t="shared" si="0"/>
        <v>87.5</v>
      </c>
      <c r="F18" s="9">
        <f t="shared" si="1"/>
        <v>-0.5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C26+C30+C32+C38+C35</f>
        <v>436.19400000000007</v>
      </c>
      <c r="D25" s="5">
        <f>D26+D30+D32+D38+D35</f>
        <v>402.28905000000003</v>
      </c>
      <c r="E25" s="5">
        <f t="shared" si="0"/>
        <v>92.227093907756625</v>
      </c>
      <c r="F25" s="5">
        <f t="shared" si="1"/>
        <v>-33.904950000000042</v>
      </c>
    </row>
    <row r="26" spans="1:6" s="6" customFormat="1" ht="30" customHeight="1">
      <c r="A26" s="68">
        <v>1110000000</v>
      </c>
      <c r="B26" s="69" t="s">
        <v>126</v>
      </c>
      <c r="C26" s="5">
        <f>C27+C28+C29</f>
        <v>359.20000000000005</v>
      </c>
      <c r="D26" s="5">
        <f>D27+D28+D29</f>
        <v>339.86284000000001</v>
      </c>
      <c r="E26" s="5">
        <f t="shared" si="0"/>
        <v>94.616603563474371</v>
      </c>
      <c r="F26" s="5">
        <f t="shared" si="1"/>
        <v>-19.33716000000004</v>
      </c>
    </row>
    <row r="27" spans="1:6">
      <c r="A27" s="16">
        <v>1110501101</v>
      </c>
      <c r="B27" s="17" t="s">
        <v>206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269</v>
      </c>
      <c r="C28" s="12">
        <v>328.6</v>
      </c>
      <c r="D28" s="10">
        <v>316.07209</v>
      </c>
      <c r="E28" s="9">
        <f t="shared" si="0"/>
        <v>96.18748934875228</v>
      </c>
      <c r="F28" s="9">
        <f t="shared" si="1"/>
        <v>-12.52791000000002</v>
      </c>
    </row>
    <row r="29" spans="1:6" ht="17.25" customHeight="1">
      <c r="A29" s="7">
        <v>1110503505</v>
      </c>
      <c r="B29" s="11" t="s">
        <v>205</v>
      </c>
      <c r="C29" s="12">
        <v>30.6</v>
      </c>
      <c r="D29" s="10">
        <v>23.790749999999999</v>
      </c>
      <c r="E29" s="9">
        <f t="shared" si="0"/>
        <v>77.747549019607845</v>
      </c>
      <c r="F29" s="9">
        <f t="shared" si="1"/>
        <v>-6.8092500000000022</v>
      </c>
    </row>
    <row r="30" spans="1:6" s="15" customFormat="1" ht="24.75" customHeight="1">
      <c r="A30" s="68">
        <v>1130000000</v>
      </c>
      <c r="B30" s="69" t="s">
        <v>128</v>
      </c>
      <c r="C30" s="5">
        <f>C31</f>
        <v>60</v>
      </c>
      <c r="D30" s="5">
        <f>D31</f>
        <v>19.76031</v>
      </c>
      <c r="E30" s="5">
        <f t="shared" si="0"/>
        <v>32.933850000000007</v>
      </c>
      <c r="F30" s="5">
        <f t="shared" si="1"/>
        <v>-40.239689999999996</v>
      </c>
    </row>
    <row r="31" spans="1:6" ht="24.75" customHeight="1">
      <c r="A31" s="7">
        <v>1130206510</v>
      </c>
      <c r="B31" s="8" t="s">
        <v>14</v>
      </c>
      <c r="C31" s="9">
        <v>60</v>
      </c>
      <c r="D31" s="10">
        <v>19.76031</v>
      </c>
      <c r="E31" s="9">
        <f t="shared" si="0"/>
        <v>32.933850000000007</v>
      </c>
      <c r="F31" s="9">
        <f t="shared" si="1"/>
        <v>-40.239689999999996</v>
      </c>
    </row>
    <row r="32" spans="1:6" ht="19.5" customHeight="1">
      <c r="A32" s="70">
        <v>1140000000</v>
      </c>
      <c r="B32" s="71" t="s">
        <v>129</v>
      </c>
      <c r="C32" s="5">
        <v>16.994</v>
      </c>
      <c r="D32" s="5">
        <f>D33+D34</f>
        <v>16.994</v>
      </c>
      <c r="E32" s="5">
        <f t="shared" si="0"/>
        <v>100</v>
      </c>
      <c r="F32" s="5">
        <f t="shared" si="1"/>
        <v>0</v>
      </c>
    </row>
    <row r="33" spans="1:7" ht="18" customHeight="1">
      <c r="A33" s="16">
        <v>1140200000</v>
      </c>
      <c r="B33" s="18" t="s">
        <v>130</v>
      </c>
      <c r="C33" s="9">
        <v>16.994</v>
      </c>
      <c r="D33" s="10">
        <v>16.994</v>
      </c>
      <c r="E33" s="9">
        <f t="shared" si="0"/>
        <v>100</v>
      </c>
      <c r="F33" s="9">
        <f t="shared" si="1"/>
        <v>0</v>
      </c>
    </row>
    <row r="34" spans="1:7" ht="15.75" customHeight="1">
      <c r="A34" s="7">
        <v>1140600000</v>
      </c>
      <c r="B34" s="8" t="s">
        <v>203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7.25" customHeight="1">
      <c r="A35" s="3">
        <v>1160000000</v>
      </c>
      <c r="B35" s="13" t="s">
        <v>225</v>
      </c>
      <c r="C35" s="5">
        <f>C37+C36</f>
        <v>0</v>
      </c>
      <c r="D35" s="5">
        <f>D37+D36</f>
        <v>25.671900000000001</v>
      </c>
      <c r="E35" s="5" t="e">
        <f t="shared" si="0"/>
        <v>#DIV/0!</v>
      </c>
      <c r="F35" s="5">
        <f t="shared" si="1"/>
        <v>25.671900000000001</v>
      </c>
    </row>
    <row r="36" spans="1:7" ht="26.25" customHeight="1">
      <c r="A36" s="7">
        <v>1160701000</v>
      </c>
      <c r="B36" s="8" t="s">
        <v>383</v>
      </c>
      <c r="C36" s="9">
        <v>0</v>
      </c>
      <c r="D36" s="9">
        <v>25.671900000000001</v>
      </c>
      <c r="E36" s="9" t="e">
        <f>SUM(D36/C36*100)</f>
        <v>#DIV/0!</v>
      </c>
      <c r="F36" s="9">
        <f>SUM(D36-C36)</f>
        <v>25.671900000000001</v>
      </c>
    </row>
    <row r="37" spans="1:7" ht="12.75" customHeight="1">
      <c r="A37" s="7">
        <v>1169005010</v>
      </c>
      <c r="B37" s="8" t="s">
        <v>292</v>
      </c>
      <c r="C37" s="9">
        <v>0</v>
      </c>
      <c r="D37" s="10">
        <v>0</v>
      </c>
      <c r="E37" s="9" t="e">
        <f t="shared" si="0"/>
        <v>#DIV/0!</v>
      </c>
      <c r="F37" s="9">
        <f t="shared" si="1"/>
        <v>0</v>
      </c>
    </row>
    <row r="38" spans="1:7" ht="15.75" customHeight="1">
      <c r="A38" s="3">
        <v>1170000000</v>
      </c>
      <c r="B38" s="13" t="s">
        <v>132</v>
      </c>
      <c r="C38" s="5">
        <f>C39+C40</f>
        <v>0</v>
      </c>
      <c r="D38" s="5">
        <f>D39+D40</f>
        <v>0</v>
      </c>
      <c r="E38" s="9" t="e">
        <f t="shared" si="0"/>
        <v>#DIV/0!</v>
      </c>
      <c r="F38" s="5">
        <f t="shared" si="1"/>
        <v>0</v>
      </c>
    </row>
    <row r="39" spans="1:7" ht="14.25" customHeight="1">
      <c r="A39" s="7">
        <v>1170105005</v>
      </c>
      <c r="B39" s="8" t="s">
        <v>15</v>
      </c>
      <c r="C39" s="9">
        <v>0</v>
      </c>
      <c r="D39" s="9">
        <v>0</v>
      </c>
      <c r="E39" s="9" t="e">
        <f t="shared" si="0"/>
        <v>#DIV/0!</v>
      </c>
      <c r="F39" s="9">
        <f t="shared" si="1"/>
        <v>0</v>
      </c>
    </row>
    <row r="40" spans="1:7" s="253" customFormat="1" ht="14.25" customHeight="1">
      <c r="A40" s="439">
        <v>1170505005</v>
      </c>
      <c r="B40" s="251" t="s">
        <v>201</v>
      </c>
      <c r="C40" s="136">
        <v>0</v>
      </c>
      <c r="D40" s="416">
        <v>0</v>
      </c>
      <c r="E40" s="252" t="e">
        <f t="shared" si="0"/>
        <v>#DIV/0!</v>
      </c>
      <c r="F40" s="252">
        <f t="shared" si="1"/>
        <v>0</v>
      </c>
    </row>
    <row r="41" spans="1:7" s="6" customFormat="1" ht="15" customHeight="1">
      <c r="A41" s="3">
        <v>1000000000</v>
      </c>
      <c r="B41" s="4" t="s">
        <v>16</v>
      </c>
      <c r="C41" s="123">
        <f>SUM(C4,C25)</f>
        <v>2280.7840000000001</v>
      </c>
      <c r="D41" s="123">
        <f>D4+D25</f>
        <v>2203.4012499999999</v>
      </c>
      <c r="E41" s="5">
        <f t="shared" si="0"/>
        <v>96.607186388540072</v>
      </c>
      <c r="F41" s="5">
        <f t="shared" si="1"/>
        <v>-77.382750000000215</v>
      </c>
    </row>
    <row r="42" spans="1:7" s="6" customFormat="1">
      <c r="A42" s="3">
        <v>2000000000</v>
      </c>
      <c r="B42" s="4" t="s">
        <v>17</v>
      </c>
      <c r="C42" s="5">
        <f>C43+C45+C47+C48+C49+C50+C44+C46</f>
        <v>25247.706709999999</v>
      </c>
      <c r="D42" s="5">
        <f>D43+D45+D47+D48+D49+D50+D44+D46</f>
        <v>20239.264669999997</v>
      </c>
      <c r="E42" s="5">
        <f t="shared" si="0"/>
        <v>80.162784297489168</v>
      </c>
      <c r="F42" s="5">
        <f t="shared" si="1"/>
        <v>-5008.4420400000017</v>
      </c>
      <c r="G42" s="19"/>
    </row>
    <row r="43" spans="1:7">
      <c r="A43" s="16">
        <v>2021000000</v>
      </c>
      <c r="B43" s="17" t="s">
        <v>18</v>
      </c>
      <c r="C43" s="417">
        <v>1706.8</v>
      </c>
      <c r="D43" s="20">
        <v>1706.8</v>
      </c>
      <c r="E43" s="9">
        <f t="shared" si="0"/>
        <v>100</v>
      </c>
      <c r="F43" s="9">
        <f t="shared" si="1"/>
        <v>0</v>
      </c>
    </row>
    <row r="44" spans="1:7">
      <c r="A44" s="16">
        <v>2021500200</v>
      </c>
      <c r="B44" s="17" t="s">
        <v>212</v>
      </c>
      <c r="C44" s="12">
        <v>1077.5129999999999</v>
      </c>
      <c r="D44" s="20">
        <v>1077.5129999999999</v>
      </c>
      <c r="E44" s="9">
        <f t="shared" si="0"/>
        <v>100</v>
      </c>
      <c r="F44" s="9">
        <f t="shared" si="1"/>
        <v>0</v>
      </c>
    </row>
    <row r="45" spans="1:7" ht="16.5" customHeight="1">
      <c r="A45" s="16">
        <v>2022000000</v>
      </c>
      <c r="B45" s="17" t="s">
        <v>19</v>
      </c>
      <c r="C45" s="12">
        <v>4810.0342199999996</v>
      </c>
      <c r="D45" s="10">
        <v>4011.3590300000001</v>
      </c>
      <c r="E45" s="9">
        <f t="shared" si="0"/>
        <v>83.395644324542886</v>
      </c>
      <c r="F45" s="9">
        <f t="shared" si="1"/>
        <v>-798.67518999999947</v>
      </c>
    </row>
    <row r="46" spans="1:7">
      <c r="A46" s="16">
        <v>2022999910</v>
      </c>
      <c r="B46" s="18" t="s">
        <v>312</v>
      </c>
      <c r="C46" s="12">
        <v>0</v>
      </c>
      <c r="D46" s="10">
        <v>0</v>
      </c>
      <c r="E46" s="9" t="e">
        <f>SUM(D46/C46*100)</f>
        <v>#DIV/0!</v>
      </c>
      <c r="F46" s="9">
        <f>SUM(D46-C46)</f>
        <v>0</v>
      </c>
    </row>
    <row r="47" spans="1:7">
      <c r="A47" s="16">
        <v>2023000000</v>
      </c>
      <c r="B47" s="17" t="s">
        <v>20</v>
      </c>
      <c r="C47" s="12">
        <v>198.36600000000001</v>
      </c>
      <c r="D47" s="175">
        <v>198.36600000000001</v>
      </c>
      <c r="E47" s="9">
        <f>SUM(D47/C47*100)</f>
        <v>100</v>
      </c>
      <c r="F47" s="9">
        <f>SUM(D47-C47)</f>
        <v>0</v>
      </c>
    </row>
    <row r="48" spans="1:7" ht="20.25" customHeight="1">
      <c r="A48" s="16">
        <v>2020400000</v>
      </c>
      <c r="B48" s="17" t="s">
        <v>21</v>
      </c>
      <c r="C48" s="12">
        <v>17217.79621</v>
      </c>
      <c r="D48" s="176">
        <v>12632.81864</v>
      </c>
      <c r="E48" s="9">
        <f t="shared" si="0"/>
        <v>73.370706017898669</v>
      </c>
      <c r="F48" s="9">
        <f t="shared" si="1"/>
        <v>-4584.9775700000009</v>
      </c>
    </row>
    <row r="49" spans="1:8" ht="30.75" customHeight="1">
      <c r="A49" s="16">
        <v>2070000000</v>
      </c>
      <c r="B49" s="18" t="s">
        <v>22</v>
      </c>
      <c r="C49" s="12">
        <v>237.19728000000001</v>
      </c>
      <c r="D49" s="176">
        <v>612.40800000000002</v>
      </c>
      <c r="E49" s="9">
        <f t="shared" si="0"/>
        <v>258.18508542762379</v>
      </c>
      <c r="F49" s="9">
        <f t="shared" si="1"/>
        <v>375.21072000000004</v>
      </c>
    </row>
    <row r="50" spans="1:8" ht="23.25" customHeight="1">
      <c r="A50" s="7">
        <v>2190500005</v>
      </c>
      <c r="B50" s="11" t="s">
        <v>23</v>
      </c>
      <c r="C50" s="10">
        <v>0</v>
      </c>
      <c r="D50" s="10">
        <v>0</v>
      </c>
      <c r="E50" s="9" t="e">
        <f t="shared" si="0"/>
        <v>#DIV/0!</v>
      </c>
      <c r="F50" s="9">
        <f>SUM(D50-C50)</f>
        <v>0</v>
      </c>
    </row>
    <row r="51" spans="1:8" s="6" customFormat="1" ht="25.5" customHeight="1">
      <c r="A51" s="3">
        <v>3000000000</v>
      </c>
      <c r="B51" s="13" t="s">
        <v>24</v>
      </c>
      <c r="C51" s="179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8" s="6" customFormat="1" ht="23.25" customHeight="1">
      <c r="A52" s="3"/>
      <c r="B52" s="4" t="s">
        <v>25</v>
      </c>
      <c r="C52" s="216">
        <f>C41+C42</f>
        <v>27528.490709999998</v>
      </c>
      <c r="D52" s="473">
        <f>D41+D42</f>
        <v>22442.665919999996</v>
      </c>
      <c r="E52" s="5">
        <f t="shared" si="0"/>
        <v>81.525232009350489</v>
      </c>
      <c r="F52" s="5">
        <f t="shared" si="1"/>
        <v>-5085.8247900000024</v>
      </c>
      <c r="G52" s="91"/>
      <c r="H52" s="91"/>
    </row>
    <row r="53" spans="1:8" s="6" customFormat="1">
      <c r="A53" s="3"/>
      <c r="B53" s="21" t="s">
        <v>290</v>
      </c>
      <c r="C53" s="5">
        <f>C52-C101</f>
        <v>-458.51319000000149</v>
      </c>
      <c r="D53" s="5">
        <f>D52-D101</f>
        <v>170.27149999999892</v>
      </c>
      <c r="E53" s="22"/>
      <c r="F53" s="22"/>
    </row>
    <row r="54" spans="1:8" ht="32.25" customHeight="1">
      <c r="A54" s="23"/>
      <c r="B54" s="24"/>
      <c r="C54" s="171"/>
      <c r="D54" s="25"/>
      <c r="E54" s="26"/>
      <c r="F54" s="27"/>
    </row>
    <row r="55" spans="1:8" ht="31.5">
      <c r="A55" s="28" t="s">
        <v>0</v>
      </c>
      <c r="B55" s="28" t="s">
        <v>26</v>
      </c>
      <c r="C55" s="72" t="s">
        <v>382</v>
      </c>
      <c r="D55" s="73" t="s">
        <v>403</v>
      </c>
      <c r="E55" s="72" t="s">
        <v>2</v>
      </c>
      <c r="F55" s="74" t="s">
        <v>3</v>
      </c>
    </row>
    <row r="56" spans="1:8">
      <c r="A56" s="87">
        <v>1</v>
      </c>
      <c r="B56" s="28">
        <v>2</v>
      </c>
      <c r="C56" s="85">
        <v>3</v>
      </c>
      <c r="D56" s="85">
        <v>4</v>
      </c>
      <c r="E56" s="85">
        <v>5</v>
      </c>
      <c r="F56" s="85">
        <v>6</v>
      </c>
    </row>
    <row r="57" spans="1:8" s="6" customFormat="1" ht="18" customHeight="1">
      <c r="A57" s="30" t="s">
        <v>27</v>
      </c>
      <c r="B57" s="31" t="s">
        <v>28</v>
      </c>
      <c r="C57" s="22">
        <f>C58+C59+C60+C61+C62+C64+C63</f>
        <v>2147.0930000000003</v>
      </c>
      <c r="D57" s="452">
        <f>D58+D59+D60+D61+D62+D64+D63</f>
        <v>2108.3781899999999</v>
      </c>
      <c r="E57" s="34">
        <f>SUM(D57/C57*100)</f>
        <v>98.19687316758052</v>
      </c>
      <c r="F57" s="34">
        <f>SUM(D57-C57)</f>
        <v>-38.714810000000398</v>
      </c>
    </row>
    <row r="58" spans="1:8" s="6" customFormat="1" ht="1.5" hidden="1" customHeight="1">
      <c r="A58" s="35" t="s">
        <v>29</v>
      </c>
      <c r="B58" s="36" t="s">
        <v>30</v>
      </c>
      <c r="C58" s="89">
        <v>0</v>
      </c>
      <c r="D58" s="89">
        <v>0</v>
      </c>
      <c r="E58" s="38" t="e">
        <f>SUM(D58/C58*100)</f>
        <v>#DIV/0!</v>
      </c>
      <c r="F58" s="38">
        <f>SUM(D58-C58)</f>
        <v>0</v>
      </c>
    </row>
    <row r="59" spans="1:8">
      <c r="A59" s="35" t="s">
        <v>31</v>
      </c>
      <c r="B59" s="39" t="s">
        <v>32</v>
      </c>
      <c r="C59" s="89">
        <v>2114.1930000000002</v>
      </c>
      <c r="D59" s="89">
        <v>2080.4781899999998</v>
      </c>
      <c r="E59" s="38">
        <f t="shared" ref="E59:E101" si="3">SUM(D59/C59*100)</f>
        <v>98.405310678826368</v>
      </c>
      <c r="F59" s="38">
        <f t="shared" ref="F59:F101" si="4">SUM(D59-C59)</f>
        <v>-33.714810000000398</v>
      </c>
    </row>
    <row r="60" spans="1:8" ht="16.5" hidden="1" customHeight="1">
      <c r="A60" s="35" t="s">
        <v>33</v>
      </c>
      <c r="B60" s="39" t="s">
        <v>34</v>
      </c>
      <c r="C60" s="89"/>
      <c r="D60" s="89"/>
      <c r="E60" s="38"/>
      <c r="F60" s="38">
        <f t="shared" si="4"/>
        <v>0</v>
      </c>
    </row>
    <row r="61" spans="1:8" ht="31.5" hidden="1" customHeight="1">
      <c r="A61" s="35" t="s">
        <v>35</v>
      </c>
      <c r="B61" s="39" t="s">
        <v>36</v>
      </c>
      <c r="C61" s="89"/>
      <c r="D61" s="89"/>
      <c r="E61" s="38" t="e">
        <f t="shared" si="3"/>
        <v>#DIV/0!</v>
      </c>
      <c r="F61" s="38">
        <f t="shared" si="4"/>
        <v>0</v>
      </c>
    </row>
    <row r="62" spans="1:8" ht="19.5" customHeight="1">
      <c r="A62" s="35" t="s">
        <v>37</v>
      </c>
      <c r="B62" s="39" t="s">
        <v>38</v>
      </c>
      <c r="C62" s="89">
        <v>23</v>
      </c>
      <c r="D62" s="89">
        <v>23</v>
      </c>
      <c r="E62" s="38">
        <f t="shared" si="3"/>
        <v>100</v>
      </c>
      <c r="F62" s="38">
        <f t="shared" si="4"/>
        <v>0</v>
      </c>
    </row>
    <row r="63" spans="1:8" ht="15.75" customHeight="1">
      <c r="A63" s="35" t="s">
        <v>39</v>
      </c>
      <c r="B63" s="39" t="s">
        <v>40</v>
      </c>
      <c r="C63" s="100">
        <v>5</v>
      </c>
      <c r="D63" s="100">
        <v>0</v>
      </c>
      <c r="E63" s="38">
        <f t="shared" si="3"/>
        <v>0</v>
      </c>
      <c r="F63" s="38">
        <f t="shared" si="4"/>
        <v>-5</v>
      </c>
    </row>
    <row r="64" spans="1:8" ht="14.25" customHeight="1">
      <c r="A64" s="35" t="s">
        <v>41</v>
      </c>
      <c r="B64" s="39" t="s">
        <v>42</v>
      </c>
      <c r="C64" s="89">
        <v>4.9000000000000004</v>
      </c>
      <c r="D64" s="89">
        <v>4.9000000000000004</v>
      </c>
      <c r="E64" s="38">
        <f t="shared" si="3"/>
        <v>100</v>
      </c>
      <c r="F64" s="38">
        <f t="shared" si="4"/>
        <v>0</v>
      </c>
    </row>
    <row r="65" spans="1:7" s="6" customFormat="1">
      <c r="A65" s="41" t="s">
        <v>43</v>
      </c>
      <c r="B65" s="42" t="s">
        <v>44</v>
      </c>
      <c r="C65" s="22">
        <f>C66</f>
        <v>198.36600000000001</v>
      </c>
      <c r="D65" s="457">
        <f>D66</f>
        <v>198.36600000000001</v>
      </c>
      <c r="E65" s="34">
        <f t="shared" si="3"/>
        <v>100</v>
      </c>
      <c r="F65" s="34">
        <f t="shared" si="4"/>
        <v>0</v>
      </c>
    </row>
    <row r="66" spans="1:7" ht="15" customHeight="1">
      <c r="A66" s="43" t="s">
        <v>45</v>
      </c>
      <c r="B66" s="44" t="s">
        <v>46</v>
      </c>
      <c r="C66" s="89">
        <v>198.36600000000001</v>
      </c>
      <c r="D66" s="89">
        <v>198.36600000000001</v>
      </c>
      <c r="E66" s="38">
        <f t="shared" si="3"/>
        <v>100</v>
      </c>
      <c r="F66" s="38">
        <f t="shared" si="4"/>
        <v>0</v>
      </c>
    </row>
    <row r="67" spans="1:7" s="6" customFormat="1" ht="18" customHeight="1">
      <c r="A67" s="30" t="s">
        <v>47</v>
      </c>
      <c r="B67" s="31" t="s">
        <v>48</v>
      </c>
      <c r="C67" s="22">
        <f>C70+C71+C72</f>
        <v>7</v>
      </c>
      <c r="D67" s="22">
        <f>D70+D71+D72</f>
        <v>4.8696000000000002</v>
      </c>
      <c r="E67" s="34">
        <f t="shared" si="3"/>
        <v>69.565714285714293</v>
      </c>
      <c r="F67" s="34">
        <f t="shared" si="4"/>
        <v>-2.1303999999999998</v>
      </c>
    </row>
    <row r="68" spans="1:7" ht="0.75" hidden="1" customHeight="1">
      <c r="A68" s="35" t="s">
        <v>49</v>
      </c>
      <c r="B68" s="39" t="s">
        <v>50</v>
      </c>
      <c r="C68" s="89"/>
      <c r="D68" s="89"/>
      <c r="E68" s="34" t="e">
        <f t="shared" si="3"/>
        <v>#DIV/0!</v>
      </c>
      <c r="F68" s="34">
        <f t="shared" si="4"/>
        <v>0</v>
      </c>
    </row>
    <row r="69" spans="1:7" ht="18" hidden="1" customHeight="1">
      <c r="A69" s="45" t="s">
        <v>51</v>
      </c>
      <c r="B69" s="39" t="s">
        <v>52</v>
      </c>
      <c r="C69" s="89"/>
      <c r="D69" s="89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89">
        <v>3</v>
      </c>
      <c r="D70" s="89">
        <v>2.8696000000000002</v>
      </c>
      <c r="E70" s="34">
        <f t="shared" si="3"/>
        <v>95.653333333333336</v>
      </c>
      <c r="F70" s="34">
        <f t="shared" si="4"/>
        <v>-0.13039999999999985</v>
      </c>
    </row>
    <row r="71" spans="1:7" ht="17.25" customHeight="1">
      <c r="A71" s="46" t="s">
        <v>199</v>
      </c>
      <c r="B71" s="47" t="s">
        <v>200</v>
      </c>
      <c r="C71" s="89">
        <v>2</v>
      </c>
      <c r="D71" s="89">
        <v>0</v>
      </c>
      <c r="E71" s="38">
        <f t="shared" si="3"/>
        <v>0</v>
      </c>
      <c r="F71" s="38">
        <f t="shared" si="4"/>
        <v>-2</v>
      </c>
    </row>
    <row r="72" spans="1:7" ht="17.25" customHeight="1">
      <c r="A72" s="46" t="s">
        <v>320</v>
      </c>
      <c r="B72" s="47" t="s">
        <v>371</v>
      </c>
      <c r="C72" s="89">
        <v>2</v>
      </c>
      <c r="D72" s="89">
        <v>2</v>
      </c>
      <c r="E72" s="38">
        <f>SUM(D72/C72*100)</f>
        <v>100</v>
      </c>
      <c r="F72" s="38">
        <f>SUM(D72-C72)</f>
        <v>0</v>
      </c>
    </row>
    <row r="73" spans="1:7" s="6" customFormat="1" ht="19.5" customHeight="1">
      <c r="A73" s="30" t="s">
        <v>55</v>
      </c>
      <c r="B73" s="31" t="s">
        <v>56</v>
      </c>
      <c r="C73" s="101">
        <f>C75+C76+C77+C74</f>
        <v>5313.8140199999998</v>
      </c>
      <c r="D73" s="458">
        <f>SUM(D74:D77)</f>
        <v>4201.9843899999996</v>
      </c>
      <c r="E73" s="34">
        <f t="shared" si="3"/>
        <v>79.076617551624423</v>
      </c>
      <c r="F73" s="34">
        <f t="shared" si="4"/>
        <v>-1111.8296300000002</v>
      </c>
    </row>
    <row r="74" spans="1:7" ht="17.25" customHeight="1">
      <c r="A74" s="35" t="s">
        <v>57</v>
      </c>
      <c r="B74" s="39" t="s">
        <v>58</v>
      </c>
      <c r="C74" s="102"/>
      <c r="D74" s="89">
        <v>0</v>
      </c>
      <c r="E74" s="38" t="e">
        <f t="shared" si="3"/>
        <v>#DIV/0!</v>
      </c>
      <c r="F74" s="38">
        <f t="shared" si="4"/>
        <v>0</v>
      </c>
    </row>
    <row r="75" spans="1:7" s="6" customFormat="1" ht="17.25" customHeight="1">
      <c r="A75" s="35" t="s">
        <v>59</v>
      </c>
      <c r="B75" s="39" t="s">
        <v>60</v>
      </c>
      <c r="C75" s="102">
        <v>0</v>
      </c>
      <c r="D75" s="89">
        <v>0</v>
      </c>
      <c r="E75" s="38" t="e">
        <f t="shared" si="3"/>
        <v>#DIV/0!</v>
      </c>
      <c r="F75" s="38">
        <f t="shared" si="4"/>
        <v>0</v>
      </c>
      <c r="G75" s="50"/>
    </row>
    <row r="76" spans="1:7" ht="16.5" customHeight="1">
      <c r="A76" s="35" t="s">
        <v>61</v>
      </c>
      <c r="B76" s="39" t="s">
        <v>62</v>
      </c>
      <c r="C76" s="102">
        <v>3562.62147</v>
      </c>
      <c r="D76" s="89">
        <v>2793.5686500000002</v>
      </c>
      <c r="E76" s="38">
        <f t="shared" si="3"/>
        <v>78.413288459747605</v>
      </c>
      <c r="F76" s="38">
        <f t="shared" si="4"/>
        <v>-769.05281999999988</v>
      </c>
    </row>
    <row r="77" spans="1:7" ht="16.5" customHeight="1">
      <c r="A77" s="35" t="s">
        <v>63</v>
      </c>
      <c r="B77" s="39" t="s">
        <v>64</v>
      </c>
      <c r="C77" s="102">
        <v>1751.19255</v>
      </c>
      <c r="D77" s="89">
        <v>1408.4157399999999</v>
      </c>
      <c r="E77" s="38">
        <f t="shared" si="3"/>
        <v>80.426092493369723</v>
      </c>
      <c r="F77" s="38">
        <f t="shared" si="4"/>
        <v>-342.77681000000007</v>
      </c>
    </row>
    <row r="78" spans="1:7" ht="15.75" hidden="1" customHeight="1">
      <c r="A78" s="30" t="s">
        <v>47</v>
      </c>
      <c r="B78" s="31" t="s">
        <v>48</v>
      </c>
      <c r="C78" s="101">
        <v>0</v>
      </c>
      <c r="D78" s="89"/>
      <c r="E78" s="38"/>
      <c r="F78" s="38"/>
    </row>
    <row r="79" spans="1:7" ht="15.75" hidden="1" customHeight="1">
      <c r="A79" s="46" t="s">
        <v>199</v>
      </c>
      <c r="B79" s="47" t="s">
        <v>200</v>
      </c>
      <c r="C79" s="102">
        <v>0</v>
      </c>
      <c r="D79" s="89"/>
      <c r="E79" s="38"/>
      <c r="F79" s="38"/>
    </row>
    <row r="80" spans="1:7" s="6" customFormat="1" ht="19.5" customHeight="1">
      <c r="A80" s="30" t="s">
        <v>65</v>
      </c>
      <c r="B80" s="31" t="s">
        <v>66</v>
      </c>
      <c r="C80" s="22">
        <f>SUM(C81:C83)</f>
        <v>6560.9486699999998</v>
      </c>
      <c r="D80" s="457">
        <f>SUM(D81:D83)</f>
        <v>6539.5964299999996</v>
      </c>
      <c r="E80" s="34">
        <f t="shared" si="3"/>
        <v>99.67455560050891</v>
      </c>
      <c r="F80" s="34">
        <f t="shared" si="4"/>
        <v>-21.352240000000165</v>
      </c>
    </row>
    <row r="81" spans="1:6" ht="17.25" customHeight="1">
      <c r="A81" s="35" t="s">
        <v>67</v>
      </c>
      <c r="B81" s="51" t="s">
        <v>68</v>
      </c>
      <c r="C81" s="89"/>
      <c r="D81" s="89"/>
      <c r="E81" s="38" t="e">
        <f t="shared" si="3"/>
        <v>#DIV/0!</v>
      </c>
      <c r="F81" s="38">
        <f t="shared" si="4"/>
        <v>0</v>
      </c>
    </row>
    <row r="82" spans="1:6">
      <c r="A82" s="35" t="s">
        <v>69</v>
      </c>
      <c r="B82" s="51" t="s">
        <v>70</v>
      </c>
      <c r="C82" s="89">
        <v>575</v>
      </c>
      <c r="D82" s="89">
        <v>574.36099999999999</v>
      </c>
      <c r="E82" s="38">
        <f t="shared" si="3"/>
        <v>99.888869565217391</v>
      </c>
      <c r="F82" s="38">
        <f t="shared" si="4"/>
        <v>-0.63900000000001</v>
      </c>
    </row>
    <row r="83" spans="1:6" ht="18" customHeight="1">
      <c r="A83" s="35" t="s">
        <v>71</v>
      </c>
      <c r="B83" s="39" t="s">
        <v>72</v>
      </c>
      <c r="C83" s="89">
        <v>5985.9486699999998</v>
      </c>
      <c r="D83" s="89">
        <v>5965.2354299999997</v>
      </c>
      <c r="E83" s="38">
        <f t="shared" si="3"/>
        <v>99.653968967294873</v>
      </c>
      <c r="F83" s="38">
        <f t="shared" si="4"/>
        <v>-20.713240000000042</v>
      </c>
    </row>
    <row r="84" spans="1:6" s="6" customFormat="1" ht="16.5" customHeight="1">
      <c r="A84" s="30" t="s">
        <v>83</v>
      </c>
      <c r="B84" s="31" t="s">
        <v>84</v>
      </c>
      <c r="C84" s="22">
        <f>C85</f>
        <v>13759.782209999999</v>
      </c>
      <c r="D84" s="22">
        <f>SUM(D85)</f>
        <v>9219.1998100000001</v>
      </c>
      <c r="E84" s="34">
        <f t="shared" si="3"/>
        <v>67.001059095978249</v>
      </c>
      <c r="F84" s="34">
        <f t="shared" si="4"/>
        <v>-4540.5823999999993</v>
      </c>
    </row>
    <row r="85" spans="1:6" ht="14.25" customHeight="1">
      <c r="A85" s="35" t="s">
        <v>85</v>
      </c>
      <c r="B85" s="39" t="s">
        <v>214</v>
      </c>
      <c r="C85" s="89">
        <v>13759.782209999999</v>
      </c>
      <c r="D85" s="89">
        <v>9219.1998100000001</v>
      </c>
      <c r="E85" s="38">
        <f t="shared" si="3"/>
        <v>67.001059095978249</v>
      </c>
      <c r="F85" s="38">
        <f t="shared" si="4"/>
        <v>-4540.5823999999993</v>
      </c>
    </row>
    <row r="86" spans="1:6" s="6" customFormat="1" ht="12" hidden="1" customHeight="1">
      <c r="A86" s="52">
        <v>1000</v>
      </c>
      <c r="B86" s="31" t="s">
        <v>86</v>
      </c>
      <c r="C86" s="22">
        <f>SUM(C87:C90)</f>
        <v>0</v>
      </c>
      <c r="D86" s="22">
        <f>SUM(D87:D90)</f>
        <v>0</v>
      </c>
      <c r="E86" s="34" t="e">
        <f t="shared" si="3"/>
        <v>#DIV/0!</v>
      </c>
      <c r="F86" s="34">
        <f t="shared" si="4"/>
        <v>0</v>
      </c>
    </row>
    <row r="87" spans="1:6" ht="9" hidden="1" customHeight="1">
      <c r="A87" s="53">
        <v>1001</v>
      </c>
      <c r="B87" s="54" t="s">
        <v>87</v>
      </c>
      <c r="C87" s="89"/>
      <c r="D87" s="89"/>
      <c r="E87" s="38" t="e">
        <f t="shared" si="3"/>
        <v>#DIV/0!</v>
      </c>
      <c r="F87" s="38">
        <f t="shared" si="4"/>
        <v>0</v>
      </c>
    </row>
    <row r="88" spans="1:6" ht="12" hidden="1" customHeight="1">
      <c r="A88" s="53">
        <v>1003</v>
      </c>
      <c r="B88" s="54" t="s">
        <v>88</v>
      </c>
      <c r="C88" s="89">
        <v>0</v>
      </c>
      <c r="D88" s="89">
        <v>0</v>
      </c>
      <c r="E88" s="38" t="e">
        <f t="shared" si="3"/>
        <v>#DIV/0!</v>
      </c>
      <c r="F88" s="38">
        <f t="shared" si="4"/>
        <v>0</v>
      </c>
    </row>
    <row r="89" spans="1:6" ht="12.75" hidden="1" customHeight="1">
      <c r="A89" s="53">
        <v>1004</v>
      </c>
      <c r="B89" s="54" t="s">
        <v>89</v>
      </c>
      <c r="C89" s="89">
        <v>0</v>
      </c>
      <c r="D89" s="178">
        <v>0</v>
      </c>
      <c r="E89" s="38" t="e">
        <f t="shared" si="3"/>
        <v>#DIV/0!</v>
      </c>
      <c r="F89" s="38">
        <f t="shared" si="4"/>
        <v>0</v>
      </c>
    </row>
    <row r="90" spans="1:6" ht="19.5" hidden="1" customHeight="1">
      <c r="A90" s="35" t="s">
        <v>90</v>
      </c>
      <c r="B90" s="39" t="s">
        <v>91</v>
      </c>
      <c r="C90" s="89">
        <v>0</v>
      </c>
      <c r="D90" s="89">
        <v>0</v>
      </c>
      <c r="E90" s="38"/>
      <c r="F90" s="38">
        <f t="shared" si="4"/>
        <v>0</v>
      </c>
    </row>
    <row r="91" spans="1:6" ht="15" customHeight="1">
      <c r="A91" s="30" t="s">
        <v>92</v>
      </c>
      <c r="B91" s="31" t="s">
        <v>93</v>
      </c>
      <c r="C91" s="22">
        <f>C92+C93+C94+C95+C96</f>
        <v>0</v>
      </c>
      <c r="D91" s="22">
        <f>D92+D93+D94+D95+D96</f>
        <v>0</v>
      </c>
      <c r="E91" s="38" t="e">
        <f t="shared" si="3"/>
        <v>#DIV/0!</v>
      </c>
      <c r="F91" s="22">
        <f>F92+F93+F94+F95+F96</f>
        <v>0</v>
      </c>
    </row>
    <row r="92" spans="1:6" ht="19.5" customHeight="1">
      <c r="A92" s="35" t="s">
        <v>94</v>
      </c>
      <c r="B92" s="39" t="s">
        <v>95</v>
      </c>
      <c r="C92" s="89"/>
      <c r="D92" s="89">
        <v>0</v>
      </c>
      <c r="E92" s="38" t="e">
        <f t="shared" si="3"/>
        <v>#DIV/0!</v>
      </c>
      <c r="F92" s="38">
        <f>SUM(D92-C92)</f>
        <v>0</v>
      </c>
    </row>
    <row r="93" spans="1:6" ht="15" hidden="1" customHeight="1">
      <c r="A93" s="35" t="s">
        <v>96</v>
      </c>
      <c r="B93" s="39" t="s">
        <v>97</v>
      </c>
      <c r="C93" s="89"/>
      <c r="D93" s="89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98</v>
      </c>
      <c r="B94" s="39" t="s">
        <v>99</v>
      </c>
      <c r="C94" s="89"/>
      <c r="D94" s="89"/>
      <c r="E94" s="38" t="e">
        <f t="shared" si="3"/>
        <v>#DIV/0!</v>
      </c>
      <c r="F94" s="38"/>
    </row>
    <row r="95" spans="1:6" ht="15" hidden="1" customHeight="1">
      <c r="A95" s="35" t="s">
        <v>100</v>
      </c>
      <c r="B95" s="39" t="s">
        <v>101</v>
      </c>
      <c r="C95" s="89"/>
      <c r="D95" s="89"/>
      <c r="E95" s="38" t="e">
        <f t="shared" si="3"/>
        <v>#DIV/0!</v>
      </c>
      <c r="F95" s="38"/>
    </row>
    <row r="96" spans="1:6" ht="57.75" hidden="1" customHeight="1">
      <c r="A96" s="35" t="s">
        <v>102</v>
      </c>
      <c r="B96" s="39" t="s">
        <v>103</v>
      </c>
      <c r="C96" s="89"/>
      <c r="D96" s="89"/>
      <c r="E96" s="38" t="e">
        <f t="shared" si="3"/>
        <v>#DIV/0!</v>
      </c>
      <c r="F96" s="38"/>
    </row>
    <row r="97" spans="1:6" s="6" customFormat="1" ht="15" hidden="1" customHeight="1">
      <c r="A97" s="52">
        <v>1400</v>
      </c>
      <c r="B97" s="56" t="s">
        <v>112</v>
      </c>
      <c r="C97" s="101">
        <f>C98+C99+C100</f>
        <v>0</v>
      </c>
      <c r="D97" s="101">
        <f>SUM(D98:D100)</f>
        <v>0</v>
      </c>
      <c r="E97" s="34" t="e">
        <f t="shared" si="3"/>
        <v>#DIV/0!</v>
      </c>
      <c r="F97" s="34">
        <f t="shared" si="4"/>
        <v>0</v>
      </c>
    </row>
    <row r="98" spans="1:6" ht="16.5" hidden="1" customHeight="1">
      <c r="A98" s="53">
        <v>1401</v>
      </c>
      <c r="B98" s="54" t="s">
        <v>113</v>
      </c>
      <c r="C98" s="89">
        <v>0</v>
      </c>
      <c r="D98" s="89">
        <v>0</v>
      </c>
      <c r="E98" s="38" t="e">
        <f t="shared" si="3"/>
        <v>#DIV/0!</v>
      </c>
      <c r="F98" s="38">
        <f t="shared" si="4"/>
        <v>0</v>
      </c>
    </row>
    <row r="99" spans="1:6" ht="20.25" hidden="1" customHeight="1">
      <c r="A99" s="53">
        <v>1402</v>
      </c>
      <c r="B99" s="54" t="s">
        <v>114</v>
      </c>
      <c r="C99" s="102">
        <v>0</v>
      </c>
      <c r="D99" s="89">
        <v>0</v>
      </c>
      <c r="E99" s="38" t="e">
        <f t="shared" si="3"/>
        <v>#DIV/0!</v>
      </c>
      <c r="F99" s="38">
        <f t="shared" si="4"/>
        <v>0</v>
      </c>
    </row>
    <row r="100" spans="1:6" ht="13.5" hidden="1" customHeight="1">
      <c r="A100" s="53">
        <v>1403</v>
      </c>
      <c r="B100" s="54" t="s">
        <v>115</v>
      </c>
      <c r="C100" s="102">
        <v>0</v>
      </c>
      <c r="D100" s="89">
        <v>0</v>
      </c>
      <c r="E100" s="38" t="e">
        <f t="shared" si="3"/>
        <v>#DIV/0!</v>
      </c>
      <c r="F100" s="38">
        <f t="shared" si="4"/>
        <v>0</v>
      </c>
    </row>
    <row r="101" spans="1:6" s="6" customFormat="1">
      <c r="A101" s="52"/>
      <c r="B101" s="57" t="s">
        <v>116</v>
      </c>
      <c r="C101" s="98">
        <f>C57+C65+C67+C73+C80+C84+C86+C91+C78</f>
        <v>27987.0039</v>
      </c>
      <c r="D101" s="452">
        <f>D57+D65+D67+D73+D80+D84+D91+D86</f>
        <v>22272.394419999997</v>
      </c>
      <c r="E101" s="34">
        <f t="shared" si="3"/>
        <v>79.58120311692241</v>
      </c>
      <c r="F101" s="34">
        <f t="shared" si="4"/>
        <v>-5714.6094800000028</v>
      </c>
    </row>
    <row r="102" spans="1:6" ht="5.25" customHeight="1">
      <c r="C102" s="116"/>
      <c r="D102" s="61"/>
    </row>
    <row r="103" spans="1:6" s="65" customFormat="1" ht="12.75">
      <c r="A103" s="63" t="s">
        <v>117</v>
      </c>
      <c r="B103" s="63"/>
      <c r="C103" s="112"/>
      <c r="D103" s="64"/>
    </row>
    <row r="104" spans="1:6" s="65" customFormat="1" ht="12.75">
      <c r="A104" s="66" t="s">
        <v>118</v>
      </c>
      <c r="B104" s="66"/>
      <c r="C104" s="65" t="s">
        <v>119</v>
      </c>
    </row>
    <row r="105" spans="1:6">
      <c r="C105" s="116"/>
    </row>
    <row r="143" hidden="1"/>
  </sheetData>
  <customSheetViews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1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3DCB9AAA-F09C-4EA6-B992-F93E466D374A}" hiddenRows="1" topLeftCell="A47">
      <selection activeCell="B100" sqref="B100"/>
      <pageMargins left="0.7" right="0.7" top="0.75" bottom="0.75" header="0.3" footer="0.3"/>
      <pageSetup paperSize="9" scale="51" orientation="portrait" r:id="rId3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4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5"/>
    </customSheetView>
    <customSheetView guid="{B31C8DB7-3E78-4144-A6B5-8DE36DE63F0E}" scale="89" showPageBreaks="1" printArea="1" hiddenRows="1" view="pageBreakPreview" topLeftCell="A10">
      <selection activeCell="C38" sqref="C38"/>
      <pageMargins left="0.7" right="0.7" top="0.75" bottom="0.75" header="0.3" footer="0.3"/>
      <pageSetup paperSize="9" scale="47" orientation="portrait" r:id="rId6"/>
    </customSheetView>
    <customSheetView guid="{B30CE22D-C12F-4E12-8BB9-3AAE0A6991CC}" scale="70" showPageBreaks="1" fitToPage="1" printArea="1" hiddenRows="1" view="pageBreakPreview" topLeftCell="A36">
      <selection activeCell="C52" sqref="C52:D52"/>
      <pageMargins left="0.70866141732283472" right="0.70866141732283472" top="0.74803149606299213" bottom="0.74803149606299213" header="0.31496062992125984" footer="0.31496062992125984"/>
      <pageSetup paperSize="9" scale="53" orientation="portrait" r:id="rId7"/>
    </customSheetView>
    <customSheetView guid="{1718F1EE-9F48-4DBE-9531-3B70F9C4A5DD}" scale="70" showPageBreaks="1" printArea="1" hiddenRows="1" view="pageBreakPreview" topLeftCell="A37">
      <selection activeCell="C92" sqref="C92"/>
      <pageMargins left="0.7" right="0.7" top="0.75" bottom="0.75" header="0.3" footer="0.3"/>
      <pageSetup paperSize="9" scale="39" orientation="portrait" r:id="rId8"/>
    </customSheetView>
    <customSheetView guid="{61528DAC-5C4C-48F4-ADE2-8A724B05A086}" scale="70" showPageBreaks="1" fitToPage="1" printArea="1" hiddenRows="1" view="pageBreakPreview" topLeftCell="A4">
      <selection activeCell="C33" sqref="C33"/>
      <pageMargins left="0.70866141732283472" right="0.70866141732283472" top="0.74803149606299213" bottom="0.74803149606299213" header="0.31496062992125984" footer="0.31496062992125984"/>
      <pageSetup paperSize="9" scale="51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42"/>
  <sheetViews>
    <sheetView view="pageBreakPreview" zoomScale="70" zoomScaleSheetLayoutView="70" workbookViewId="0">
      <selection activeCell="C97" sqref="C97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6.140625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43" t="s">
        <v>415</v>
      </c>
      <c r="B1" s="543"/>
      <c r="C1" s="543"/>
      <c r="D1" s="543"/>
      <c r="E1" s="543"/>
      <c r="F1" s="543"/>
    </row>
    <row r="2" spans="1:6">
      <c r="A2" s="543"/>
      <c r="B2" s="543"/>
      <c r="C2" s="543"/>
      <c r="D2" s="543"/>
      <c r="E2" s="543"/>
      <c r="F2" s="543"/>
    </row>
    <row r="3" spans="1:6" ht="63">
      <c r="A3" s="2" t="s">
        <v>0</v>
      </c>
      <c r="B3" s="2" t="s">
        <v>1</v>
      </c>
      <c r="C3" s="72" t="s">
        <v>382</v>
      </c>
      <c r="D3" s="168" t="s">
        <v>403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182">
        <f>C5+C12+C14+C17+C20+C7</f>
        <v>4722.5625799999998</v>
      </c>
      <c r="D4" s="182">
        <f>D5+D12+D14+D17+D20+D7</f>
        <v>5847.8403700000008</v>
      </c>
      <c r="E4" s="5">
        <f>SUM(D4/C4*100)</f>
        <v>123.82769462421821</v>
      </c>
      <c r="F4" s="5">
        <f>SUM(D4-C4)</f>
        <v>1125.277790000001</v>
      </c>
    </row>
    <row r="5" spans="1:6" s="6" customFormat="1">
      <c r="A5" s="68">
        <v>1010000000</v>
      </c>
      <c r="B5" s="67" t="s">
        <v>5</v>
      </c>
      <c r="C5" s="182">
        <f>C6</f>
        <v>484.2</v>
      </c>
      <c r="D5" s="182">
        <f>D6</f>
        <v>511.99216000000001</v>
      </c>
      <c r="E5" s="5">
        <f t="shared" ref="E5:E50" si="0">SUM(D5/C5*100)</f>
        <v>105.73980999586948</v>
      </c>
      <c r="F5" s="5">
        <f t="shared" ref="F5:F50" si="1">SUM(D5-C5)</f>
        <v>27.792160000000024</v>
      </c>
    </row>
    <row r="6" spans="1:6">
      <c r="A6" s="7">
        <v>1010200001</v>
      </c>
      <c r="B6" s="8" t="s">
        <v>209</v>
      </c>
      <c r="C6" s="203">
        <v>484.2</v>
      </c>
      <c r="D6" s="204">
        <v>511.99216000000001</v>
      </c>
      <c r="E6" s="9">
        <f t="shared" ref="E6:E11" si="2">SUM(D6/C6*100)</f>
        <v>105.73980999586948</v>
      </c>
      <c r="F6" s="9">
        <f t="shared" si="1"/>
        <v>27.792160000000024</v>
      </c>
    </row>
    <row r="7" spans="1:6" ht="31.5">
      <c r="A7" s="3">
        <v>1030000000</v>
      </c>
      <c r="B7" s="13" t="s">
        <v>250</v>
      </c>
      <c r="C7" s="182">
        <f>C8+C10+C9</f>
        <v>833.59</v>
      </c>
      <c r="D7" s="182">
        <f>D8+D10+D9+D11</f>
        <v>791.59290999999996</v>
      </c>
      <c r="E7" s="5">
        <f t="shared" si="2"/>
        <v>94.961900934512173</v>
      </c>
      <c r="F7" s="5">
        <f t="shared" si="1"/>
        <v>-41.997090000000071</v>
      </c>
    </row>
    <row r="8" spans="1:6">
      <c r="A8" s="7">
        <v>1030223001</v>
      </c>
      <c r="B8" s="8" t="s">
        <v>252</v>
      </c>
      <c r="C8" s="203">
        <v>310.93</v>
      </c>
      <c r="D8" s="204">
        <v>365.11255999999997</v>
      </c>
      <c r="E8" s="9">
        <f t="shared" si="2"/>
        <v>117.42596725951178</v>
      </c>
      <c r="F8" s="9">
        <f t="shared" si="1"/>
        <v>54.182559999999967</v>
      </c>
    </row>
    <row r="9" spans="1:6">
      <c r="A9" s="7">
        <v>1030224001</v>
      </c>
      <c r="B9" s="8" t="s">
        <v>258</v>
      </c>
      <c r="C9" s="203">
        <v>3.33</v>
      </c>
      <c r="D9" s="204">
        <v>2.6115400000000002</v>
      </c>
      <c r="E9" s="9">
        <f t="shared" si="2"/>
        <v>78.424624624624627</v>
      </c>
      <c r="F9" s="9">
        <f t="shared" si="1"/>
        <v>-0.71845999999999988</v>
      </c>
    </row>
    <row r="10" spans="1:6">
      <c r="A10" s="7">
        <v>1030225001</v>
      </c>
      <c r="B10" s="8" t="s">
        <v>251</v>
      </c>
      <c r="C10" s="203">
        <v>519.33000000000004</v>
      </c>
      <c r="D10" s="204">
        <v>491.17892999999998</v>
      </c>
      <c r="E10" s="9">
        <f t="shared" si="2"/>
        <v>94.579348391196334</v>
      </c>
      <c r="F10" s="9">
        <f t="shared" si="1"/>
        <v>-28.151070000000061</v>
      </c>
    </row>
    <row r="11" spans="1:6">
      <c r="A11" s="7">
        <v>1030226001</v>
      </c>
      <c r="B11" s="8" t="s">
        <v>259</v>
      </c>
      <c r="C11" s="203">
        <v>0</v>
      </c>
      <c r="D11" s="202">
        <v>-67.310119999999998</v>
      </c>
      <c r="E11" s="9" t="e">
        <f t="shared" si="2"/>
        <v>#DIV/0!</v>
      </c>
      <c r="F11" s="9">
        <f t="shared" si="1"/>
        <v>-67.310119999999998</v>
      </c>
    </row>
    <row r="12" spans="1:6" s="6" customFormat="1">
      <c r="A12" s="68">
        <v>1050000000</v>
      </c>
      <c r="B12" s="67" t="s">
        <v>6</v>
      </c>
      <c r="C12" s="182">
        <f>SUM(C13:C13)</f>
        <v>100</v>
      </c>
      <c r="D12" s="182">
        <f>D13</f>
        <v>97.428650000000005</v>
      </c>
      <c r="E12" s="5">
        <f t="shared" si="0"/>
        <v>97.428650000000005</v>
      </c>
      <c r="F12" s="5">
        <f t="shared" si="1"/>
        <v>-2.5713499999999954</v>
      </c>
    </row>
    <row r="13" spans="1:6" ht="15.75" customHeight="1">
      <c r="A13" s="7">
        <v>1050300000</v>
      </c>
      <c r="B13" s="11" t="s">
        <v>210</v>
      </c>
      <c r="C13" s="205">
        <v>100</v>
      </c>
      <c r="D13" s="204">
        <v>97.428650000000005</v>
      </c>
      <c r="E13" s="9">
        <f t="shared" si="0"/>
        <v>97.428650000000005</v>
      </c>
      <c r="F13" s="9">
        <f t="shared" si="1"/>
        <v>-2.5713499999999954</v>
      </c>
    </row>
    <row r="14" spans="1:6" s="6" customFormat="1" ht="15.75" customHeight="1">
      <c r="A14" s="68">
        <v>1060000000</v>
      </c>
      <c r="B14" s="67" t="s">
        <v>133</v>
      </c>
      <c r="C14" s="182">
        <f>C15+C16</f>
        <v>3284.7725799999998</v>
      </c>
      <c r="D14" s="182">
        <f>D15+D16</f>
        <v>4440.9266500000003</v>
      </c>
      <c r="E14" s="5">
        <f t="shared" si="0"/>
        <v>135.19738556755735</v>
      </c>
      <c r="F14" s="5">
        <f t="shared" si="1"/>
        <v>1156.1540700000005</v>
      </c>
    </row>
    <row r="15" spans="1:6" s="6" customFormat="1" ht="15.75" customHeight="1">
      <c r="A15" s="7">
        <v>1060100000</v>
      </c>
      <c r="B15" s="11" t="s">
        <v>8</v>
      </c>
      <c r="C15" s="203">
        <v>340</v>
      </c>
      <c r="D15" s="204">
        <v>490.12551000000002</v>
      </c>
      <c r="E15" s="9">
        <f t="shared" si="0"/>
        <v>144.1545617647059</v>
      </c>
      <c r="F15" s="9">
        <f>SUM(D15-C15)</f>
        <v>150.12551000000002</v>
      </c>
    </row>
    <row r="16" spans="1:6" ht="15.75" customHeight="1">
      <c r="A16" s="7">
        <v>1060600000</v>
      </c>
      <c r="B16" s="11" t="s">
        <v>7</v>
      </c>
      <c r="C16" s="203">
        <v>2944.7725799999998</v>
      </c>
      <c r="D16" s="204">
        <v>3950.80114</v>
      </c>
      <c r="E16" s="9">
        <f t="shared" si="0"/>
        <v>134.16320047370178</v>
      </c>
      <c r="F16" s="9">
        <f t="shared" si="1"/>
        <v>1006.0285600000002</v>
      </c>
    </row>
    <row r="17" spans="1:6" s="6" customFormat="1">
      <c r="A17" s="3">
        <v>1080000000</v>
      </c>
      <c r="B17" s="4" t="s">
        <v>10</v>
      </c>
      <c r="C17" s="182">
        <f>C18</f>
        <v>20</v>
      </c>
      <c r="D17" s="182">
        <f>D18</f>
        <v>5.9</v>
      </c>
      <c r="E17" s="5">
        <f t="shared" si="0"/>
        <v>29.500000000000004</v>
      </c>
      <c r="F17" s="5">
        <f t="shared" si="1"/>
        <v>-14.1</v>
      </c>
    </row>
    <row r="18" spans="1:6" ht="18" customHeight="1">
      <c r="A18" s="7">
        <v>1080400001</v>
      </c>
      <c r="B18" s="8" t="s">
        <v>208</v>
      </c>
      <c r="C18" s="203">
        <v>20</v>
      </c>
      <c r="D18" s="204">
        <v>5.9</v>
      </c>
      <c r="E18" s="9">
        <f t="shared" si="0"/>
        <v>29.500000000000004</v>
      </c>
      <c r="F18" s="9">
        <f t="shared" si="1"/>
        <v>-14.1</v>
      </c>
    </row>
    <row r="19" spans="1:6" ht="47.25" hidden="1" customHeight="1">
      <c r="A19" s="7">
        <v>1080714001</v>
      </c>
      <c r="B19" s="8" t="s">
        <v>11</v>
      </c>
      <c r="C19" s="203"/>
      <c r="D19" s="204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182">
        <f>C21+C22+C23+C24</f>
        <v>0</v>
      </c>
      <c r="D20" s="182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182"/>
      <c r="D21" s="206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182"/>
      <c r="D22" s="206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182"/>
      <c r="D23" s="206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182"/>
      <c r="D24" s="206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182">
        <f>C26+C29+C31+C36</f>
        <v>297.5</v>
      </c>
      <c r="D25" s="90">
        <f>D26+D29+D31+D36+D34</f>
        <v>185.02</v>
      </c>
      <c r="E25" s="5">
        <f t="shared" si="0"/>
        <v>62.191596638655469</v>
      </c>
      <c r="F25" s="5">
        <f t="shared" si="1"/>
        <v>-112.47999999999999</v>
      </c>
    </row>
    <row r="26" spans="1:6" s="6" customFormat="1" ht="30" customHeight="1">
      <c r="A26" s="68">
        <v>1110000000</v>
      </c>
      <c r="B26" s="69" t="s">
        <v>126</v>
      </c>
      <c r="C26" s="182">
        <f>C27+C28</f>
        <v>227.5</v>
      </c>
      <c r="D26" s="90">
        <f>D27+D28</f>
        <v>79.754000000000005</v>
      </c>
      <c r="E26" s="5">
        <f t="shared" si="0"/>
        <v>35.056703296703304</v>
      </c>
      <c r="F26" s="5">
        <f t="shared" si="1"/>
        <v>-147.74599999999998</v>
      </c>
    </row>
    <row r="27" spans="1:6" ht="15" customHeight="1">
      <c r="A27" s="16">
        <v>1110502510</v>
      </c>
      <c r="B27" s="17" t="s">
        <v>206</v>
      </c>
      <c r="C27" s="205">
        <v>215.5</v>
      </c>
      <c r="D27" s="202">
        <v>70.754000000000005</v>
      </c>
      <c r="E27" s="9">
        <f t="shared" si="0"/>
        <v>32.832482598607896</v>
      </c>
      <c r="F27" s="9">
        <f t="shared" si="1"/>
        <v>-144.74599999999998</v>
      </c>
    </row>
    <row r="28" spans="1:6" ht="15.75" customHeight="1">
      <c r="A28" s="7">
        <v>1110503505</v>
      </c>
      <c r="B28" s="11" t="s">
        <v>205</v>
      </c>
      <c r="C28" s="12">
        <v>12</v>
      </c>
      <c r="D28" s="10">
        <v>9</v>
      </c>
      <c r="E28" s="9">
        <f t="shared" si="0"/>
        <v>75</v>
      </c>
      <c r="F28" s="9">
        <f t="shared" si="1"/>
        <v>-3</v>
      </c>
    </row>
    <row r="29" spans="1:6" s="15" customFormat="1" ht="29.25">
      <c r="A29" s="68">
        <v>1130000000</v>
      </c>
      <c r="B29" s="69" t="s">
        <v>128</v>
      </c>
      <c r="C29" s="5">
        <f>C30</f>
        <v>70</v>
      </c>
      <c r="D29" s="5">
        <f>D30</f>
        <v>84.393649999999994</v>
      </c>
      <c r="E29" s="5">
        <f t="shared" si="0"/>
        <v>120.56235714285712</v>
      </c>
      <c r="F29" s="5">
        <f t="shared" si="1"/>
        <v>14.393649999999994</v>
      </c>
    </row>
    <row r="30" spans="1:6" ht="15.75" customHeight="1">
      <c r="A30" s="7">
        <v>1130206005</v>
      </c>
      <c r="B30" s="8" t="s">
        <v>204</v>
      </c>
      <c r="C30" s="9">
        <v>70</v>
      </c>
      <c r="D30" s="10">
        <v>84.393649999999994</v>
      </c>
      <c r="E30" s="9">
        <f t="shared" si="0"/>
        <v>120.56235714285712</v>
      </c>
      <c r="F30" s="9">
        <f t="shared" si="1"/>
        <v>14.393649999999994</v>
      </c>
    </row>
    <row r="31" spans="1:6" ht="1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hidden="1" customHeight="1">
      <c r="A32" s="16">
        <v>1140200000</v>
      </c>
      <c r="B32" s="18" t="s">
        <v>202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4.25" hidden="1" customHeight="1">
      <c r="A33" s="7">
        <v>1140600000</v>
      </c>
      <c r="B33" s="8" t="s">
        <v>203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225</v>
      </c>
      <c r="C34" s="5">
        <f>C35</f>
        <v>0</v>
      </c>
      <c r="D34" s="5">
        <f>D35</f>
        <v>20.872350000000001</v>
      </c>
      <c r="E34" s="5" t="e">
        <f>SUM(D34/C34*100)</f>
        <v>#DIV/0!</v>
      </c>
      <c r="F34" s="5">
        <f>SUM(D34-C34)</f>
        <v>20.872350000000001</v>
      </c>
    </row>
    <row r="35" spans="1:7" ht="17.25" customHeight="1">
      <c r="A35" s="7">
        <v>1160701000</v>
      </c>
      <c r="B35" s="8" t="s">
        <v>395</v>
      </c>
      <c r="C35" s="9">
        <v>0</v>
      </c>
      <c r="D35" s="10">
        <v>20.872350000000001</v>
      </c>
      <c r="E35" s="9" t="e">
        <f>SUM(D35/C35*100)</f>
        <v>#DIV/0!</v>
      </c>
      <c r="F35" s="9">
        <f>SUM(D35-C35)</f>
        <v>20.872350000000001</v>
      </c>
    </row>
    <row r="36" spans="1:7" ht="16.5" customHeight="1">
      <c r="A36" s="3">
        <v>1170000000</v>
      </c>
      <c r="B36" s="13" t="s">
        <v>132</v>
      </c>
      <c r="C36" s="5">
        <f>C37+C38</f>
        <v>0</v>
      </c>
      <c r="D36" s="5">
        <f>D37</f>
        <v>0</v>
      </c>
      <c r="E36" s="5" t="e">
        <f t="shared" si="0"/>
        <v>#DIV/0!</v>
      </c>
      <c r="F36" s="5">
        <f t="shared" si="1"/>
        <v>0</v>
      </c>
    </row>
    <row r="37" spans="1:7" ht="19.5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7.25" hidden="1" customHeight="1">
      <c r="A38" s="7">
        <v>1170505005</v>
      </c>
      <c r="B38" s="11" t="s">
        <v>201</v>
      </c>
      <c r="C38" s="203">
        <v>0</v>
      </c>
      <c r="D38" s="204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207">
        <f>SUM(C4,C25)</f>
        <v>5020.0625799999998</v>
      </c>
      <c r="D39" s="207">
        <f>D4+D25</f>
        <v>6032.8603700000012</v>
      </c>
      <c r="E39" s="5">
        <f t="shared" si="0"/>
        <v>120.17500327655281</v>
      </c>
      <c r="F39" s="5">
        <f t="shared" si="1"/>
        <v>1012.7977900000014</v>
      </c>
    </row>
    <row r="40" spans="1:7" s="6" customFormat="1">
      <c r="A40" s="3">
        <v>2000000000</v>
      </c>
      <c r="B40" s="4" t="s">
        <v>17</v>
      </c>
      <c r="C40" s="182">
        <f>C41+C43+C45+C46+C47+C48+C42+C44</f>
        <v>5211.8250000000007</v>
      </c>
      <c r="D40" s="182">
        <f>D41+D43+D45+D46+D47+D48+D42+D44</f>
        <v>5187.1900000000005</v>
      </c>
      <c r="E40" s="5">
        <f t="shared" si="0"/>
        <v>99.527324881399508</v>
      </c>
      <c r="F40" s="5">
        <f t="shared" si="1"/>
        <v>-24.635000000000218</v>
      </c>
      <c r="G40" s="19"/>
    </row>
    <row r="41" spans="1:7">
      <c r="A41" s="16">
        <v>2021000000</v>
      </c>
      <c r="B41" s="17" t="s">
        <v>18</v>
      </c>
      <c r="C41" s="208">
        <v>1196.5999999999999</v>
      </c>
      <c r="D41" s="209">
        <v>1196.5999999999999</v>
      </c>
      <c r="E41" s="9">
        <f t="shared" si="0"/>
        <v>100</v>
      </c>
      <c r="F41" s="9">
        <f t="shared" si="1"/>
        <v>0</v>
      </c>
    </row>
    <row r="42" spans="1:7" ht="17.25" customHeight="1">
      <c r="A42" s="16">
        <v>2021500200</v>
      </c>
      <c r="B42" s="17" t="s">
        <v>212</v>
      </c>
      <c r="C42" s="208">
        <v>0</v>
      </c>
      <c r="D42" s="209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19</v>
      </c>
      <c r="C43" s="208">
        <v>2518.0990000000002</v>
      </c>
      <c r="D43" s="204">
        <v>2493.4639999999999</v>
      </c>
      <c r="E43" s="9">
        <f t="shared" si="0"/>
        <v>99.021682626457491</v>
      </c>
      <c r="F43" s="9">
        <f t="shared" si="1"/>
        <v>-24.635000000000218</v>
      </c>
    </row>
    <row r="44" spans="1:7" ht="18" hidden="1" customHeight="1">
      <c r="A44" s="16">
        <v>2022999910</v>
      </c>
      <c r="B44" s="18" t="s">
        <v>312</v>
      </c>
      <c r="C44" s="421">
        <v>0</v>
      </c>
      <c r="D44" s="422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20</v>
      </c>
      <c r="C45" s="205">
        <v>198.36600000000001</v>
      </c>
      <c r="D45" s="210">
        <v>198.36600000000001</v>
      </c>
      <c r="E45" s="9">
        <f t="shared" si="0"/>
        <v>100</v>
      </c>
      <c r="F45" s="9">
        <f t="shared" si="1"/>
        <v>0</v>
      </c>
    </row>
    <row r="46" spans="1:7" ht="15.75" customHeight="1">
      <c r="A46" s="16">
        <v>2020400000</v>
      </c>
      <c r="B46" s="17" t="s">
        <v>21</v>
      </c>
      <c r="C46" s="205">
        <v>1200</v>
      </c>
      <c r="D46" s="211">
        <v>1200</v>
      </c>
      <c r="E46" s="9">
        <f t="shared" si="0"/>
        <v>100</v>
      </c>
      <c r="F46" s="9">
        <f t="shared" si="1"/>
        <v>0</v>
      </c>
    </row>
    <row r="47" spans="1:7" ht="22.5" customHeight="1">
      <c r="A47" s="7">
        <v>2070500010</v>
      </c>
      <c r="B47" s="17"/>
      <c r="C47" s="205">
        <v>98.76</v>
      </c>
      <c r="D47" s="211">
        <v>98.76</v>
      </c>
      <c r="E47" s="9">
        <f t="shared" si="0"/>
        <v>100</v>
      </c>
      <c r="F47" s="9">
        <f t="shared" si="1"/>
        <v>0</v>
      </c>
    </row>
    <row r="48" spans="1:7" ht="19.5" hidden="1" customHeight="1">
      <c r="A48" s="7">
        <v>2190500005</v>
      </c>
      <c r="B48" s="11" t="s">
        <v>23</v>
      </c>
      <c r="C48" s="206"/>
      <c r="D48" s="206"/>
      <c r="E48" s="5"/>
      <c r="F48" s="5">
        <f>SUM(D48-C48)</f>
        <v>0</v>
      </c>
    </row>
    <row r="49" spans="1:8" s="6" customFormat="1" ht="19.5" customHeight="1">
      <c r="A49" s="3">
        <v>3000000000</v>
      </c>
      <c r="B49" s="13" t="s">
        <v>24</v>
      </c>
      <c r="C49" s="212">
        <v>0</v>
      </c>
      <c r="D49" s="206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25</v>
      </c>
      <c r="C50" s="435">
        <f>C39+C40</f>
        <v>10231.887580000001</v>
      </c>
      <c r="D50" s="446">
        <f>D39+D40</f>
        <v>11220.050370000001</v>
      </c>
      <c r="E50" s="182">
        <f t="shared" si="0"/>
        <v>109.6576783342649</v>
      </c>
      <c r="F50" s="90">
        <f t="shared" si="1"/>
        <v>988.16279000000031</v>
      </c>
      <c r="G50" s="139"/>
      <c r="H50" s="188"/>
    </row>
    <row r="51" spans="1:8" s="6" customFormat="1">
      <c r="A51" s="3"/>
      <c r="B51" s="21" t="s">
        <v>290</v>
      </c>
      <c r="C51" s="90">
        <f>C50-C97</f>
        <v>-393.77011999999922</v>
      </c>
      <c r="D51" s="90">
        <f>D50-D97</f>
        <v>1012.8596400000006</v>
      </c>
      <c r="E51" s="32"/>
      <c r="F51" s="32"/>
    </row>
    <row r="52" spans="1:8">
      <c r="A52" s="23"/>
      <c r="B52" s="24"/>
      <c r="C52" s="200"/>
      <c r="D52" s="200"/>
      <c r="E52" s="26"/>
      <c r="F52" s="27"/>
    </row>
    <row r="53" spans="1:8" ht="45.75" customHeight="1">
      <c r="A53" s="28" t="s">
        <v>0</v>
      </c>
      <c r="B53" s="28" t="s">
        <v>26</v>
      </c>
      <c r="C53" s="167" t="s">
        <v>382</v>
      </c>
      <c r="D53" s="168" t="s">
        <v>403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5">
        <v>3</v>
      </c>
      <c r="D54" s="85">
        <v>4</v>
      </c>
      <c r="E54" s="85">
        <v>5</v>
      </c>
      <c r="F54" s="85">
        <v>6</v>
      </c>
    </row>
    <row r="55" spans="1:8" s="6" customFormat="1" ht="29.25" customHeight="1">
      <c r="A55" s="30" t="s">
        <v>27</v>
      </c>
      <c r="B55" s="31" t="s">
        <v>28</v>
      </c>
      <c r="C55" s="32">
        <f>C56+C57+C58+C59+C60+C62+C61</f>
        <v>1700.4994999999999</v>
      </c>
      <c r="D55" s="32">
        <f>D56+D57+D58+D59+D60+D62+D61</f>
        <v>1682.14878</v>
      </c>
      <c r="E55" s="34">
        <f>SUM(D55/C55*100)</f>
        <v>98.920862958207294</v>
      </c>
      <c r="F55" s="34">
        <f>SUM(D55-C55)</f>
        <v>-18.35071999999991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8"/>
      <c r="F56" s="38"/>
    </row>
    <row r="57" spans="1:8" ht="15.75" customHeight="1">
      <c r="A57" s="35" t="s">
        <v>31</v>
      </c>
      <c r="B57" s="39" t="s">
        <v>32</v>
      </c>
      <c r="C57" s="37">
        <v>1643.0654999999999</v>
      </c>
      <c r="D57" s="37">
        <v>1637.14878</v>
      </c>
      <c r="E57" s="38">
        <f t="shared" ref="E57:E69" si="3">SUM(D57/C57*100)</f>
        <v>99.639897496478383</v>
      </c>
      <c r="F57" s="38">
        <f t="shared" ref="F57:F69" si="4">SUM(D57-C57)</f>
        <v>-5.9167199999999411</v>
      </c>
    </row>
    <row r="58" spans="1:8" ht="0.75" hidden="1" customHeight="1">
      <c r="A58" s="35" t="s">
        <v>33</v>
      </c>
      <c r="B58" s="39" t="s">
        <v>34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8" customHeight="1">
      <c r="A60" s="35" t="s">
        <v>37</v>
      </c>
      <c r="B60" s="39" t="s">
        <v>38</v>
      </c>
      <c r="C60" s="37">
        <v>44</v>
      </c>
      <c r="D60" s="37">
        <v>44</v>
      </c>
      <c r="E60" s="38">
        <f t="shared" si="3"/>
        <v>100</v>
      </c>
      <c r="F60" s="38">
        <f t="shared" si="4"/>
        <v>0</v>
      </c>
    </row>
    <row r="61" spans="1:8" ht="17.25" customHeight="1">
      <c r="A61" s="35" t="s">
        <v>39</v>
      </c>
      <c r="B61" s="39" t="s">
        <v>40</v>
      </c>
      <c r="C61" s="37">
        <v>5</v>
      </c>
      <c r="D61" s="32">
        <v>0</v>
      </c>
      <c r="E61" s="38">
        <f t="shared" si="3"/>
        <v>0</v>
      </c>
      <c r="F61" s="38">
        <f t="shared" si="4"/>
        <v>-5</v>
      </c>
    </row>
    <row r="62" spans="1:8" ht="15" customHeight="1">
      <c r="A62" s="35" t="s">
        <v>41</v>
      </c>
      <c r="B62" s="39" t="s">
        <v>42</v>
      </c>
      <c r="C62" s="37">
        <v>8.4339999999999993</v>
      </c>
      <c r="D62" s="37">
        <v>1</v>
      </c>
      <c r="E62" s="38">
        <f t="shared" si="3"/>
        <v>11.856770215793219</v>
      </c>
      <c r="F62" s="38">
        <f t="shared" si="4"/>
        <v>-7.4339999999999993</v>
      </c>
    </row>
    <row r="63" spans="1:8" s="6" customFormat="1">
      <c r="A63" s="41" t="s">
        <v>43</v>
      </c>
      <c r="B63" s="42" t="s">
        <v>44</v>
      </c>
      <c r="C63" s="32">
        <f>C64</f>
        <v>198.36600000000001</v>
      </c>
      <c r="D63" s="32">
        <f>D64</f>
        <v>198.36600000000001</v>
      </c>
      <c r="E63" s="34">
        <f t="shared" si="3"/>
        <v>100</v>
      </c>
      <c r="F63" s="34">
        <f t="shared" si="4"/>
        <v>0</v>
      </c>
    </row>
    <row r="64" spans="1:8">
      <c r="A64" s="43" t="s">
        <v>45</v>
      </c>
      <c r="B64" s="44" t="s">
        <v>46</v>
      </c>
      <c r="C64" s="37">
        <v>198.36600000000001</v>
      </c>
      <c r="D64" s="37">
        <v>198.36600000000001</v>
      </c>
      <c r="E64" s="38">
        <f t="shared" si="3"/>
        <v>100</v>
      </c>
      <c r="F64" s="38">
        <f t="shared" si="4"/>
        <v>0</v>
      </c>
    </row>
    <row r="65" spans="1:7" s="6" customFormat="1" ht="15.75" customHeight="1">
      <c r="A65" s="30" t="s">
        <v>47</v>
      </c>
      <c r="B65" s="31" t="s">
        <v>48</v>
      </c>
      <c r="C65" s="32">
        <f>C68+C69+C70</f>
        <v>7.2696000000000005</v>
      </c>
      <c r="D65" s="32">
        <f>SUM(D68+D69+D70)</f>
        <v>7.2696000000000005</v>
      </c>
      <c r="E65" s="34">
        <f t="shared" si="3"/>
        <v>100</v>
      </c>
      <c r="F65" s="34">
        <f t="shared" si="4"/>
        <v>0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53</v>
      </c>
      <c r="B68" s="47" t="s">
        <v>54</v>
      </c>
      <c r="C68" s="37">
        <v>2.8696000000000002</v>
      </c>
      <c r="D68" s="37">
        <v>2.8696000000000002</v>
      </c>
      <c r="E68" s="34">
        <f t="shared" si="3"/>
        <v>100</v>
      </c>
      <c r="F68" s="34">
        <f t="shared" si="4"/>
        <v>0</v>
      </c>
    </row>
    <row r="69" spans="1:7" s="6" customFormat="1" ht="15.75" customHeight="1">
      <c r="A69" s="46" t="s">
        <v>199</v>
      </c>
      <c r="B69" s="47" t="s">
        <v>200</v>
      </c>
      <c r="C69" s="37">
        <v>2.4</v>
      </c>
      <c r="D69" s="37">
        <v>2.4</v>
      </c>
      <c r="E69" s="38">
        <f t="shared" si="3"/>
        <v>100</v>
      </c>
      <c r="F69" s="38">
        <f t="shared" si="4"/>
        <v>0</v>
      </c>
    </row>
    <row r="70" spans="1:7" s="6" customFormat="1" ht="15.75" customHeight="1">
      <c r="A70" s="46" t="s">
        <v>320</v>
      </c>
      <c r="B70" s="47" t="s">
        <v>374</v>
      </c>
      <c r="C70" s="37">
        <v>2</v>
      </c>
      <c r="D70" s="37">
        <v>2</v>
      </c>
      <c r="E70" s="38">
        <f>SUM(D70/C70*100)</f>
        <v>100</v>
      </c>
      <c r="F70" s="38">
        <f>SUM(D70-C70)</f>
        <v>0</v>
      </c>
    </row>
    <row r="71" spans="1:7">
      <c r="A71" s="30" t="s">
        <v>55</v>
      </c>
      <c r="B71" s="31" t="s">
        <v>56</v>
      </c>
      <c r="C71" s="48">
        <f>SUM(C72:C75)</f>
        <v>3142.2662999999998</v>
      </c>
      <c r="D71" s="48">
        <f>SUM(D72:D75)</f>
        <v>2915.82089</v>
      </c>
      <c r="E71" s="34">
        <f t="shared" ref="E71:E86" si="5">SUM(D71/C71*100)</f>
        <v>92.793563995514958</v>
      </c>
      <c r="F71" s="34">
        <f t="shared" ref="F71:F86" si="6">SUM(D71-C71)</f>
        <v>-226.44540999999981</v>
      </c>
    </row>
    <row r="72" spans="1:7" s="6" customFormat="1" ht="15.75" customHeight="1">
      <c r="A72" s="35" t="s">
        <v>57</v>
      </c>
      <c r="B72" s="39" t="s">
        <v>58</v>
      </c>
      <c r="C72" s="49"/>
      <c r="D72" s="37">
        <v>0</v>
      </c>
      <c r="E72" s="38" t="e">
        <f t="shared" si="5"/>
        <v>#DIV/0!</v>
      </c>
      <c r="F72" s="38">
        <f t="shared" si="6"/>
        <v>0</v>
      </c>
      <c r="G72" s="50"/>
    </row>
    <row r="73" spans="1:7" hidden="1">
      <c r="A73" s="35" t="s">
        <v>59</v>
      </c>
      <c r="B73" s="39" t="s">
        <v>60</v>
      </c>
      <c r="C73" s="49">
        <v>0</v>
      </c>
      <c r="D73" s="37">
        <v>0</v>
      </c>
      <c r="E73" s="38" t="e">
        <f t="shared" si="5"/>
        <v>#DIV/0!</v>
      </c>
      <c r="F73" s="38">
        <f t="shared" si="6"/>
        <v>0</v>
      </c>
    </row>
    <row r="74" spans="1:7">
      <c r="A74" s="35" t="s">
        <v>61</v>
      </c>
      <c r="B74" s="39" t="s">
        <v>62</v>
      </c>
      <c r="C74" s="49">
        <v>3092.2662999999998</v>
      </c>
      <c r="D74" s="37">
        <v>2879.32089</v>
      </c>
      <c r="E74" s="38">
        <f t="shared" si="5"/>
        <v>93.113613468542482</v>
      </c>
      <c r="F74" s="38">
        <f t="shared" si="6"/>
        <v>-212.94540999999981</v>
      </c>
    </row>
    <row r="75" spans="1:7" s="6" customFormat="1">
      <c r="A75" s="35" t="s">
        <v>63</v>
      </c>
      <c r="B75" s="39" t="s">
        <v>64</v>
      </c>
      <c r="C75" s="49">
        <v>50</v>
      </c>
      <c r="D75" s="37">
        <v>36.5</v>
      </c>
      <c r="E75" s="38">
        <f t="shared" si="5"/>
        <v>73</v>
      </c>
      <c r="F75" s="38">
        <f t="shared" si="6"/>
        <v>-13.5</v>
      </c>
    </row>
    <row r="76" spans="1:7" ht="17.25" customHeight="1">
      <c r="A76" s="30" t="s">
        <v>65</v>
      </c>
      <c r="B76" s="31" t="s">
        <v>66</v>
      </c>
      <c r="C76" s="32">
        <f>SUM(C77:C79)</f>
        <v>3722.0562999999997</v>
      </c>
      <c r="D76" s="32">
        <f>SUM(D77:D79)</f>
        <v>3548.38546</v>
      </c>
      <c r="E76" s="34">
        <f t="shared" si="5"/>
        <v>95.334008247000455</v>
      </c>
      <c r="F76" s="34">
        <f t="shared" si="6"/>
        <v>-173.67083999999977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7.25" customHeight="1">
      <c r="A78" s="35" t="s">
        <v>69</v>
      </c>
      <c r="B78" s="51" t="s">
        <v>70</v>
      </c>
      <c r="C78" s="37">
        <v>399.07499999999999</v>
      </c>
      <c r="D78" s="37">
        <v>371.18585999999999</v>
      </c>
      <c r="E78" s="38">
        <f t="shared" si="5"/>
        <v>93.011554219131739</v>
      </c>
      <c r="F78" s="38">
        <f t="shared" si="6"/>
        <v>-27.889139999999998</v>
      </c>
    </row>
    <row r="79" spans="1:7" s="6" customFormat="1">
      <c r="A79" s="35" t="s">
        <v>71</v>
      </c>
      <c r="B79" s="39" t="s">
        <v>72</v>
      </c>
      <c r="C79" s="37">
        <v>3322.9812999999999</v>
      </c>
      <c r="D79" s="37">
        <v>3177.1995999999999</v>
      </c>
      <c r="E79" s="38">
        <f t="shared" si="5"/>
        <v>95.612924454314566</v>
      </c>
      <c r="F79" s="38">
        <f t="shared" si="6"/>
        <v>-145.7817</v>
      </c>
    </row>
    <row r="80" spans="1:7">
      <c r="A80" s="30" t="s">
        <v>83</v>
      </c>
      <c r="B80" s="31" t="s">
        <v>84</v>
      </c>
      <c r="C80" s="32">
        <f>C81</f>
        <v>1855.2</v>
      </c>
      <c r="D80" s="32">
        <f>D81</f>
        <v>1855.2</v>
      </c>
      <c r="E80" s="34">
        <f t="shared" si="5"/>
        <v>100</v>
      </c>
      <c r="F80" s="34">
        <f t="shared" si="6"/>
        <v>0</v>
      </c>
    </row>
    <row r="81" spans="1:6" s="6" customFormat="1" ht="15" customHeight="1">
      <c r="A81" s="35" t="s">
        <v>85</v>
      </c>
      <c r="B81" s="39" t="s">
        <v>214</v>
      </c>
      <c r="C81" s="37">
        <v>1855.2</v>
      </c>
      <c r="D81" s="37">
        <v>1855.2</v>
      </c>
      <c r="E81" s="38">
        <f t="shared" si="5"/>
        <v>100</v>
      </c>
      <c r="F81" s="38">
        <f t="shared" si="6"/>
        <v>0</v>
      </c>
    </row>
    <row r="82" spans="1:6" ht="20.2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87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89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hidden="1" customHeight="1">
      <c r="A86" s="35" t="s">
        <v>90</v>
      </c>
      <c r="B86" s="39" t="s">
        <v>91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92</v>
      </c>
      <c r="B87" s="31" t="s">
        <v>93</v>
      </c>
      <c r="C87" s="32">
        <f>C88+C89+C90+C91+C92</f>
        <v>0</v>
      </c>
      <c r="D87" s="32">
        <f>D88+D89+D90+D91+D92</f>
        <v>0</v>
      </c>
      <c r="E87" s="38" t="e">
        <f t="shared" ref="E87:E97" si="7">SUM(D87/C87*100)</f>
        <v>#DIV/0!</v>
      </c>
      <c r="F87" s="22">
        <f>F88+F89+F90+F91+F92</f>
        <v>0</v>
      </c>
    </row>
    <row r="88" spans="1:6" ht="15.75" customHeight="1">
      <c r="A88" s="35" t="s">
        <v>94</v>
      </c>
      <c r="B88" s="39" t="s">
        <v>95</v>
      </c>
      <c r="C88" s="37"/>
      <c r="D88" s="37">
        <v>0</v>
      </c>
      <c r="E88" s="38" t="e">
        <f t="shared" si="7"/>
        <v>#DIV/0!</v>
      </c>
      <c r="F88" s="38">
        <f>SUM(D88-C88)</f>
        <v>0</v>
      </c>
    </row>
    <row r="89" spans="1:6" ht="15" hidden="1" customHeight="1">
      <c r="A89" s="35" t="s">
        <v>96</v>
      </c>
      <c r="B89" s="39" t="s">
        <v>97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98</v>
      </c>
      <c r="B90" s="39" t="s">
        <v>99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100</v>
      </c>
      <c r="B91" s="39" t="s">
        <v>101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102</v>
      </c>
      <c r="B92" s="39" t="s">
        <v>103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113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114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115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116</v>
      </c>
      <c r="C97" s="435">
        <f>C55+C63+C65+C71+C76+C80+C82+C87+C93</f>
        <v>10625.6577</v>
      </c>
      <c r="D97" s="435">
        <f>D55+D63+D65+D71+D76+D80+D82+D87+D93</f>
        <v>10207.19073</v>
      </c>
      <c r="E97" s="34">
        <f t="shared" si="7"/>
        <v>96.061731124653122</v>
      </c>
      <c r="F97" s="34">
        <f>SUM(D97-C97)</f>
        <v>-418.46696999999949</v>
      </c>
    </row>
    <row r="98" spans="1:6" s="65" customFormat="1" ht="22.5" customHeight="1">
      <c r="A98" s="63" t="s">
        <v>117</v>
      </c>
      <c r="B98" s="63"/>
      <c r="C98" s="173"/>
      <c r="D98" s="173"/>
    </row>
    <row r="99" spans="1:6" ht="16.5" customHeight="1">
      <c r="A99" s="66" t="s">
        <v>118</v>
      </c>
      <c r="B99" s="66"/>
      <c r="C99" s="173" t="s">
        <v>119</v>
      </c>
      <c r="D99" s="173"/>
      <c r="E99" s="65"/>
      <c r="F99" s="65"/>
    </row>
    <row r="100" spans="1:6" ht="20.25" customHeight="1">
      <c r="C100" s="116"/>
    </row>
    <row r="101" spans="1:6" ht="13.5" customHeight="1"/>
    <row r="102" spans="1:6" ht="5.25" customHeight="1"/>
    <row r="142" hidden="1"/>
  </sheetData>
  <customSheetViews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1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2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3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5"/>
    </customSheetView>
    <customSheetView guid="{B31C8DB7-3E78-4144-A6B5-8DE36DE63F0E}" hiddenRows="1" topLeftCell="A15">
      <selection activeCell="D31" sqref="D31"/>
      <pageMargins left="0.7" right="0.7" top="0.75" bottom="0.75" header="0.3" footer="0.3"/>
      <pageSetup paperSize="9" scale="54" orientation="portrait" r:id="rId6"/>
    </customSheetView>
    <customSheetView guid="{B30CE22D-C12F-4E12-8BB9-3AAE0A6991CC}" scale="70" showPageBreaks="1" hiddenRows="1" view="pageBreakPreview" topLeftCell="A36">
      <selection activeCell="C97" activeCellId="1" sqref="C51:D51 C97:D97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1718F1EE-9F48-4DBE-9531-3B70F9C4A5DD}" scale="70" showPageBreaks="1" hiddenRows="1" view="pageBreakPreview" topLeftCell="A34">
      <selection activeCell="C88" sqref="C88"/>
      <pageMargins left="0.7" right="0.7" top="0.75" bottom="0.75" header="0.3" footer="0.3"/>
      <pageSetup paperSize="9" scale="42" orientation="portrait" r:id="rId8"/>
    </customSheetView>
    <customSheetView guid="{61528DAC-5C4C-48F4-ADE2-8A724B05A086}" scale="70" showPageBreaks="1" hiddenRows="1" view="pageBreakPreview">
      <selection activeCell="A2" sqref="A2:F2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43"/>
  <sheetViews>
    <sheetView view="pageBreakPreview" topLeftCell="A37" zoomScale="70" zoomScaleSheetLayoutView="70" workbookViewId="0">
      <selection activeCell="C83" sqref="C83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43" t="s">
        <v>416</v>
      </c>
      <c r="B1" s="543"/>
      <c r="C1" s="543"/>
      <c r="D1" s="543"/>
      <c r="E1" s="543"/>
      <c r="F1" s="543"/>
    </row>
    <row r="2" spans="1:6">
      <c r="A2" s="543"/>
      <c r="B2" s="543"/>
      <c r="C2" s="543"/>
      <c r="D2" s="543"/>
      <c r="E2" s="543"/>
      <c r="F2" s="543"/>
    </row>
    <row r="3" spans="1:6" ht="63">
      <c r="A3" s="2" t="s">
        <v>0</v>
      </c>
      <c r="B3" s="2" t="s">
        <v>1</v>
      </c>
      <c r="C3" s="72" t="s">
        <v>382</v>
      </c>
      <c r="D3" s="73" t="s">
        <v>403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4882.71</v>
      </c>
      <c r="D4" s="5">
        <f>D5+D12+D14+D7+D20+D17</f>
        <v>5213.924210000001</v>
      </c>
      <c r="E4" s="5">
        <f>SUM(D4/C4*100)</f>
        <v>106.78340941813052</v>
      </c>
      <c r="F4" s="5">
        <f>SUM(D4-C4)</f>
        <v>331.214210000001</v>
      </c>
    </row>
    <row r="5" spans="1:6" s="6" customFormat="1">
      <c r="A5" s="68">
        <v>1010000000</v>
      </c>
      <c r="B5" s="67" t="s">
        <v>5</v>
      </c>
      <c r="C5" s="5">
        <f>C6</f>
        <v>1917</v>
      </c>
      <c r="D5" s="5">
        <f>D6</f>
        <v>2100.7537600000001</v>
      </c>
      <c r="E5" s="5">
        <f t="shared" ref="E5:E52" si="0">SUM(D5/C5*100)</f>
        <v>109.58548565466874</v>
      </c>
      <c r="F5" s="5">
        <f t="shared" ref="F5:F52" si="1">SUM(D5-C5)</f>
        <v>183.75376000000006</v>
      </c>
    </row>
    <row r="6" spans="1:6">
      <c r="A6" s="7">
        <v>1010200001</v>
      </c>
      <c r="B6" s="8" t="s">
        <v>209</v>
      </c>
      <c r="C6" s="88">
        <v>1917</v>
      </c>
      <c r="D6" s="10">
        <v>2100.7537600000001</v>
      </c>
      <c r="E6" s="9">
        <f t="shared" ref="E6:E11" si="2">SUM(D6/C6*100)</f>
        <v>109.58548565466874</v>
      </c>
      <c r="F6" s="9">
        <f t="shared" si="1"/>
        <v>183.75376000000006</v>
      </c>
    </row>
    <row r="7" spans="1:6">
      <c r="A7" s="3">
        <v>1030200001</v>
      </c>
      <c r="B7" s="13" t="s">
        <v>248</v>
      </c>
      <c r="C7" s="5">
        <f>C8+C10+C9</f>
        <v>411.71</v>
      </c>
      <c r="D7" s="5">
        <f>D8+D9+D10+D11</f>
        <v>390.96974</v>
      </c>
      <c r="E7" s="9">
        <f t="shared" si="2"/>
        <v>94.962410434529161</v>
      </c>
      <c r="F7" s="9">
        <f t="shared" si="1"/>
        <v>-20.740259999999978</v>
      </c>
    </row>
    <row r="8" spans="1:6">
      <c r="A8" s="7">
        <v>1030223001</v>
      </c>
      <c r="B8" s="8" t="s">
        <v>252</v>
      </c>
      <c r="C8" s="9">
        <v>153.57</v>
      </c>
      <c r="D8" s="10">
        <v>180.33004</v>
      </c>
      <c r="E8" s="9">
        <f t="shared" si="2"/>
        <v>117.42530442143648</v>
      </c>
      <c r="F8" s="9">
        <f t="shared" si="1"/>
        <v>26.760040000000004</v>
      </c>
    </row>
    <row r="9" spans="1:6">
      <c r="A9" s="7">
        <v>1030224001</v>
      </c>
      <c r="B9" s="8" t="s">
        <v>258</v>
      </c>
      <c r="C9" s="9">
        <v>1.64</v>
      </c>
      <c r="D9" s="10">
        <v>1.28986</v>
      </c>
      <c r="E9" s="9">
        <f t="shared" si="2"/>
        <v>78.650000000000006</v>
      </c>
      <c r="F9" s="9">
        <f t="shared" si="1"/>
        <v>-0.3501399999999999</v>
      </c>
    </row>
    <row r="10" spans="1:6">
      <c r="A10" s="7">
        <v>1030225001</v>
      </c>
      <c r="B10" s="8" t="s">
        <v>251</v>
      </c>
      <c r="C10" s="9">
        <v>256.5</v>
      </c>
      <c r="D10" s="10">
        <v>242.59447</v>
      </c>
      <c r="E10" s="9">
        <f t="shared" si="2"/>
        <v>94.578740740740741</v>
      </c>
      <c r="F10" s="9">
        <f t="shared" si="1"/>
        <v>-13.905529999999999</v>
      </c>
    </row>
    <row r="11" spans="1:6">
      <c r="A11" s="7">
        <v>1030226001</v>
      </c>
      <c r="B11" s="8" t="s">
        <v>260</v>
      </c>
      <c r="C11" s="9">
        <v>0</v>
      </c>
      <c r="D11" s="10">
        <v>-33.244630000000001</v>
      </c>
      <c r="E11" s="9" t="e">
        <f t="shared" si="2"/>
        <v>#DIV/0!</v>
      </c>
      <c r="F11" s="9">
        <f t="shared" si="1"/>
        <v>-33.244630000000001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75</v>
      </c>
      <c r="D12" s="5">
        <f>SUM(D13:D13)</f>
        <v>68.146619999999999</v>
      </c>
      <c r="E12" s="5">
        <f t="shared" si="0"/>
        <v>90.862160000000003</v>
      </c>
      <c r="F12" s="5">
        <f t="shared" si="1"/>
        <v>-6.8533800000000014</v>
      </c>
    </row>
    <row r="13" spans="1:6" ht="15.75" customHeight="1">
      <c r="A13" s="7">
        <v>1050300000</v>
      </c>
      <c r="B13" s="11" t="s">
        <v>210</v>
      </c>
      <c r="C13" s="12">
        <v>75</v>
      </c>
      <c r="D13" s="10">
        <v>68.146619999999999</v>
      </c>
      <c r="E13" s="9">
        <f t="shared" si="0"/>
        <v>90.862160000000003</v>
      </c>
      <c r="F13" s="9">
        <f t="shared" si="1"/>
        <v>-6.8533800000000014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2479</v>
      </c>
      <c r="D14" s="5">
        <f>D15+D16</f>
        <v>2654.0540900000001</v>
      </c>
      <c r="E14" s="5">
        <f t="shared" si="0"/>
        <v>107.06148003227108</v>
      </c>
      <c r="F14" s="5">
        <f t="shared" si="1"/>
        <v>175.05409000000009</v>
      </c>
    </row>
    <row r="15" spans="1:6" s="6" customFormat="1" ht="15" customHeight="1">
      <c r="A15" s="7">
        <v>1060100000</v>
      </c>
      <c r="B15" s="11" t="s">
        <v>227</v>
      </c>
      <c r="C15" s="9">
        <v>980</v>
      </c>
      <c r="D15" s="10">
        <v>965.31120999999996</v>
      </c>
      <c r="E15" s="9">
        <f t="shared" si="0"/>
        <v>98.501143877551016</v>
      </c>
      <c r="F15" s="9">
        <f>SUM(D15-C15)</f>
        <v>-14.68879000000004</v>
      </c>
    </row>
    <row r="16" spans="1:6" ht="17.25" customHeight="1">
      <c r="A16" s="7">
        <v>1060600000</v>
      </c>
      <c r="B16" s="11" t="s">
        <v>7</v>
      </c>
      <c r="C16" s="9">
        <v>1499</v>
      </c>
      <c r="D16" s="10">
        <v>1688.74288</v>
      </c>
      <c r="E16" s="9">
        <f t="shared" si="0"/>
        <v>112.657963975984</v>
      </c>
      <c r="F16" s="9">
        <f t="shared" si="1"/>
        <v>189.74288000000001</v>
      </c>
    </row>
    <row r="17" spans="1:6" s="6" customFormat="1" ht="0.75" hidden="1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208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213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125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C26+C29+C31+C34+C37</f>
        <v>40</v>
      </c>
      <c r="D25" s="5">
        <f>D26+D29+D31+D34+D37</f>
        <v>212.79981000000001</v>
      </c>
      <c r="E25" s="5">
        <f t="shared" si="0"/>
        <v>531.99952499999995</v>
      </c>
      <c r="F25" s="5">
        <f t="shared" si="1"/>
        <v>172.79981000000001</v>
      </c>
    </row>
    <row r="26" spans="1:6" s="6" customFormat="1" ht="32.25" customHeight="1">
      <c r="A26" s="68">
        <v>1110000000</v>
      </c>
      <c r="B26" s="69" t="s">
        <v>126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hidden="1" customHeight="1">
      <c r="A27" s="16">
        <v>1110502501</v>
      </c>
      <c r="B27" s="17" t="s">
        <v>206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205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8" customHeight="1">
      <c r="A30" s="7">
        <v>1130206005</v>
      </c>
      <c r="B30" s="8" t="s">
        <v>204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1.75" customHeight="1">
      <c r="A31" s="70">
        <v>1140000000</v>
      </c>
      <c r="B31" s="71" t="s">
        <v>129</v>
      </c>
      <c r="C31" s="5">
        <f>C32+C33</f>
        <v>0</v>
      </c>
      <c r="D31" s="5">
        <f>D32+D33</f>
        <v>14.04</v>
      </c>
      <c r="E31" s="5" t="e">
        <f t="shared" si="0"/>
        <v>#DIV/0!</v>
      </c>
      <c r="F31" s="5">
        <f t="shared" si="1"/>
        <v>14.04</v>
      </c>
    </row>
    <row r="32" spans="1:6" ht="15" customHeight="1">
      <c r="A32" s="16">
        <v>1140200000</v>
      </c>
      <c r="B32" s="18" t="s">
        <v>130</v>
      </c>
      <c r="C32" s="9">
        <v>0</v>
      </c>
      <c r="D32" s="10">
        <v>14.04</v>
      </c>
      <c r="E32" s="9" t="e">
        <f t="shared" si="0"/>
        <v>#DIV/0!</v>
      </c>
      <c r="F32" s="9">
        <f t="shared" si="1"/>
        <v>14.04</v>
      </c>
    </row>
    <row r="33" spans="1:7" ht="17.25" customHeight="1">
      <c r="A33" s="7">
        <v>1140600000</v>
      </c>
      <c r="B33" s="8" t="s">
        <v>203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4.25" customHeight="1">
      <c r="A34" s="3">
        <v>1160000000</v>
      </c>
      <c r="B34" s="13" t="s">
        <v>225</v>
      </c>
      <c r="C34" s="5">
        <f>C35</f>
        <v>40</v>
      </c>
      <c r="D34" s="14">
        <f>SUM(D36+D35)</f>
        <v>198.75981000000002</v>
      </c>
      <c r="E34" s="5">
        <f t="shared" si="0"/>
        <v>496.8995250000001</v>
      </c>
      <c r="F34" s="5">
        <f t="shared" si="1"/>
        <v>158.75981000000002</v>
      </c>
    </row>
    <row r="35" spans="1:7" ht="17.25" customHeight="1">
      <c r="A35" s="7">
        <v>11607010000</v>
      </c>
      <c r="B35" s="8" t="s">
        <v>395</v>
      </c>
      <c r="C35" s="9">
        <v>40</v>
      </c>
      <c r="D35" s="10">
        <v>197.75745000000001</v>
      </c>
      <c r="E35" s="9">
        <f t="shared" si="0"/>
        <v>494.39362500000004</v>
      </c>
      <c r="F35" s="9">
        <f t="shared" si="1"/>
        <v>157.75745000000001</v>
      </c>
    </row>
    <row r="36" spans="1:7">
      <c r="A36" s="7">
        <v>11607090000</v>
      </c>
      <c r="B36" s="8" t="s">
        <v>417</v>
      </c>
      <c r="C36" s="9"/>
      <c r="D36" s="10">
        <v>1.0023599999999999</v>
      </c>
      <c r="E36" s="9"/>
      <c r="F36" s="9"/>
    </row>
    <row r="37" spans="1:7" ht="20.25" customHeight="1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5">
        <v>0</v>
      </c>
      <c r="F37" s="5">
        <f t="shared" si="1"/>
        <v>0</v>
      </c>
    </row>
    <row r="38" spans="1:7" ht="15" customHeight="1">
      <c r="A38" s="7">
        <v>1170105005</v>
      </c>
      <c r="B38" s="8" t="s">
        <v>15</v>
      </c>
      <c r="C38" s="9">
        <v>0</v>
      </c>
      <c r="D38" s="9">
        <v>0</v>
      </c>
      <c r="E38" s="9">
        <v>0</v>
      </c>
      <c r="F38" s="9">
        <f t="shared" si="1"/>
        <v>0</v>
      </c>
    </row>
    <row r="39" spans="1:7" ht="15" customHeight="1">
      <c r="A39" s="7">
        <v>1170505005</v>
      </c>
      <c r="B39" s="11" t="s">
        <v>201</v>
      </c>
      <c r="C39" s="9">
        <v>0</v>
      </c>
      <c r="D39" s="10">
        <v>0</v>
      </c>
      <c r="E39" s="9">
        <v>0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16</v>
      </c>
      <c r="C40" s="123">
        <f>SUM(C4,C25)</f>
        <v>4922.71</v>
      </c>
      <c r="D40" s="123">
        <f>D4+D25</f>
        <v>5426.7240200000015</v>
      </c>
      <c r="E40" s="5">
        <f t="shared" si="0"/>
        <v>110.23854787302119</v>
      </c>
      <c r="F40" s="5">
        <f t="shared" si="1"/>
        <v>504.01402000000144</v>
      </c>
    </row>
    <row r="41" spans="1:7" s="6" customFormat="1">
      <c r="A41" s="3">
        <v>2000000000</v>
      </c>
      <c r="B41" s="4" t="s">
        <v>17</v>
      </c>
      <c r="C41" s="447">
        <f>C42+C44+C46+C47+C48+C50+C43+C45+C49</f>
        <v>20896.862079999999</v>
      </c>
      <c r="D41" s="90">
        <f>D42+D44+D46+D47+D48+D50+D43+D49</f>
        <v>17019.329890000001</v>
      </c>
      <c r="E41" s="5">
        <f t="shared" si="0"/>
        <v>81.44442847373189</v>
      </c>
      <c r="F41" s="5">
        <f t="shared" si="1"/>
        <v>-3877.5321899999981</v>
      </c>
      <c r="G41" s="19"/>
    </row>
    <row r="42" spans="1:7" ht="17.25" customHeight="1">
      <c r="A42" s="16">
        <v>2021000000</v>
      </c>
      <c r="B42" s="17" t="s">
        <v>18</v>
      </c>
      <c r="C42" s="12">
        <v>5155.8</v>
      </c>
      <c r="D42" s="20">
        <v>5155.8</v>
      </c>
      <c r="E42" s="9">
        <f t="shared" si="0"/>
        <v>100</v>
      </c>
      <c r="F42" s="9">
        <f t="shared" si="1"/>
        <v>0</v>
      </c>
    </row>
    <row r="43" spans="1:7" ht="15" customHeight="1">
      <c r="A43" s="16">
        <v>2021500210</v>
      </c>
      <c r="B43" s="17" t="s">
        <v>212</v>
      </c>
      <c r="C43" s="12">
        <v>0</v>
      </c>
      <c r="D43" s="20">
        <v>0</v>
      </c>
      <c r="E43" s="9" t="e">
        <f>SUM(D43/C43*100)</f>
        <v>#DIV/0!</v>
      </c>
      <c r="F43" s="9">
        <f>SUM(D43-C43)</f>
        <v>0</v>
      </c>
    </row>
    <row r="44" spans="1:7" ht="17.25" customHeight="1">
      <c r="A44" s="16">
        <v>2022000000</v>
      </c>
      <c r="B44" s="17" t="s">
        <v>19</v>
      </c>
      <c r="C44" s="181">
        <v>14639.02043</v>
      </c>
      <c r="D44" s="10">
        <v>10889.58841</v>
      </c>
      <c r="E44" s="9">
        <f t="shared" si="0"/>
        <v>74.387411794875121</v>
      </c>
      <c r="F44" s="9">
        <f t="shared" si="1"/>
        <v>-3749.4320200000002</v>
      </c>
    </row>
    <row r="45" spans="1:7" ht="15.75" hidden="1" customHeight="1">
      <c r="A45" s="16">
        <v>2022999910</v>
      </c>
      <c r="B45" s="18" t="s">
        <v>312</v>
      </c>
      <c r="C45" s="181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16.5" customHeight="1">
      <c r="A46" s="16">
        <v>2023000000</v>
      </c>
      <c r="B46" s="17" t="s">
        <v>20</v>
      </c>
      <c r="C46" s="12">
        <v>69</v>
      </c>
      <c r="D46" s="175">
        <v>0</v>
      </c>
      <c r="E46" s="9">
        <f t="shared" si="0"/>
        <v>0</v>
      </c>
      <c r="F46" s="9">
        <f t="shared" si="1"/>
        <v>-69</v>
      </c>
    </row>
    <row r="47" spans="1:7" ht="15.75" customHeight="1">
      <c r="A47" s="16">
        <v>2020400000</v>
      </c>
      <c r="B47" s="17" t="s">
        <v>21</v>
      </c>
      <c r="C47" s="12">
        <v>500</v>
      </c>
      <c r="D47" s="176">
        <v>500</v>
      </c>
      <c r="E47" s="9">
        <f t="shared" si="0"/>
        <v>100</v>
      </c>
      <c r="F47" s="9">
        <f t="shared" si="1"/>
        <v>0</v>
      </c>
    </row>
    <row r="48" spans="1:7" ht="19.5" hidden="1" customHeight="1">
      <c r="A48" s="16">
        <v>2020900000</v>
      </c>
      <c r="B48" s="18" t="s">
        <v>22</v>
      </c>
      <c r="C48" s="12"/>
      <c r="D48" s="176"/>
      <c r="E48" s="9" t="e">
        <f>SUM(D48/C48*100)</f>
        <v>#DIV/0!</v>
      </c>
      <c r="F48" s="9">
        <f>SUM(D48-C48)</f>
        <v>0</v>
      </c>
    </row>
    <row r="49" spans="1:7" ht="18" customHeight="1">
      <c r="A49" s="7">
        <v>2070500010</v>
      </c>
      <c r="B49" s="18" t="s">
        <v>267</v>
      </c>
      <c r="C49" s="12">
        <v>533.04165</v>
      </c>
      <c r="D49" s="176">
        <v>473.94148000000001</v>
      </c>
      <c r="E49" s="9">
        <f>SUM(D49/C49*100)</f>
        <v>88.912654386388013</v>
      </c>
      <c r="F49" s="9">
        <f>SUM(D49-C49)</f>
        <v>-59.100169999999991</v>
      </c>
    </row>
    <row r="50" spans="1:7" hidden="1">
      <c r="A50" s="7">
        <v>2190500005</v>
      </c>
      <c r="B50" s="11" t="s">
        <v>23</v>
      </c>
      <c r="C50" s="14">
        <v>0</v>
      </c>
      <c r="D50" s="14"/>
      <c r="E50" s="9" t="e">
        <f>SUM(D50/C50*100)</f>
        <v>#DIV/0!</v>
      </c>
      <c r="F50" s="9">
        <f>SUM(D50-C50)</f>
        <v>0</v>
      </c>
    </row>
    <row r="51" spans="1:7" s="6" customFormat="1" ht="31.5">
      <c r="A51" s="3">
        <v>3000000000</v>
      </c>
      <c r="B51" s="13" t="s">
        <v>24</v>
      </c>
      <c r="C51" s="179">
        <v>0</v>
      </c>
      <c r="D51" s="14">
        <v>0</v>
      </c>
      <c r="E51" s="9" t="e">
        <f>SUM(D51/C51*100)</f>
        <v>#DIV/0!</v>
      </c>
      <c r="F51" s="9">
        <f>SUM(D51-C51)</f>
        <v>0</v>
      </c>
    </row>
    <row r="52" spans="1:7" s="6" customFormat="1" ht="15" customHeight="1">
      <c r="A52" s="3"/>
      <c r="B52" s="4" t="s">
        <v>25</v>
      </c>
      <c r="C52" s="447">
        <f>SUM(C40,C41,C51)</f>
        <v>25819.572079999998</v>
      </c>
      <c r="D52" s="446">
        <f>D40+D41</f>
        <v>22446.053910000002</v>
      </c>
      <c r="E52" s="90">
        <f t="shared" si="0"/>
        <v>86.934259949981339</v>
      </c>
      <c r="F52" s="90">
        <f t="shared" si="1"/>
        <v>-3373.5181699999957</v>
      </c>
      <c r="G52" s="139"/>
    </row>
    <row r="53" spans="1:7" s="6" customFormat="1" ht="23.25" customHeight="1">
      <c r="A53" s="3"/>
      <c r="B53" s="21" t="s">
        <v>290</v>
      </c>
      <c r="C53" s="90">
        <f>C52-C99</f>
        <v>-112.35854000000108</v>
      </c>
      <c r="D53" s="90">
        <f>D52-D99</f>
        <v>1012.2790400000013</v>
      </c>
      <c r="E53" s="183"/>
      <c r="F53" s="183"/>
    </row>
    <row r="54" spans="1:7">
      <c r="A54" s="23"/>
      <c r="B54" s="24"/>
      <c r="C54" s="25"/>
      <c r="D54" s="25"/>
      <c r="E54" s="26"/>
      <c r="F54" s="27"/>
    </row>
    <row r="55" spans="1:7" ht="32.25" customHeight="1">
      <c r="A55" s="28" t="s">
        <v>0</v>
      </c>
      <c r="B55" s="28" t="s">
        <v>26</v>
      </c>
      <c r="C55" s="172" t="s">
        <v>382</v>
      </c>
      <c r="D55" s="73" t="s">
        <v>403</v>
      </c>
      <c r="E55" s="72" t="s">
        <v>2</v>
      </c>
      <c r="F55" s="74" t="s">
        <v>3</v>
      </c>
    </row>
    <row r="56" spans="1:7">
      <c r="A56" s="29">
        <v>1</v>
      </c>
      <c r="B56" s="28">
        <v>2</v>
      </c>
      <c r="C56" s="85">
        <v>3</v>
      </c>
      <c r="D56" s="85">
        <v>4</v>
      </c>
      <c r="E56" s="85">
        <v>5</v>
      </c>
      <c r="F56" s="85">
        <v>6</v>
      </c>
    </row>
    <row r="57" spans="1:7" s="6" customFormat="1" ht="15" customHeight="1">
      <c r="A57" s="30" t="s">
        <v>27</v>
      </c>
      <c r="B57" s="31" t="s">
        <v>28</v>
      </c>
      <c r="C57" s="32">
        <f>C58+C59+C60+C61+C62+C64+C63+C66</f>
        <v>2318.1618900000003</v>
      </c>
      <c r="D57" s="33">
        <f>D58+D59+D60+D61+D62+D64+D63</f>
        <v>2248.7051500000002</v>
      </c>
      <c r="E57" s="34">
        <f>SUM(D57/C57*100)</f>
        <v>97.003801145225452</v>
      </c>
      <c r="F57" s="34">
        <f>SUM(D57-C57)</f>
        <v>-69.456740000000082</v>
      </c>
    </row>
    <row r="58" spans="1:7" s="6" customFormat="1" ht="0.75" hidden="1" customHeight="1">
      <c r="A58" s="35" t="s">
        <v>29</v>
      </c>
      <c r="B58" s="36" t="s">
        <v>30</v>
      </c>
      <c r="C58" s="37"/>
      <c r="D58" s="37"/>
      <c r="E58" s="38"/>
      <c r="F58" s="38"/>
    </row>
    <row r="59" spans="1:7" ht="16.5" customHeight="1">
      <c r="A59" s="35" t="s">
        <v>31</v>
      </c>
      <c r="B59" s="39" t="s">
        <v>32</v>
      </c>
      <c r="C59" s="94">
        <v>2105.3618900000001</v>
      </c>
      <c r="D59" s="37">
        <v>2090.90515</v>
      </c>
      <c r="E59" s="38">
        <f t="shared" ref="E59:E99" si="3">SUM(D59/C59*100)</f>
        <v>99.313337052947219</v>
      </c>
      <c r="F59" s="38">
        <f t="shared" ref="F59:F99" si="4">SUM(D59-C59)</f>
        <v>-14.456740000000082</v>
      </c>
    </row>
    <row r="60" spans="1:7" ht="1.5" hidden="1" customHeight="1">
      <c r="A60" s="35" t="s">
        <v>33</v>
      </c>
      <c r="B60" s="39" t="s">
        <v>34</v>
      </c>
      <c r="C60" s="94"/>
      <c r="D60" s="37"/>
      <c r="E60" s="38"/>
      <c r="F60" s="38">
        <f t="shared" si="4"/>
        <v>0</v>
      </c>
    </row>
    <row r="61" spans="1:7" ht="17.25" hidden="1" customHeight="1">
      <c r="A61" s="35" t="s">
        <v>35</v>
      </c>
      <c r="B61" s="39" t="s">
        <v>36</v>
      </c>
      <c r="C61" s="94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37</v>
      </c>
      <c r="B62" s="39" t="s">
        <v>38</v>
      </c>
      <c r="C62" s="94">
        <v>90</v>
      </c>
      <c r="D62" s="37">
        <v>90</v>
      </c>
      <c r="E62" s="38">
        <f t="shared" si="3"/>
        <v>100</v>
      </c>
      <c r="F62" s="38">
        <f t="shared" si="4"/>
        <v>0</v>
      </c>
    </row>
    <row r="63" spans="1:7" ht="18" customHeight="1">
      <c r="A63" s="35" t="s">
        <v>39</v>
      </c>
      <c r="B63" s="39" t="s">
        <v>40</v>
      </c>
      <c r="C63" s="137">
        <v>55</v>
      </c>
      <c r="D63" s="40">
        <v>0</v>
      </c>
      <c r="E63" s="38">
        <f t="shared" si="3"/>
        <v>0</v>
      </c>
      <c r="F63" s="38">
        <f t="shared" si="4"/>
        <v>-55</v>
      </c>
    </row>
    <row r="64" spans="1:7" ht="15.75" customHeight="1">
      <c r="A64" s="35" t="s">
        <v>41</v>
      </c>
      <c r="B64" s="39" t="s">
        <v>42</v>
      </c>
      <c r="C64" s="94">
        <v>67.8</v>
      </c>
      <c r="D64" s="37">
        <v>67.8</v>
      </c>
      <c r="E64" s="38">
        <f t="shared" si="3"/>
        <v>100</v>
      </c>
      <c r="F64" s="38">
        <f t="shared" si="4"/>
        <v>0</v>
      </c>
    </row>
    <row r="65" spans="1:7" s="6" customFormat="1" ht="15.75" hidden="1" customHeight="1">
      <c r="A65" s="41" t="s">
        <v>43</v>
      </c>
      <c r="B65" s="42" t="s">
        <v>44</v>
      </c>
      <c r="C65" s="138">
        <f>C66</f>
        <v>0</v>
      </c>
      <c r="D65" s="32">
        <f>D66</f>
        <v>0</v>
      </c>
      <c r="E65" s="34" t="e">
        <f t="shared" si="3"/>
        <v>#DIV/0!</v>
      </c>
      <c r="F65" s="34">
        <f t="shared" si="4"/>
        <v>0</v>
      </c>
    </row>
    <row r="66" spans="1:7" ht="18" hidden="1" customHeight="1">
      <c r="A66" s="43" t="s">
        <v>45</v>
      </c>
      <c r="B66" s="44" t="s">
        <v>46</v>
      </c>
      <c r="C66" s="94">
        <v>0</v>
      </c>
      <c r="D66" s="37">
        <v>0</v>
      </c>
      <c r="E66" s="38" t="e">
        <f t="shared" si="3"/>
        <v>#DIV/0!</v>
      </c>
      <c r="F66" s="38">
        <f t="shared" si="4"/>
        <v>0</v>
      </c>
    </row>
    <row r="67" spans="1:7" s="6" customFormat="1" ht="18" customHeight="1">
      <c r="A67" s="30" t="s">
        <v>47</v>
      </c>
      <c r="B67" s="31" t="s">
        <v>48</v>
      </c>
      <c r="C67" s="138">
        <f>C70+C71+C72</f>
        <v>7.5545999999999998</v>
      </c>
      <c r="D67" s="138">
        <f>SUM(D70+D71+D72)</f>
        <v>7.5545999999999998</v>
      </c>
      <c r="E67" s="34">
        <f t="shared" si="3"/>
        <v>100</v>
      </c>
      <c r="F67" s="34">
        <f t="shared" si="4"/>
        <v>0</v>
      </c>
    </row>
    <row r="68" spans="1:7" ht="3.75" hidden="1" customHeight="1">
      <c r="A68" s="35" t="s">
        <v>49</v>
      </c>
      <c r="B68" s="39" t="s">
        <v>50</v>
      </c>
      <c r="C68" s="94"/>
      <c r="D68" s="37"/>
      <c r="E68" s="34" t="e">
        <f t="shared" si="3"/>
        <v>#DIV/0!</v>
      </c>
      <c r="F68" s="34">
        <f t="shared" si="4"/>
        <v>0</v>
      </c>
    </row>
    <row r="69" spans="1:7" ht="15.75" hidden="1" customHeight="1">
      <c r="A69" s="45" t="s">
        <v>51</v>
      </c>
      <c r="B69" s="39" t="s">
        <v>52</v>
      </c>
      <c r="C69" s="94"/>
      <c r="D69" s="37"/>
      <c r="E69" s="34" t="e">
        <f t="shared" si="3"/>
        <v>#DIV/0!</v>
      </c>
      <c r="F69" s="34">
        <f t="shared" si="4"/>
        <v>0</v>
      </c>
    </row>
    <row r="70" spans="1:7" ht="19.5" customHeight="1">
      <c r="A70" s="46" t="s">
        <v>53</v>
      </c>
      <c r="B70" s="47" t="s">
        <v>54</v>
      </c>
      <c r="C70" s="94">
        <v>5.5545999999999998</v>
      </c>
      <c r="D70" s="37">
        <v>5.5545999999999998</v>
      </c>
      <c r="E70" s="34">
        <f t="shared" si="3"/>
        <v>100</v>
      </c>
      <c r="F70" s="34">
        <f t="shared" si="4"/>
        <v>0</v>
      </c>
    </row>
    <row r="71" spans="1:7" ht="17.25" customHeight="1">
      <c r="A71" s="46" t="s">
        <v>199</v>
      </c>
      <c r="B71" s="47" t="s">
        <v>200</v>
      </c>
      <c r="C71" s="94"/>
      <c r="D71" s="37">
        <v>0</v>
      </c>
      <c r="E71" s="34" t="e">
        <f t="shared" si="3"/>
        <v>#DIV/0!</v>
      </c>
      <c r="F71" s="34">
        <f t="shared" si="4"/>
        <v>0</v>
      </c>
    </row>
    <row r="72" spans="1:7" ht="17.25" customHeight="1">
      <c r="A72" s="46" t="s">
        <v>320</v>
      </c>
      <c r="B72" s="47" t="s">
        <v>375</v>
      </c>
      <c r="C72" s="94">
        <v>2</v>
      </c>
      <c r="D72" s="37">
        <v>2</v>
      </c>
      <c r="E72" s="34">
        <f>SUM(D72/C72*100)</f>
        <v>100</v>
      </c>
      <c r="F72" s="34">
        <f>SUM(D72-C72)</f>
        <v>0</v>
      </c>
    </row>
    <row r="73" spans="1:7" s="6" customFormat="1" ht="16.5" customHeight="1">
      <c r="A73" s="30" t="s">
        <v>55</v>
      </c>
      <c r="B73" s="31" t="s">
        <v>56</v>
      </c>
      <c r="C73" s="48">
        <f>SUM(C74:C77)</f>
        <v>4431.1698200000001</v>
      </c>
      <c r="D73" s="48">
        <f>SUM(D74:D77)</f>
        <v>4310.3131700000004</v>
      </c>
      <c r="E73" s="34">
        <f t="shared" si="3"/>
        <v>97.272579140286709</v>
      </c>
      <c r="F73" s="34">
        <f t="shared" si="4"/>
        <v>-120.85664999999972</v>
      </c>
    </row>
    <row r="74" spans="1:7" ht="15" customHeight="1">
      <c r="A74" s="35" t="s">
        <v>57</v>
      </c>
      <c r="B74" s="39" t="s">
        <v>58</v>
      </c>
      <c r="C74" s="49">
        <v>69</v>
      </c>
      <c r="D74" s="37">
        <v>0</v>
      </c>
      <c r="E74" s="38">
        <f t="shared" si="3"/>
        <v>0</v>
      </c>
      <c r="F74" s="38">
        <f t="shared" si="4"/>
        <v>-69</v>
      </c>
    </row>
    <row r="75" spans="1:7" s="6" customFormat="1" ht="15.75" customHeight="1">
      <c r="A75" s="35" t="s">
        <v>59</v>
      </c>
      <c r="B75" s="39" t="s">
        <v>60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 ht="15" customHeight="1">
      <c r="A76" s="35" t="s">
        <v>61</v>
      </c>
      <c r="B76" s="39" t="s">
        <v>62</v>
      </c>
      <c r="C76" s="49">
        <v>4362.1698200000001</v>
      </c>
      <c r="D76" s="37">
        <v>4310.3131700000004</v>
      </c>
      <c r="E76" s="38">
        <f t="shared" si="3"/>
        <v>98.811218908483482</v>
      </c>
      <c r="F76" s="38">
        <f t="shared" si="4"/>
        <v>-51.856649999999718</v>
      </c>
    </row>
    <row r="77" spans="1:7" ht="18" customHeight="1">
      <c r="A77" s="35" t="s">
        <v>63</v>
      </c>
      <c r="B77" s="39" t="s">
        <v>64</v>
      </c>
      <c r="C77" s="49"/>
      <c r="D77" s="37">
        <v>0</v>
      </c>
      <c r="E77" s="38" t="e">
        <f t="shared" si="3"/>
        <v>#DIV/0!</v>
      </c>
      <c r="F77" s="38">
        <f t="shared" si="4"/>
        <v>0</v>
      </c>
    </row>
    <row r="78" spans="1:7" s="6" customFormat="1" ht="18" customHeight="1">
      <c r="A78" s="30" t="s">
        <v>65</v>
      </c>
      <c r="B78" s="31" t="s">
        <v>66</v>
      </c>
      <c r="C78" s="32">
        <f>C79+C80+C81+C84</f>
        <v>14717.844309999999</v>
      </c>
      <c r="D78" s="32">
        <f>D79+D80+D81+D84</f>
        <v>10410.00195</v>
      </c>
      <c r="E78" s="34">
        <f t="shared" si="3"/>
        <v>70.730480162281324</v>
      </c>
      <c r="F78" s="34">
        <f t="shared" si="4"/>
        <v>-4307.8423599999987</v>
      </c>
    </row>
    <row r="79" spans="1:7" ht="18" hidden="1" customHeight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69</v>
      </c>
      <c r="B80" s="51" t="s">
        <v>70</v>
      </c>
      <c r="C80" s="37">
        <v>644.62747000000002</v>
      </c>
      <c r="D80" s="37">
        <v>644.10167999999999</v>
      </c>
      <c r="E80" s="38">
        <f t="shared" si="3"/>
        <v>99.918435061416162</v>
      </c>
      <c r="F80" s="38">
        <f t="shared" si="4"/>
        <v>-0.52579000000002907</v>
      </c>
    </row>
    <row r="81" spans="1:6" ht="17.25" customHeight="1">
      <c r="A81" s="35" t="s">
        <v>71</v>
      </c>
      <c r="B81" s="39" t="s">
        <v>72</v>
      </c>
      <c r="C81" s="37">
        <v>14073.216839999999</v>
      </c>
      <c r="D81" s="37">
        <v>9765.9002700000001</v>
      </c>
      <c r="E81" s="38">
        <f t="shared" si="3"/>
        <v>69.393518063635554</v>
      </c>
      <c r="F81" s="38">
        <f t="shared" si="4"/>
        <v>-4307.316569999999</v>
      </c>
    </row>
    <row r="82" spans="1:6" s="6" customFormat="1" ht="18.75" customHeight="1">
      <c r="A82" s="30" t="s">
        <v>83</v>
      </c>
      <c r="B82" s="31" t="s">
        <v>84</v>
      </c>
      <c r="C82" s="32">
        <f>C83</f>
        <v>4457.2</v>
      </c>
      <c r="D82" s="32">
        <f>D83</f>
        <v>4457.2</v>
      </c>
      <c r="E82" s="38">
        <f t="shared" si="3"/>
        <v>100</v>
      </c>
      <c r="F82" s="38">
        <f t="shared" si="4"/>
        <v>0</v>
      </c>
    </row>
    <row r="83" spans="1:6" ht="19.5" customHeight="1">
      <c r="A83" s="35" t="s">
        <v>85</v>
      </c>
      <c r="B83" s="39" t="s">
        <v>214</v>
      </c>
      <c r="C83" s="37">
        <v>4457.2</v>
      </c>
      <c r="D83" s="37">
        <v>4457.2</v>
      </c>
      <c r="E83" s="38">
        <f t="shared" si="3"/>
        <v>100</v>
      </c>
      <c r="F83" s="38">
        <f t="shared" si="4"/>
        <v>0</v>
      </c>
    </row>
    <row r="84" spans="1:6" ht="15" hidden="1" customHeight="1">
      <c r="A84" s="35" t="s">
        <v>236</v>
      </c>
      <c r="B84" s="39" t="s">
        <v>237</v>
      </c>
      <c r="C84" s="37">
        <v>0</v>
      </c>
      <c r="D84" s="37"/>
      <c r="E84" s="38" t="e">
        <f t="shared" si="3"/>
        <v>#DIV/0!</v>
      </c>
      <c r="F84" s="38">
        <f t="shared" si="4"/>
        <v>0</v>
      </c>
    </row>
    <row r="85" spans="1:6" s="6" customFormat="1" ht="12.75" hidden="1" customHeight="1">
      <c r="A85" s="52">
        <v>1000</v>
      </c>
      <c r="B85" s="31" t="s">
        <v>86</v>
      </c>
      <c r="C85" s="32">
        <f>SUM(C86:C89)</f>
        <v>0</v>
      </c>
      <c r="D85" s="3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12.75" hidden="1" customHeight="1">
      <c r="A86" s="53">
        <v>1001</v>
      </c>
      <c r="B86" s="54" t="s">
        <v>87</v>
      </c>
      <c r="C86" s="37"/>
      <c r="D86" s="37"/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1003</v>
      </c>
      <c r="B87" s="54" t="s">
        <v>88</v>
      </c>
      <c r="C87" s="37">
        <v>0</v>
      </c>
      <c r="D87" s="37">
        <v>0</v>
      </c>
      <c r="E87" s="38" t="e">
        <f t="shared" si="3"/>
        <v>#DIV/0!</v>
      </c>
      <c r="F87" s="38">
        <f t="shared" si="4"/>
        <v>0</v>
      </c>
    </row>
    <row r="88" spans="1:6" ht="18.75" hidden="1" customHeight="1">
      <c r="A88" s="53">
        <v>1004</v>
      </c>
      <c r="B88" s="54" t="s">
        <v>89</v>
      </c>
      <c r="C88" s="37">
        <v>0</v>
      </c>
      <c r="D88" s="55">
        <v>0</v>
      </c>
      <c r="E88" s="38" t="e">
        <f t="shared" si="3"/>
        <v>#DIV/0!</v>
      </c>
      <c r="F88" s="38">
        <f t="shared" si="4"/>
        <v>0</v>
      </c>
    </row>
    <row r="89" spans="1:6" ht="17.25" hidden="1" customHeight="1">
      <c r="A89" s="35" t="s">
        <v>90</v>
      </c>
      <c r="B89" s="39" t="s">
        <v>91</v>
      </c>
      <c r="C89" s="37">
        <v>0</v>
      </c>
      <c r="D89" s="37">
        <v>0</v>
      </c>
      <c r="E89" s="38"/>
      <c r="F89" s="38">
        <f t="shared" si="4"/>
        <v>0</v>
      </c>
    </row>
    <row r="90" spans="1:6" ht="19.5" customHeight="1">
      <c r="A90" s="30" t="s">
        <v>92</v>
      </c>
      <c r="B90" s="31" t="s">
        <v>93</v>
      </c>
      <c r="C90" s="32">
        <f>C91+C92+C93+C94+C95</f>
        <v>0</v>
      </c>
      <c r="D90" s="32">
        <f>D91+D92+D93+D94+D95</f>
        <v>0</v>
      </c>
      <c r="E90" s="38" t="e">
        <f t="shared" si="3"/>
        <v>#DIV/0!</v>
      </c>
      <c r="F90" s="22">
        <f>F91+F92+F93+F94+F95</f>
        <v>0</v>
      </c>
    </row>
    <row r="91" spans="1:6" ht="15.75" customHeight="1">
      <c r="A91" s="35" t="s">
        <v>94</v>
      </c>
      <c r="B91" s="39" t="s">
        <v>95</v>
      </c>
      <c r="C91" s="37"/>
      <c r="D91" s="37">
        <v>0</v>
      </c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96</v>
      </c>
      <c r="B92" s="39" t="s">
        <v>97</v>
      </c>
      <c r="C92" s="37"/>
      <c r="D92" s="37"/>
      <c r="E92" s="38" t="e">
        <f t="shared" si="3"/>
        <v>#DIV/0!</v>
      </c>
      <c r="F92" s="38">
        <f>SUM(D92-C92)</f>
        <v>0</v>
      </c>
    </row>
    <row r="93" spans="1:6" ht="15" hidden="1" customHeight="1">
      <c r="A93" s="35" t="s">
        <v>98</v>
      </c>
      <c r="B93" s="39" t="s">
        <v>99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100</v>
      </c>
      <c r="B94" s="39" t="s">
        <v>101</v>
      </c>
      <c r="C94" s="37"/>
      <c r="D94" s="37"/>
      <c r="E94" s="38" t="e">
        <f t="shared" si="3"/>
        <v>#DIV/0!</v>
      </c>
      <c r="F94" s="38"/>
    </row>
    <row r="95" spans="1:6" ht="15" hidden="1" customHeight="1">
      <c r="A95" s="35" t="s">
        <v>102</v>
      </c>
      <c r="B95" s="39" t="s">
        <v>103</v>
      </c>
      <c r="C95" s="37"/>
      <c r="D95" s="37"/>
      <c r="E95" s="38" t="e">
        <f t="shared" si="3"/>
        <v>#DIV/0!</v>
      </c>
      <c r="F95" s="38"/>
    </row>
    <row r="96" spans="1:6" s="6" customFormat="1" ht="18" hidden="1" customHeight="1">
      <c r="A96" s="52">
        <v>1400</v>
      </c>
      <c r="B96" s="56" t="s">
        <v>112</v>
      </c>
      <c r="C96" s="48">
        <f>SUM(C97+C98)</f>
        <v>0</v>
      </c>
      <c r="D96" s="48">
        <f>SUM(D97+D98)</f>
        <v>0</v>
      </c>
      <c r="E96" s="34" t="e">
        <f t="shared" si="3"/>
        <v>#DIV/0!</v>
      </c>
      <c r="F96" s="34">
        <f t="shared" si="4"/>
        <v>0</v>
      </c>
    </row>
    <row r="97" spans="1:7" ht="20.25" hidden="1" customHeight="1">
      <c r="A97" s="53">
        <v>1402</v>
      </c>
      <c r="B97" s="54" t="s">
        <v>114</v>
      </c>
      <c r="C97" s="163"/>
      <c r="D97" s="164"/>
      <c r="E97" s="38" t="e">
        <f t="shared" si="3"/>
        <v>#DIV/0!</v>
      </c>
      <c r="F97" s="38">
        <f t="shared" si="4"/>
        <v>0</v>
      </c>
    </row>
    <row r="98" spans="1:7" ht="15" hidden="1" customHeight="1">
      <c r="A98" s="53">
        <v>1403</v>
      </c>
      <c r="B98" s="54" t="s">
        <v>115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7" s="6" customFormat="1" ht="16.5" customHeight="1">
      <c r="A99" s="52"/>
      <c r="B99" s="57" t="s">
        <v>116</v>
      </c>
      <c r="C99" s="435">
        <f>C57+C73+C78+C85+C90+C96+C67+C82</f>
        <v>25931.930619999999</v>
      </c>
      <c r="D99" s="435">
        <f>SUM(D57+D67+D73+D78+D82+D90)</f>
        <v>21433.774870000001</v>
      </c>
      <c r="E99" s="34">
        <f t="shared" si="3"/>
        <v>82.653988181925826</v>
      </c>
      <c r="F99" s="34">
        <f t="shared" si="4"/>
        <v>-4498.1557499999981</v>
      </c>
      <c r="G99" s="188"/>
    </row>
    <row r="100" spans="1:7" ht="20.25" customHeight="1">
      <c r="D100" s="169"/>
    </row>
    <row r="101" spans="1:7" s="65" customFormat="1" ht="13.5" customHeight="1">
      <c r="A101" s="63" t="s">
        <v>117</v>
      </c>
      <c r="B101" s="63"/>
      <c r="C101" s="115"/>
      <c r="D101" s="64"/>
    </row>
    <row r="102" spans="1:7" s="65" customFormat="1" ht="12.75">
      <c r="A102" s="66" t="s">
        <v>118</v>
      </c>
      <c r="B102" s="66"/>
      <c r="C102" s="130" t="s">
        <v>119</v>
      </c>
      <c r="D102" s="130"/>
    </row>
    <row r="103" spans="1:7" ht="5.25" customHeight="1"/>
    <row r="143" hidden="1"/>
  </sheetData>
  <customSheetViews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1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3DCB9AAA-F09C-4EA6-B992-F93E466D374A}" hiddenRows="1" topLeftCell="A31">
      <selection activeCell="B100" sqref="B100"/>
      <pageMargins left="0.7" right="0.7" top="0.75" bottom="0.75" header="0.3" footer="0.3"/>
      <pageSetup paperSize="9" scale="50" orientation="portrait" r:id="rId3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5"/>
    </customSheetView>
    <customSheetView guid="{B31C8DB7-3E78-4144-A6B5-8DE36DE63F0E}" showPageBreaks="1" printArea="1" hiddenRows="1" topLeftCell="A32">
      <selection activeCell="D97" sqref="D97"/>
      <pageMargins left="0.7" right="0.7" top="0.75" bottom="0.75" header="0.3" footer="0.3"/>
      <pageSetup paperSize="9" scale="50" orientation="portrait" r:id="rId6"/>
    </customSheetView>
    <customSheetView guid="{B30CE22D-C12F-4E12-8BB9-3AAE0A6991CC}" scale="70" showPageBreaks="1" printArea="1" hiddenRows="1" view="pageBreakPreview" topLeftCell="A48">
      <selection activeCell="C98" activeCellId="1" sqref="C52:D52 C98:D98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1718F1EE-9F48-4DBE-9531-3B70F9C4A5DD}" scale="70" showPageBreaks="1" printArea="1" hiddenRows="1" view="pageBreakPreview" topLeftCell="A32">
      <selection activeCell="D90" sqref="D90"/>
      <pageMargins left="0.7" right="0.7" top="0.75" bottom="0.75" header="0.3" footer="0.3"/>
      <pageSetup paperSize="9" scale="41" orientation="portrait" r:id="rId8"/>
    </customSheetView>
    <customSheetView guid="{61528DAC-5C4C-48F4-ADE2-8A724B05A086}" scale="70" showPageBreaks="1" printArea="1" hiddenRows="1" view="pageBreakPreview">
      <selection activeCell="A2" sqref="A2:F2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44"/>
  <sheetViews>
    <sheetView view="pageBreakPreview" topLeftCell="A30" zoomScale="70" zoomScaleSheetLayoutView="86" workbookViewId="0">
      <selection activeCell="D42" sqref="D42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43" t="s">
        <v>418</v>
      </c>
      <c r="B1" s="543"/>
      <c r="C1" s="543"/>
      <c r="D1" s="543"/>
      <c r="E1" s="543"/>
      <c r="F1" s="543"/>
    </row>
    <row r="2" spans="1:6">
      <c r="A2" s="543"/>
      <c r="B2" s="543"/>
      <c r="C2" s="543"/>
      <c r="D2" s="543"/>
      <c r="E2" s="543"/>
      <c r="F2" s="543"/>
    </row>
    <row r="3" spans="1:6" ht="63">
      <c r="A3" s="2" t="s">
        <v>0</v>
      </c>
      <c r="B3" s="2" t="s">
        <v>1</v>
      </c>
      <c r="C3" s="72" t="s">
        <v>382</v>
      </c>
      <c r="D3" s="168" t="s">
        <v>403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5318.6900000000005</v>
      </c>
      <c r="D4" s="5">
        <f>D5+D12+D14+D17+D20+D7</f>
        <v>5198.472819999999</v>
      </c>
      <c r="E4" s="5">
        <f>SUM(D4/C4*100)</f>
        <v>97.739721999214069</v>
      </c>
      <c r="F4" s="5">
        <f>SUM(D4-C4)</f>
        <v>-120.21718000000146</v>
      </c>
    </row>
    <row r="5" spans="1:6" s="6" customFormat="1">
      <c r="A5" s="68">
        <v>1010000000</v>
      </c>
      <c r="B5" s="67" t="s">
        <v>5</v>
      </c>
      <c r="C5" s="5">
        <f>C6</f>
        <v>1707.1</v>
      </c>
      <c r="D5" s="5">
        <f>D6</f>
        <v>1677.3857399999999</v>
      </c>
      <c r="E5" s="5">
        <f t="shared" ref="E5:E53" si="0">SUM(D5/C5*100)</f>
        <v>98.259372034444382</v>
      </c>
      <c r="F5" s="5">
        <f t="shared" ref="F5:F53" si="1">SUM(D5-C5)</f>
        <v>-29.714259999999967</v>
      </c>
    </row>
    <row r="6" spans="1:6">
      <c r="A6" s="7">
        <v>1010200001</v>
      </c>
      <c r="B6" s="8" t="s">
        <v>209</v>
      </c>
      <c r="C6" s="9">
        <v>1707.1</v>
      </c>
      <c r="D6" s="10">
        <v>1677.3857399999999</v>
      </c>
      <c r="E6" s="9">
        <f t="shared" ref="E6:E11" si="2">SUM(D6/C6*100)</f>
        <v>98.259372034444382</v>
      </c>
      <c r="F6" s="9">
        <f t="shared" si="1"/>
        <v>-29.714259999999967</v>
      </c>
    </row>
    <row r="7" spans="1:6" ht="31.5">
      <c r="A7" s="3">
        <v>1030000000</v>
      </c>
      <c r="B7" s="13" t="s">
        <v>250</v>
      </c>
      <c r="C7" s="5">
        <f>C8+C10+C9</f>
        <v>772.59</v>
      </c>
      <c r="D7" s="5">
        <f>D8+D10+D9+D11</f>
        <v>733.67146000000002</v>
      </c>
      <c r="E7" s="9">
        <f t="shared" si="2"/>
        <v>94.962588177429168</v>
      </c>
      <c r="F7" s="9">
        <f t="shared" si="1"/>
        <v>-38.918540000000007</v>
      </c>
    </row>
    <row r="8" spans="1:6">
      <c r="A8" s="7">
        <v>1030223001</v>
      </c>
      <c r="B8" s="8" t="s">
        <v>252</v>
      </c>
      <c r="C8" s="9">
        <v>288.18</v>
      </c>
      <c r="D8" s="10">
        <v>338.39697000000001</v>
      </c>
      <c r="E8" s="9">
        <f t="shared" si="2"/>
        <v>117.42555694357692</v>
      </c>
      <c r="F8" s="9">
        <f t="shared" si="1"/>
        <v>50.216970000000003</v>
      </c>
    </row>
    <row r="9" spans="1:6">
      <c r="A9" s="7">
        <v>1030224001</v>
      </c>
      <c r="B9" s="8" t="s">
        <v>258</v>
      </c>
      <c r="C9" s="9">
        <v>3.09</v>
      </c>
      <c r="D9" s="10">
        <v>2.4204599999999998</v>
      </c>
      <c r="E9" s="9">
        <f t="shared" si="2"/>
        <v>78.332038834951462</v>
      </c>
      <c r="F9" s="9">
        <f t="shared" si="1"/>
        <v>-0.66954000000000002</v>
      </c>
    </row>
    <row r="10" spans="1:6">
      <c r="A10" s="7">
        <v>1030225001</v>
      </c>
      <c r="B10" s="8" t="s">
        <v>251</v>
      </c>
      <c r="C10" s="9">
        <v>481.32</v>
      </c>
      <c r="D10" s="10">
        <v>455.23901000000001</v>
      </c>
      <c r="E10" s="9">
        <f t="shared" si="2"/>
        <v>94.581361672068482</v>
      </c>
      <c r="F10" s="9">
        <f t="shared" si="1"/>
        <v>-26.080989999999986</v>
      </c>
    </row>
    <row r="11" spans="1:6">
      <c r="A11" s="7">
        <v>1030226001</v>
      </c>
      <c r="B11" s="8" t="s">
        <v>261</v>
      </c>
      <c r="C11" s="9">
        <v>0</v>
      </c>
      <c r="D11" s="10">
        <v>-62.384979999999999</v>
      </c>
      <c r="E11" s="9" t="e">
        <f t="shared" si="2"/>
        <v>#DIV/0!</v>
      </c>
      <c r="F11" s="9">
        <f t="shared" si="1"/>
        <v>-62.384979999999999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20.815799999999999</v>
      </c>
      <c r="E12" s="5">
        <f t="shared" si="0"/>
        <v>69.38600000000001</v>
      </c>
      <c r="F12" s="5">
        <f t="shared" si="1"/>
        <v>-9.1842000000000006</v>
      </c>
    </row>
    <row r="13" spans="1:6" ht="15.75" customHeight="1">
      <c r="A13" s="7">
        <v>1050300000</v>
      </c>
      <c r="B13" s="11" t="s">
        <v>210</v>
      </c>
      <c r="C13" s="12">
        <v>30</v>
      </c>
      <c r="D13" s="10">
        <v>20.815799999999999</v>
      </c>
      <c r="E13" s="9">
        <f t="shared" si="0"/>
        <v>69.38600000000001</v>
      </c>
      <c r="F13" s="9">
        <f t="shared" si="1"/>
        <v>-9.1842000000000006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2801</v>
      </c>
      <c r="D14" s="5">
        <f>D15+D16</f>
        <v>2763.5998199999999</v>
      </c>
      <c r="E14" s="5">
        <f t="shared" si="0"/>
        <v>98.664756158514805</v>
      </c>
      <c r="F14" s="5">
        <f t="shared" si="1"/>
        <v>-37.400180000000091</v>
      </c>
    </row>
    <row r="15" spans="1:6" s="6" customFormat="1" ht="15.75" customHeight="1">
      <c r="A15" s="7">
        <v>1060100000</v>
      </c>
      <c r="B15" s="11" t="s">
        <v>8</v>
      </c>
      <c r="C15" s="9">
        <v>450</v>
      </c>
      <c r="D15" s="10">
        <v>620.23076000000003</v>
      </c>
      <c r="E15" s="9">
        <f t="shared" si="0"/>
        <v>137.82905777777779</v>
      </c>
      <c r="F15" s="9">
        <f>SUM(D15-C15)</f>
        <v>170.23076000000003</v>
      </c>
    </row>
    <row r="16" spans="1:6" ht="15.75" customHeight="1">
      <c r="A16" s="7">
        <v>1060600000</v>
      </c>
      <c r="B16" s="11" t="s">
        <v>7</v>
      </c>
      <c r="C16" s="9">
        <v>2351</v>
      </c>
      <c r="D16" s="10">
        <v>2143.36906</v>
      </c>
      <c r="E16" s="9">
        <f t="shared" si="0"/>
        <v>91.1683989791578</v>
      </c>
      <c r="F16" s="9">
        <f t="shared" si="1"/>
        <v>-207.63094000000001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3</v>
      </c>
      <c r="E17" s="5">
        <f t="shared" si="0"/>
        <v>37.5</v>
      </c>
      <c r="F17" s="5">
        <f t="shared" si="1"/>
        <v>-5</v>
      </c>
    </row>
    <row r="18" spans="1:6" ht="15" customHeight="1">
      <c r="A18" s="7">
        <v>1080400001</v>
      </c>
      <c r="B18" s="8" t="s">
        <v>208</v>
      </c>
      <c r="C18" s="9">
        <v>8</v>
      </c>
      <c r="D18" s="10">
        <v>3</v>
      </c>
      <c r="E18" s="9">
        <f t="shared" si="0"/>
        <v>37.5</v>
      </c>
      <c r="F18" s="9">
        <f t="shared" si="1"/>
        <v>-5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0.75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C26+C29+C31+C37+C34</f>
        <v>50</v>
      </c>
      <c r="D25" s="5">
        <f>D26+D29+D31+D37+D34</f>
        <v>33.569899999999997</v>
      </c>
      <c r="E25" s="5">
        <f t="shared" si="0"/>
        <v>67.139799999999994</v>
      </c>
      <c r="F25" s="5">
        <f t="shared" si="1"/>
        <v>-16.430100000000003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0</v>
      </c>
      <c r="D26" s="5">
        <f>D27+D28</f>
        <v>1.78</v>
      </c>
      <c r="E26" s="5" t="e">
        <f t="shared" si="0"/>
        <v>#DIV/0!</v>
      </c>
      <c r="F26" s="5">
        <f t="shared" si="1"/>
        <v>1.78</v>
      </c>
    </row>
    <row r="27" spans="1:6">
      <c r="A27" s="16">
        <v>1110501101</v>
      </c>
      <c r="B27" s="17" t="s">
        <v>206</v>
      </c>
      <c r="C27" s="12">
        <v>0</v>
      </c>
      <c r="D27" s="10">
        <v>1.78</v>
      </c>
      <c r="E27" s="9" t="e">
        <f t="shared" si="0"/>
        <v>#DIV/0!</v>
      </c>
      <c r="F27" s="9">
        <f t="shared" si="1"/>
        <v>1.78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0.25" customHeight="1">
      <c r="A29" s="68">
        <v>1130000000</v>
      </c>
      <c r="B29" s="69" t="s">
        <v>128</v>
      </c>
      <c r="C29" s="5">
        <f>C30</f>
        <v>0</v>
      </c>
      <c r="D29" s="5">
        <f>D30</f>
        <v>0.42215999999999998</v>
      </c>
      <c r="E29" s="5" t="e">
        <f t="shared" si="0"/>
        <v>#DIV/0!</v>
      </c>
      <c r="F29" s="5">
        <f t="shared" si="1"/>
        <v>0.42215999999999998</v>
      </c>
    </row>
    <row r="30" spans="1:6" ht="19.5" customHeight="1">
      <c r="A30" s="7">
        <v>1130200000</v>
      </c>
      <c r="B30" s="8" t="s">
        <v>398</v>
      </c>
      <c r="C30" s="9">
        <v>0</v>
      </c>
      <c r="D30" s="10">
        <v>0.42215999999999998</v>
      </c>
      <c r="E30" s="9" t="e">
        <f t="shared" si="0"/>
        <v>#DIV/0!</v>
      </c>
      <c r="F30" s="9">
        <f t="shared" si="1"/>
        <v>0.42215999999999998</v>
      </c>
    </row>
    <row r="31" spans="1:6" ht="17.25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customHeight="1">
      <c r="A32" s="16">
        <v>1140200000</v>
      </c>
      <c r="B32" s="18" t="s">
        <v>202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5.75" customHeight="1">
      <c r="A33" s="7">
        <v>1140600000</v>
      </c>
      <c r="B33" s="8" t="s">
        <v>203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225</v>
      </c>
      <c r="C34" s="5">
        <f>C36+C35</f>
        <v>50</v>
      </c>
      <c r="D34" s="5">
        <f>SUM(D35+D36)</f>
        <v>33.147739999999999</v>
      </c>
      <c r="E34" s="5">
        <f t="shared" si="0"/>
        <v>66.295479999999998</v>
      </c>
      <c r="F34" s="5">
        <f t="shared" si="1"/>
        <v>-16.852260000000001</v>
      </c>
    </row>
    <row r="35" spans="1:7" ht="15" customHeight="1">
      <c r="A35" s="7">
        <v>1160701000</v>
      </c>
      <c r="B35" s="8" t="s">
        <v>392</v>
      </c>
      <c r="C35" s="9">
        <v>25</v>
      </c>
      <c r="D35" s="9">
        <v>14.72125</v>
      </c>
      <c r="E35" s="5"/>
      <c r="F35" s="5"/>
    </row>
    <row r="36" spans="1:7" ht="15" customHeight="1">
      <c r="A36" s="7">
        <v>1160709010</v>
      </c>
      <c r="B36" s="8" t="s">
        <v>419</v>
      </c>
      <c r="C36" s="9">
        <v>25</v>
      </c>
      <c r="D36" s="10">
        <v>18.426490000000001</v>
      </c>
      <c r="E36" s="9">
        <f t="shared" si="0"/>
        <v>73.705960000000005</v>
      </c>
      <c r="F36" s="9">
        <f t="shared" si="1"/>
        <v>-6.5735099999999989</v>
      </c>
    </row>
    <row r="37" spans="1:7" ht="15" customHeight="1">
      <c r="A37" s="3">
        <v>1170000000</v>
      </c>
      <c r="B37" s="13" t="s">
        <v>132</v>
      </c>
      <c r="C37" s="5">
        <f>C38+C39</f>
        <v>0</v>
      </c>
      <c r="D37" s="5">
        <f>D38+D39</f>
        <v>-1.78</v>
      </c>
      <c r="E37" s="5" t="e">
        <f t="shared" si="0"/>
        <v>#DIV/0!</v>
      </c>
      <c r="F37" s="5">
        <f t="shared" si="1"/>
        <v>-1.78</v>
      </c>
    </row>
    <row r="38" spans="1:7" ht="15" customHeight="1">
      <c r="A38" s="7">
        <v>1170105005</v>
      </c>
      <c r="B38" s="8" t="s">
        <v>15</v>
      </c>
      <c r="C38" s="9">
        <v>0</v>
      </c>
      <c r="D38" s="9">
        <v>-1.78</v>
      </c>
      <c r="E38" s="9" t="e">
        <f t="shared" si="0"/>
        <v>#DIV/0!</v>
      </c>
      <c r="F38" s="9">
        <f t="shared" si="1"/>
        <v>-1.78</v>
      </c>
    </row>
    <row r="39" spans="1:7" ht="15" customHeight="1">
      <c r="A39" s="7">
        <v>1170505005</v>
      </c>
      <c r="B39" s="11" t="s">
        <v>201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16</v>
      </c>
      <c r="C40" s="123">
        <f>SUM(C4,C25)</f>
        <v>5368.6900000000005</v>
      </c>
      <c r="D40" s="123">
        <f>SUM(D4,D25)</f>
        <v>5232.0427199999995</v>
      </c>
      <c r="E40" s="5">
        <f t="shared" si="0"/>
        <v>97.454737002881515</v>
      </c>
      <c r="F40" s="5">
        <f t="shared" si="1"/>
        <v>-136.64728000000105</v>
      </c>
    </row>
    <row r="41" spans="1:7" s="6" customFormat="1" ht="20.25" customHeight="1">
      <c r="A41" s="3">
        <v>2000000000</v>
      </c>
      <c r="B41" s="4" t="s">
        <v>17</v>
      </c>
      <c r="C41" s="216">
        <f>C42+C44+C46+C47+C49+C50+C43+C45+C52+C48</f>
        <v>11948.45333</v>
      </c>
      <c r="D41" s="216">
        <f>D42+D44+D46+D47+D49+D50+D43+D45+D52+D48</f>
        <v>11294.323710000001</v>
      </c>
      <c r="E41" s="5">
        <f t="shared" si="0"/>
        <v>94.525403397964311</v>
      </c>
      <c r="F41" s="5">
        <f t="shared" si="1"/>
        <v>-654.1296199999997</v>
      </c>
      <c r="G41" s="19"/>
    </row>
    <row r="42" spans="1:7" ht="15.75" customHeight="1">
      <c r="A42" s="16">
        <v>2021500200</v>
      </c>
      <c r="B42" s="17" t="s">
        <v>377</v>
      </c>
      <c r="C42" s="12">
        <v>2230</v>
      </c>
      <c r="D42" s="20">
        <v>2230</v>
      </c>
      <c r="E42" s="9">
        <f t="shared" si="0"/>
        <v>100</v>
      </c>
      <c r="F42" s="9">
        <f t="shared" si="1"/>
        <v>0</v>
      </c>
    </row>
    <row r="43" spans="1:7" ht="15.75" customHeight="1">
      <c r="A43" s="16">
        <v>2020100310</v>
      </c>
      <c r="B43" s="17" t="s">
        <v>212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 ht="15.75" customHeight="1">
      <c r="A44" s="16">
        <v>2022000000</v>
      </c>
      <c r="B44" s="17" t="s">
        <v>19</v>
      </c>
      <c r="C44" s="12">
        <v>5827.6904500000001</v>
      </c>
      <c r="D44" s="10">
        <v>5337.0690000000004</v>
      </c>
      <c r="E44" s="9">
        <f t="shared" si="0"/>
        <v>91.581202635771447</v>
      </c>
      <c r="F44" s="9">
        <f t="shared" si="1"/>
        <v>-490.62144999999964</v>
      </c>
    </row>
    <row r="45" spans="1:7" ht="15.75" hidden="1" customHeight="1">
      <c r="A45" s="16">
        <v>2022999910</v>
      </c>
      <c r="B45" s="18" t="s">
        <v>312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13.5" customHeight="1">
      <c r="A46" s="16">
        <v>2023000000</v>
      </c>
      <c r="B46" s="17" t="s">
        <v>20</v>
      </c>
      <c r="C46" s="12">
        <v>198.36600000000001</v>
      </c>
      <c r="D46" s="175">
        <v>198.36600000000001</v>
      </c>
      <c r="E46" s="9">
        <f t="shared" si="0"/>
        <v>100</v>
      </c>
      <c r="F46" s="9">
        <f t="shared" si="1"/>
        <v>0</v>
      </c>
    </row>
    <row r="47" spans="1:7" ht="12.75" customHeight="1">
      <c r="A47" s="16">
        <v>2020400000</v>
      </c>
      <c r="B47" s="17" t="s">
        <v>21</v>
      </c>
      <c r="C47" s="12">
        <v>2800</v>
      </c>
      <c r="D47" s="176">
        <v>2636.3317099999999</v>
      </c>
      <c r="E47" s="9">
        <f t="shared" si="0"/>
        <v>94.154703928571422</v>
      </c>
      <c r="F47" s="9">
        <f t="shared" si="1"/>
        <v>-163.66829000000007</v>
      </c>
    </row>
    <row r="48" spans="1:7" ht="15" customHeight="1">
      <c r="A48" s="16">
        <v>2020700000</v>
      </c>
      <c r="B48" s="17"/>
      <c r="C48" s="12"/>
      <c r="D48" s="176"/>
      <c r="E48" s="9" t="e">
        <f t="shared" si="0"/>
        <v>#DIV/0!</v>
      </c>
      <c r="F48" s="9">
        <f t="shared" si="1"/>
        <v>0</v>
      </c>
    </row>
    <row r="49" spans="1:7" ht="18" customHeight="1">
      <c r="A49" s="16">
        <v>2020900000</v>
      </c>
      <c r="B49" s="18" t="s">
        <v>22</v>
      </c>
      <c r="C49" s="12">
        <v>0</v>
      </c>
      <c r="D49" s="176">
        <v>0</v>
      </c>
      <c r="E49" s="9" t="e">
        <f t="shared" si="0"/>
        <v>#DIV/0!</v>
      </c>
      <c r="F49" s="9">
        <f t="shared" si="1"/>
        <v>0</v>
      </c>
    </row>
    <row r="50" spans="1:7" ht="15.75" customHeight="1">
      <c r="A50" s="7">
        <v>2190500005</v>
      </c>
      <c r="B50" s="11" t="s">
        <v>23</v>
      </c>
      <c r="C50" s="14">
        <v>0</v>
      </c>
      <c r="D50" s="14">
        <v>0</v>
      </c>
      <c r="E50" s="5" t="e">
        <f>SUM(D50/C50*100)</f>
        <v>#DIV/0!</v>
      </c>
      <c r="F50" s="5">
        <f>SUM(D50-C50)</f>
        <v>0</v>
      </c>
    </row>
    <row r="51" spans="1:7" s="6" customFormat="1" ht="15.75" hidden="1" customHeight="1">
      <c r="A51" s="3">
        <v>3000000000</v>
      </c>
      <c r="B51" s="13" t="s">
        <v>24</v>
      </c>
      <c r="C51" s="179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7" s="6" customFormat="1" ht="17.25" customHeight="1">
      <c r="A52" s="7">
        <v>2070500010</v>
      </c>
      <c r="B52" s="8" t="s">
        <v>314</v>
      </c>
      <c r="C52" s="12">
        <v>892.39688000000001</v>
      </c>
      <c r="D52" s="10">
        <v>892.55700000000002</v>
      </c>
      <c r="E52" s="9">
        <f t="shared" si="0"/>
        <v>100.01794268935589</v>
      </c>
      <c r="F52" s="9">
        <f t="shared" si="1"/>
        <v>0.16012000000000626</v>
      </c>
    </row>
    <row r="53" spans="1:7" s="6" customFormat="1" ht="15.75" customHeight="1">
      <c r="A53" s="3"/>
      <c r="B53" s="4" t="s">
        <v>25</v>
      </c>
      <c r="C53" s="447">
        <f>C40+C41</f>
        <v>17317.143329999999</v>
      </c>
      <c r="D53" s="446">
        <f>D40+D41</f>
        <v>16526.366430000002</v>
      </c>
      <c r="E53" s="5">
        <f t="shared" si="0"/>
        <v>95.433560345775589</v>
      </c>
      <c r="F53" s="5">
        <f t="shared" si="1"/>
        <v>-790.77689999999711</v>
      </c>
      <c r="G53" s="91"/>
    </row>
    <row r="54" spans="1:7" s="6" customFormat="1">
      <c r="A54" s="3"/>
      <c r="B54" s="21" t="s">
        <v>291</v>
      </c>
      <c r="C54" s="90">
        <f>C53-C104</f>
        <v>0</v>
      </c>
      <c r="D54" s="90">
        <f>D53-D104</f>
        <v>139.32750000000306</v>
      </c>
      <c r="E54" s="22"/>
      <c r="F54" s="22"/>
    </row>
    <row r="55" spans="1:7">
      <c r="A55" s="23"/>
      <c r="B55" s="24"/>
      <c r="C55" s="174"/>
      <c r="D55" s="174"/>
      <c r="E55" s="26"/>
      <c r="F55" s="89"/>
    </row>
    <row r="56" spans="1:7" ht="42.75" customHeight="1">
      <c r="A56" s="28" t="s">
        <v>0</v>
      </c>
      <c r="B56" s="28" t="s">
        <v>26</v>
      </c>
      <c r="C56" s="167" t="s">
        <v>382</v>
      </c>
      <c r="D56" s="168" t="s">
        <v>403</v>
      </c>
      <c r="E56" s="72" t="s">
        <v>2</v>
      </c>
      <c r="F56" s="74" t="s">
        <v>3</v>
      </c>
    </row>
    <row r="57" spans="1:7">
      <c r="A57" s="87">
        <v>1</v>
      </c>
      <c r="B57" s="28">
        <v>2</v>
      </c>
      <c r="C57" s="85">
        <v>3</v>
      </c>
      <c r="D57" s="85">
        <v>4</v>
      </c>
      <c r="E57" s="85">
        <v>5</v>
      </c>
      <c r="F57" s="85">
        <v>6</v>
      </c>
    </row>
    <row r="58" spans="1:7" s="6" customFormat="1" ht="29.25" customHeight="1">
      <c r="A58" s="30" t="s">
        <v>27</v>
      </c>
      <c r="B58" s="31" t="s">
        <v>28</v>
      </c>
      <c r="C58" s="170">
        <f>C59+C60+C61+C62+C63+C65+C64</f>
        <v>2264.94085</v>
      </c>
      <c r="D58" s="32">
        <f>D59+D60+D61+D62+D63+D65+D64</f>
        <v>2235.2028100000002</v>
      </c>
      <c r="E58" s="34">
        <f>SUM(D58/C58*100)</f>
        <v>98.687027963666267</v>
      </c>
      <c r="F58" s="34">
        <f>SUM(D58-C58)</f>
        <v>-29.738039999999728</v>
      </c>
    </row>
    <row r="59" spans="1:7" s="6" customFormat="1" ht="31.5" hidden="1">
      <c r="A59" s="35" t="s">
        <v>29</v>
      </c>
      <c r="B59" s="36" t="s">
        <v>30</v>
      </c>
      <c r="C59" s="37"/>
      <c r="D59" s="37"/>
      <c r="E59" s="38"/>
      <c r="F59" s="38"/>
    </row>
    <row r="60" spans="1:7">
      <c r="A60" s="35" t="s">
        <v>31</v>
      </c>
      <c r="B60" s="39" t="s">
        <v>32</v>
      </c>
      <c r="C60" s="37">
        <v>2227.94085</v>
      </c>
      <c r="D60" s="37">
        <v>2203.2028100000002</v>
      </c>
      <c r="E60" s="38">
        <f t="shared" ref="E60:E104" si="3">SUM(D60/C60*100)</f>
        <v>98.889645566667554</v>
      </c>
      <c r="F60" s="38">
        <f t="shared" ref="F60:F104" si="4">SUM(D60-C60)</f>
        <v>-24.738039999999728</v>
      </c>
    </row>
    <row r="61" spans="1:7" ht="0.75" hidden="1" customHeight="1">
      <c r="A61" s="35" t="s">
        <v>33</v>
      </c>
      <c r="B61" s="39" t="s">
        <v>34</v>
      </c>
      <c r="C61" s="37"/>
      <c r="D61" s="37"/>
      <c r="E61" s="38"/>
      <c r="F61" s="38">
        <f t="shared" si="4"/>
        <v>0</v>
      </c>
    </row>
    <row r="62" spans="1:7" ht="31.5" hidden="1" customHeight="1">
      <c r="A62" s="35" t="s">
        <v>35</v>
      </c>
      <c r="B62" s="39" t="s">
        <v>36</v>
      </c>
      <c r="C62" s="37"/>
      <c r="D62" s="37"/>
      <c r="E62" s="38" t="e">
        <f t="shared" si="3"/>
        <v>#DIV/0!</v>
      </c>
      <c r="F62" s="38">
        <f t="shared" si="4"/>
        <v>0</v>
      </c>
    </row>
    <row r="63" spans="1:7" ht="17.25" customHeight="1">
      <c r="A63" s="35" t="s">
        <v>37</v>
      </c>
      <c r="B63" s="39" t="s">
        <v>38</v>
      </c>
      <c r="C63" s="37">
        <v>32</v>
      </c>
      <c r="D63" s="37">
        <v>32</v>
      </c>
      <c r="E63" s="38">
        <f t="shared" si="3"/>
        <v>100</v>
      </c>
      <c r="F63" s="38">
        <f t="shared" si="4"/>
        <v>0</v>
      </c>
    </row>
    <row r="64" spans="1:7" ht="15.75" customHeight="1">
      <c r="A64" s="35" t="s">
        <v>39</v>
      </c>
      <c r="B64" s="39" t="s">
        <v>40</v>
      </c>
      <c r="C64" s="40">
        <v>5</v>
      </c>
      <c r="D64" s="40">
        <v>0</v>
      </c>
      <c r="E64" s="38">
        <f>SUM(D64/C64*100)</f>
        <v>0</v>
      </c>
      <c r="F64" s="38">
        <f t="shared" si="4"/>
        <v>-5</v>
      </c>
    </row>
    <row r="65" spans="1:7" ht="18" customHeight="1">
      <c r="A65" s="35" t="s">
        <v>41</v>
      </c>
      <c r="B65" s="39" t="s">
        <v>42</v>
      </c>
      <c r="C65" s="37"/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>
      <c r="A66" s="41" t="s">
        <v>43</v>
      </c>
      <c r="B66" s="42" t="s">
        <v>44</v>
      </c>
      <c r="C66" s="32">
        <f>C67</f>
        <v>198.36600000000001</v>
      </c>
      <c r="D66" s="32">
        <f>D67</f>
        <v>198.36600000000001</v>
      </c>
      <c r="E66" s="34">
        <f t="shared" si="3"/>
        <v>100</v>
      </c>
      <c r="F66" s="34">
        <f t="shared" si="4"/>
        <v>0</v>
      </c>
    </row>
    <row r="67" spans="1:7">
      <c r="A67" s="43" t="s">
        <v>45</v>
      </c>
      <c r="B67" s="44" t="s">
        <v>46</v>
      </c>
      <c r="C67" s="37">
        <v>198.36600000000001</v>
      </c>
      <c r="D67" s="37">
        <v>198.36600000000001</v>
      </c>
      <c r="E67" s="38">
        <f t="shared" si="3"/>
        <v>100</v>
      </c>
      <c r="F67" s="38">
        <f t="shared" si="4"/>
        <v>0</v>
      </c>
    </row>
    <row r="68" spans="1:7" s="6" customFormat="1" ht="15" customHeight="1">
      <c r="A68" s="30" t="s">
        <v>47</v>
      </c>
      <c r="B68" s="31" t="s">
        <v>48</v>
      </c>
      <c r="C68" s="32">
        <f>C71+C72+C73</f>
        <v>2.4</v>
      </c>
      <c r="D68" s="32">
        <f>D71+D72</f>
        <v>2.4</v>
      </c>
      <c r="E68" s="34">
        <f t="shared" si="3"/>
        <v>100</v>
      </c>
      <c r="F68" s="34">
        <f t="shared" si="4"/>
        <v>0</v>
      </c>
    </row>
    <row r="69" spans="1:7" hidden="1">
      <c r="A69" s="35" t="s">
        <v>49</v>
      </c>
      <c r="B69" s="39" t="s">
        <v>50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idden="1">
      <c r="A70" s="45" t="s">
        <v>51</v>
      </c>
      <c r="B70" s="39" t="s">
        <v>52</v>
      </c>
      <c r="C70" s="37"/>
      <c r="D70" s="37"/>
      <c r="E70" s="34" t="e">
        <f t="shared" si="3"/>
        <v>#DIV/0!</v>
      </c>
      <c r="F70" s="34">
        <f t="shared" si="4"/>
        <v>0</v>
      </c>
    </row>
    <row r="71" spans="1:7" ht="17.25" customHeight="1">
      <c r="A71" s="46" t="s">
        <v>53</v>
      </c>
      <c r="B71" s="47" t="s">
        <v>54</v>
      </c>
      <c r="C71" s="93"/>
      <c r="D71" s="37">
        <v>0</v>
      </c>
      <c r="E71" s="34" t="e">
        <f t="shared" si="3"/>
        <v>#DIV/0!</v>
      </c>
      <c r="F71" s="34">
        <f t="shared" si="4"/>
        <v>0</v>
      </c>
    </row>
    <row r="72" spans="1:7" ht="15.75" customHeight="1">
      <c r="A72" s="46" t="s">
        <v>199</v>
      </c>
      <c r="B72" s="47" t="s">
        <v>200</v>
      </c>
      <c r="C72" s="37">
        <v>2.4</v>
      </c>
      <c r="D72" s="37">
        <v>2.4</v>
      </c>
      <c r="E72" s="34">
        <f t="shared" si="3"/>
        <v>100</v>
      </c>
      <c r="F72" s="34">
        <f t="shared" si="4"/>
        <v>0</v>
      </c>
    </row>
    <row r="73" spans="1:7" ht="15.75" customHeight="1">
      <c r="A73" s="46" t="s">
        <v>320</v>
      </c>
      <c r="B73" s="47" t="s">
        <v>376</v>
      </c>
      <c r="C73" s="37">
        <v>0</v>
      </c>
      <c r="D73" s="37"/>
      <c r="E73" s="34"/>
      <c r="F73" s="34"/>
    </row>
    <row r="74" spans="1:7" s="6" customFormat="1" ht="17.25" customHeight="1">
      <c r="A74" s="30" t="s">
        <v>55</v>
      </c>
      <c r="B74" s="31" t="s">
        <v>56</v>
      </c>
      <c r="C74" s="48">
        <f>SUM(C75:C78)</f>
        <v>2283.4730199999999</v>
      </c>
      <c r="D74" s="48">
        <f>SUM(D75:D78)</f>
        <v>2158.6456899999998</v>
      </c>
      <c r="E74" s="34">
        <f t="shared" si="3"/>
        <v>94.533444060574013</v>
      </c>
      <c r="F74" s="34">
        <f t="shared" si="4"/>
        <v>-124.82733000000007</v>
      </c>
    </row>
    <row r="75" spans="1:7" ht="15" customHeight="1">
      <c r="A75" s="35" t="s">
        <v>57</v>
      </c>
      <c r="B75" s="39" t="s">
        <v>58</v>
      </c>
      <c r="C75" s="49"/>
      <c r="D75" s="37">
        <v>0</v>
      </c>
      <c r="E75" s="38" t="e">
        <f t="shared" si="3"/>
        <v>#DIV/0!</v>
      </c>
      <c r="F75" s="38">
        <f t="shared" si="4"/>
        <v>0</v>
      </c>
    </row>
    <row r="76" spans="1:7" s="6" customFormat="1" ht="15" hidden="1" customHeight="1">
      <c r="A76" s="35" t="s">
        <v>59</v>
      </c>
      <c r="B76" s="39" t="s">
        <v>60</v>
      </c>
      <c r="C76" s="49">
        <v>0</v>
      </c>
      <c r="D76" s="37">
        <v>0</v>
      </c>
      <c r="E76" s="38" t="e">
        <f t="shared" si="3"/>
        <v>#DIV/0!</v>
      </c>
      <c r="F76" s="38">
        <f t="shared" si="4"/>
        <v>0</v>
      </c>
      <c r="G76" s="50"/>
    </row>
    <row r="77" spans="1:7">
      <c r="A77" s="35" t="s">
        <v>61</v>
      </c>
      <c r="B77" s="39" t="s">
        <v>62</v>
      </c>
      <c r="C77" s="49">
        <v>2039.52439</v>
      </c>
      <c r="D77" s="37">
        <v>2013.62069</v>
      </c>
      <c r="E77" s="38">
        <f t="shared" si="3"/>
        <v>98.729914673881396</v>
      </c>
      <c r="F77" s="38">
        <f t="shared" si="4"/>
        <v>-25.903700000000072</v>
      </c>
    </row>
    <row r="78" spans="1:7">
      <c r="A78" s="35" t="s">
        <v>63</v>
      </c>
      <c r="B78" s="39" t="s">
        <v>64</v>
      </c>
      <c r="C78" s="49">
        <v>243.94863000000001</v>
      </c>
      <c r="D78" s="37">
        <v>145.02500000000001</v>
      </c>
      <c r="E78" s="38">
        <f t="shared" si="3"/>
        <v>59.448991371667063</v>
      </c>
      <c r="F78" s="38">
        <f t="shared" si="4"/>
        <v>-98.923630000000003</v>
      </c>
    </row>
    <row r="79" spans="1:7" s="6" customFormat="1" ht="17.25" customHeight="1">
      <c r="A79" s="30" t="s">
        <v>65</v>
      </c>
      <c r="B79" s="31" t="s">
        <v>66</v>
      </c>
      <c r="C79" s="32">
        <f>SUM(C80:C83)</f>
        <v>11223.963459999999</v>
      </c>
      <c r="D79" s="32">
        <f>SUM(D80:D83)</f>
        <v>10548.424429999999</v>
      </c>
      <c r="E79" s="34">
        <f t="shared" si="3"/>
        <v>93.981279140764414</v>
      </c>
      <c r="F79" s="34">
        <f t="shared" si="4"/>
        <v>-675.53902999999991</v>
      </c>
    </row>
    <row r="80" spans="1:7" ht="17.25" hidden="1" customHeight="1">
      <c r="A80" s="35" t="s">
        <v>67</v>
      </c>
      <c r="B80" s="51" t="s">
        <v>68</v>
      </c>
      <c r="C80" s="37">
        <v>0</v>
      </c>
      <c r="D80" s="37">
        <v>0</v>
      </c>
      <c r="E80" s="38" t="e">
        <f t="shared" si="3"/>
        <v>#DIV/0!</v>
      </c>
      <c r="F80" s="38">
        <f t="shared" si="4"/>
        <v>0</v>
      </c>
    </row>
    <row r="81" spans="1:6" ht="18" customHeight="1">
      <c r="A81" s="35" t="s">
        <v>69</v>
      </c>
      <c r="B81" s="51" t="s">
        <v>70</v>
      </c>
      <c r="C81" s="37">
        <v>8685.6314399999992</v>
      </c>
      <c r="D81" s="37">
        <v>8261.5553899999995</v>
      </c>
      <c r="E81" s="38">
        <f t="shared" si="3"/>
        <v>95.117498906907343</v>
      </c>
      <c r="F81" s="38">
        <f t="shared" si="4"/>
        <v>-424.07604999999967</v>
      </c>
    </row>
    <row r="82" spans="1:6" ht="18" customHeight="1">
      <c r="A82" s="35" t="s">
        <v>71</v>
      </c>
      <c r="B82" s="39" t="s">
        <v>72</v>
      </c>
      <c r="C82" s="37">
        <v>2538.3320199999998</v>
      </c>
      <c r="D82" s="37">
        <v>2286.86904</v>
      </c>
      <c r="E82" s="38">
        <f t="shared" si="3"/>
        <v>90.093377146146565</v>
      </c>
      <c r="F82" s="38">
        <f t="shared" si="4"/>
        <v>-251.46297999999979</v>
      </c>
    </row>
    <row r="83" spans="1:6" hidden="1">
      <c r="A83" s="35" t="s">
        <v>236</v>
      </c>
      <c r="B83" s="39" t="s">
        <v>237</v>
      </c>
      <c r="C83" s="37">
        <v>0</v>
      </c>
      <c r="D83" s="37">
        <v>0</v>
      </c>
      <c r="E83" s="38" t="e">
        <f t="shared" si="3"/>
        <v>#DIV/0!</v>
      </c>
      <c r="F83" s="38">
        <f t="shared" si="4"/>
        <v>0</v>
      </c>
    </row>
    <row r="84" spans="1:6" s="6" customFormat="1" ht="20.25" customHeight="1">
      <c r="A84" s="30" t="s">
        <v>83</v>
      </c>
      <c r="B84" s="31" t="s">
        <v>84</v>
      </c>
      <c r="C84" s="32">
        <f>C85+C86</f>
        <v>1312</v>
      </c>
      <c r="D84" s="32">
        <f>D85+D86</f>
        <v>1212</v>
      </c>
      <c r="E84" s="34">
        <f t="shared" si="3"/>
        <v>92.378048780487802</v>
      </c>
      <c r="F84" s="34">
        <f t="shared" si="4"/>
        <v>-100</v>
      </c>
    </row>
    <row r="85" spans="1:6" ht="18" customHeight="1">
      <c r="A85" s="35" t="s">
        <v>85</v>
      </c>
      <c r="B85" s="39" t="s">
        <v>214</v>
      </c>
      <c r="C85" s="37">
        <v>1312</v>
      </c>
      <c r="D85" s="37">
        <v>1212</v>
      </c>
      <c r="E85" s="38">
        <f t="shared" si="3"/>
        <v>92.378048780487802</v>
      </c>
      <c r="F85" s="38">
        <f t="shared" si="4"/>
        <v>-100</v>
      </c>
    </row>
    <row r="86" spans="1:6" hidden="1">
      <c r="A86" s="35" t="s">
        <v>242</v>
      </c>
      <c r="B86" s="39" t="s">
        <v>243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s="6" customFormat="1" hidden="1">
      <c r="A87" s="52">
        <v>1000</v>
      </c>
      <c r="B87" s="31" t="s">
        <v>86</v>
      </c>
      <c r="C87" s="32">
        <f>SUM(C88:C91)</f>
        <v>0</v>
      </c>
      <c r="D87" s="32">
        <f>SUM(D88:D91)</f>
        <v>0</v>
      </c>
      <c r="E87" s="38" t="e">
        <f t="shared" si="3"/>
        <v>#DIV/0!</v>
      </c>
      <c r="F87" s="38">
        <f t="shared" si="4"/>
        <v>0</v>
      </c>
    </row>
    <row r="88" spans="1:6" hidden="1">
      <c r="A88" s="53">
        <v>1001</v>
      </c>
      <c r="B88" s="54" t="s">
        <v>87</v>
      </c>
      <c r="C88" s="37"/>
      <c r="D88" s="37"/>
      <c r="E88" s="38" t="e">
        <f t="shared" si="3"/>
        <v>#DIV/0!</v>
      </c>
      <c r="F88" s="38">
        <f t="shared" si="4"/>
        <v>0</v>
      </c>
    </row>
    <row r="89" spans="1:6" ht="17.25" hidden="1" customHeight="1">
      <c r="A89" s="53">
        <v>1003</v>
      </c>
      <c r="B89" s="54" t="s">
        <v>88</v>
      </c>
      <c r="C89" s="37">
        <v>0</v>
      </c>
      <c r="D89" s="37">
        <v>0</v>
      </c>
      <c r="E89" s="38" t="e">
        <f t="shared" si="3"/>
        <v>#DIV/0!</v>
      </c>
      <c r="F89" s="38">
        <f t="shared" si="4"/>
        <v>0</v>
      </c>
    </row>
    <row r="90" spans="1:6" ht="15" hidden="1" customHeight="1">
      <c r="A90" s="53">
        <v>1004</v>
      </c>
      <c r="B90" s="54" t="s">
        <v>89</v>
      </c>
      <c r="C90" s="37">
        <v>0</v>
      </c>
      <c r="D90" s="55">
        <v>0</v>
      </c>
      <c r="E90" s="38" t="e">
        <f t="shared" si="3"/>
        <v>#DIV/0!</v>
      </c>
      <c r="F90" s="38">
        <f t="shared" si="4"/>
        <v>0</v>
      </c>
    </row>
    <row r="91" spans="1:6" ht="18" hidden="1" customHeight="1">
      <c r="A91" s="35" t="s">
        <v>90</v>
      </c>
      <c r="B91" s="39" t="s">
        <v>91</v>
      </c>
      <c r="C91" s="37">
        <v>0</v>
      </c>
      <c r="D91" s="37">
        <v>0</v>
      </c>
      <c r="E91" s="38" t="e">
        <f t="shared" si="3"/>
        <v>#DIV/0!</v>
      </c>
      <c r="F91" s="38">
        <f t="shared" si="4"/>
        <v>0</v>
      </c>
    </row>
    <row r="92" spans="1:6" ht="18.75" hidden="1" customHeight="1">
      <c r="A92" s="52">
        <v>1000</v>
      </c>
      <c r="B92" s="31" t="s">
        <v>86</v>
      </c>
      <c r="C92" s="32">
        <f>SUM(C93)</f>
        <v>0</v>
      </c>
      <c r="D92" s="32">
        <f>SUM(D93)</f>
        <v>0</v>
      </c>
      <c r="E92" s="34" t="e">
        <f t="shared" si="3"/>
        <v>#DIV/0!</v>
      </c>
      <c r="F92" s="34">
        <f t="shared" si="4"/>
        <v>0</v>
      </c>
    </row>
    <row r="93" spans="1:6" ht="20.25" hidden="1" customHeight="1">
      <c r="A93" s="53">
        <v>1006</v>
      </c>
      <c r="B93" s="54" t="s">
        <v>87</v>
      </c>
      <c r="C93" s="37">
        <v>0</v>
      </c>
      <c r="D93" s="37">
        <v>0</v>
      </c>
      <c r="E93" s="38" t="e">
        <f t="shared" si="3"/>
        <v>#DIV/0!</v>
      </c>
      <c r="F93" s="38">
        <f t="shared" si="4"/>
        <v>0</v>
      </c>
    </row>
    <row r="94" spans="1:6" ht="16.5" customHeight="1">
      <c r="A94" s="53">
        <v>1100</v>
      </c>
      <c r="B94" s="56" t="s">
        <v>93</v>
      </c>
      <c r="C94" s="32">
        <f>C95+C96+C97+C98+C99</f>
        <v>32</v>
      </c>
      <c r="D94" s="32">
        <f>D95+D96+D97+D98+D99</f>
        <v>32</v>
      </c>
      <c r="E94" s="38">
        <f t="shared" si="3"/>
        <v>100</v>
      </c>
      <c r="F94" s="22">
        <f>F95+F96+F97+F98+F99</f>
        <v>0</v>
      </c>
    </row>
    <row r="95" spans="1:6" ht="18.75" customHeight="1">
      <c r="A95" s="53">
        <v>1101</v>
      </c>
      <c r="B95" s="54" t="s">
        <v>95</v>
      </c>
      <c r="C95" s="37">
        <v>32</v>
      </c>
      <c r="D95" s="37">
        <v>32</v>
      </c>
      <c r="E95" s="38">
        <f t="shared" si="3"/>
        <v>100</v>
      </c>
      <c r="F95" s="38">
        <f>SUM(D95-C95)</f>
        <v>0</v>
      </c>
    </row>
    <row r="96" spans="1:6" ht="0.75" hidden="1" customHeight="1">
      <c r="A96" s="35" t="s">
        <v>90</v>
      </c>
      <c r="B96" s="39" t="s">
        <v>91</v>
      </c>
      <c r="C96" s="37"/>
      <c r="D96" s="37"/>
      <c r="E96" s="38" t="e">
        <f t="shared" si="3"/>
        <v>#DIV/0!</v>
      </c>
      <c r="F96" s="38">
        <f>SUM(D96-C96)</f>
        <v>0</v>
      </c>
    </row>
    <row r="97" spans="1:6" ht="18" hidden="1" customHeight="1">
      <c r="A97" s="35" t="s">
        <v>98</v>
      </c>
      <c r="B97" s="39" t="s">
        <v>99</v>
      </c>
      <c r="C97" s="37"/>
      <c r="D97" s="37"/>
      <c r="E97" s="38" t="e">
        <f t="shared" si="3"/>
        <v>#DIV/0!</v>
      </c>
      <c r="F97" s="38"/>
    </row>
    <row r="98" spans="1:6" ht="17.25" hidden="1" customHeight="1">
      <c r="A98" s="35" t="s">
        <v>100</v>
      </c>
      <c r="B98" s="39" t="s">
        <v>101</v>
      </c>
      <c r="C98" s="37"/>
      <c r="D98" s="37"/>
      <c r="E98" s="38" t="e">
        <f t="shared" si="3"/>
        <v>#DIV/0!</v>
      </c>
      <c r="F98" s="38"/>
    </row>
    <row r="99" spans="1:6" ht="18" hidden="1" customHeight="1">
      <c r="A99" s="35" t="s">
        <v>102</v>
      </c>
      <c r="B99" s="39" t="s">
        <v>103</v>
      </c>
      <c r="C99" s="37"/>
      <c r="D99" s="37"/>
      <c r="E99" s="38" t="e">
        <f t="shared" si="3"/>
        <v>#DIV/0!</v>
      </c>
      <c r="F99" s="38"/>
    </row>
    <row r="100" spans="1:6" s="6" customFormat="1" ht="57.75" hidden="1" customHeight="1">
      <c r="A100" s="52">
        <v>1400</v>
      </c>
      <c r="B100" s="56" t="s">
        <v>112</v>
      </c>
      <c r="C100" s="48">
        <f>C101+C102+C103</f>
        <v>0</v>
      </c>
      <c r="D100" s="48">
        <f>SUM(D101:D103)</f>
        <v>0</v>
      </c>
      <c r="E100" s="34" t="e">
        <f t="shared" si="3"/>
        <v>#DIV/0!</v>
      </c>
      <c r="F100" s="34">
        <f t="shared" si="4"/>
        <v>0</v>
      </c>
    </row>
    <row r="101" spans="1:6" ht="1.5" hidden="1" customHeight="1">
      <c r="A101" s="53">
        <v>1401</v>
      </c>
      <c r="B101" s="54" t="s">
        <v>113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16.5" hidden="1" customHeight="1">
      <c r="A102" s="53">
        <v>1402</v>
      </c>
      <c r="B102" s="54" t="s">
        <v>114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ht="20.25" hidden="1" customHeight="1">
      <c r="A103" s="53">
        <v>1403</v>
      </c>
      <c r="B103" s="54" t="s">
        <v>115</v>
      </c>
      <c r="C103" s="49"/>
      <c r="D103" s="37"/>
      <c r="E103" s="38" t="e">
        <f t="shared" si="3"/>
        <v>#DIV/0!</v>
      </c>
      <c r="F103" s="38">
        <f t="shared" si="4"/>
        <v>0</v>
      </c>
    </row>
    <row r="104" spans="1:6" s="6" customFormat="1" ht="14.25" customHeight="1">
      <c r="A104" s="52"/>
      <c r="B104" s="57" t="s">
        <v>116</v>
      </c>
      <c r="C104" s="435">
        <f>C58+C66+C68+C74+C79+C84+C87+C94+C100+C92</f>
        <v>17317.143329999999</v>
      </c>
      <c r="D104" s="435">
        <f>D58+D66+D68+D74+D79+D84+D87+D94+D100+D92</f>
        <v>16387.038929999999</v>
      </c>
      <c r="E104" s="34">
        <f t="shared" si="3"/>
        <v>94.628996351905798</v>
      </c>
      <c r="F104" s="34">
        <f t="shared" si="4"/>
        <v>-930.10440000000017</v>
      </c>
    </row>
    <row r="105" spans="1:6">
      <c r="D105" s="169"/>
    </row>
    <row r="106" spans="1:6" s="65" customFormat="1" ht="12.75">
      <c r="A106" s="63" t="s">
        <v>117</v>
      </c>
      <c r="B106" s="63"/>
      <c r="C106" s="115"/>
      <c r="D106" s="64"/>
    </row>
    <row r="107" spans="1:6" s="65" customFormat="1" ht="18.75" customHeight="1">
      <c r="A107" s="66" t="s">
        <v>118</v>
      </c>
      <c r="B107" s="66"/>
      <c r="C107" s="65" t="s">
        <v>119</v>
      </c>
    </row>
    <row r="144" hidden="1"/>
  </sheetData>
  <customSheetViews>
    <customSheetView guid="{5BFCA170-DEAE-4D2C-98A0-1E68B427AC01}" scale="86" showPageBreaks="1" hiddenRows="1" view="pageBreakPreview" topLeftCell="A7">
      <selection activeCell="C47" sqref="C47"/>
      <pageMargins left="0.7" right="0.7" top="0.75" bottom="0.75" header="0.3" footer="0.3"/>
      <pageSetup paperSize="9" scale="53" orientation="portrait" r:id="rId1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3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4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5"/>
    </customSheetView>
    <customSheetView guid="{B31C8DB7-3E78-4144-A6B5-8DE36DE63F0E}" scale="86" showPageBreaks="1" hiddenRows="1" view="pageBreakPreview" topLeftCell="A4">
      <selection activeCell="D27" sqref="D27"/>
      <pageMargins left="0.7" right="0.7" top="0.75" bottom="0.75" header="0.3" footer="0.3"/>
      <pageSetup paperSize="9" scale="53" orientation="portrait" r:id="rId6"/>
    </customSheetView>
    <customSheetView guid="{B30CE22D-C12F-4E12-8BB9-3AAE0A6991CC}" scale="70" showPageBreaks="1" hiddenRows="1" view="pageBreakPreview" topLeftCell="A34">
      <selection activeCell="C53" activeCellId="1" sqref="C104:D104 C53:D54"/>
      <pageMargins left="0.70866141732283472" right="0.70866141732283472" top="0.74803149606299213" bottom="0.74803149606299213" header="0.31496062992125984" footer="0.31496062992125984"/>
      <pageSetup paperSize="9" scale="60" orientation="portrait" r:id="rId7"/>
    </customSheetView>
    <customSheetView guid="{1718F1EE-9F48-4DBE-9531-3B70F9C4A5DD}" scale="70" showPageBreaks="1" hiddenRows="1" view="pageBreakPreview" topLeftCell="A43">
      <selection activeCell="C104" sqref="C104"/>
      <pageMargins left="0.7" right="0.7" top="0.75" bottom="0.75" header="0.3" footer="0.3"/>
      <pageSetup paperSize="9" scale="39" orientation="portrait" r:id="rId8"/>
    </customSheetView>
    <customSheetView guid="{61528DAC-5C4C-48F4-ADE2-8A724B05A086}" scale="70" showPageBreaks="1" hiddenRows="1" view="pageBreakPreview">
      <selection activeCell="A2" sqref="A2:F2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Лист1</vt:lpstr>
      <vt:lpstr>Лист2</vt:lpstr>
      <vt:lpstr>Лист3</vt:lpstr>
      <vt:lpstr>Лист4</vt:lpstr>
      <vt:lpstr>Лист5</vt:lpstr>
      <vt:lpstr>Але!Область_печати</vt:lpstr>
      <vt:lpstr>Иль!Область_печати</vt:lpstr>
      <vt:lpstr>Консол!Область_печати</vt:lpstr>
      <vt:lpstr>Мор!Область_печати</vt:lpstr>
      <vt:lpstr>район!Область_печати</vt:lpstr>
      <vt:lpstr>Справка!Область_печати</vt:lpstr>
      <vt:lpstr>Сун!Область_печати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morgau_fin3</cp:lastModifiedBy>
  <cp:lastPrinted>2021-01-19T08:09:37Z</cp:lastPrinted>
  <dcterms:created xsi:type="dcterms:W3CDTF">1996-10-08T23:32:33Z</dcterms:created>
  <dcterms:modified xsi:type="dcterms:W3CDTF">2021-01-25T08:05:59Z</dcterms:modified>
</cp:coreProperties>
</file>