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72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7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91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30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26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9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5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512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2211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134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05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110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5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21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41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9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Хор!$19:$24,Хор!$28:$35,Хор!$40:$40,Хор!$46:$48,Хор!$55:$55,Хор!$57:$58,Хор!$65:$66,Хор!$76:$76,Хор!$81:$85,Хор!$88:$95,Хор!$142:$142</definedName>
    <definedName name="Z_61528DAC_5C4C_48F4_ADE2_8A724B05A086_.wvu.Rows" localSheetId="13" hidden="1">Чум!$19:$24,Чум!$31:$36,Чум!$48:$49,Чум!$57:$57,Чум!$59:$60,Чум!$67:$68,Чум!$78:$78,Чум!$83:$87,Чум!$90:$97,Чум!$142:$142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Шать!$19:$25,Шать!$31:$33,Шать!$57:$57,Шать!$59:$60,Шать!$67:$68,Шать!$78:$78,Шать!$84:$86,Шать!$90:$97,Шать!$142:$142</definedName>
    <definedName name="Z_61528DAC_5C4C_48F4_ADE2_8A724B05A086_.wvu.Rows" localSheetId="15" hidden="1">Юнг!$19:$24,Юнг!$38:$38,Юнг!$46:$46,Юнг!$56:$56,Юнг!$58:$59,Юнг!$66:$67,Юнг!$77:$77,Юнг!$82:$86,Юнг!$89:$96,Юнг!$142:$142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Юсь!$19:$24,Юсь!$36:$36,Юсь!$43:$48,Юсь!$57:$57,Юсь!$59:$60,Юсь!$67:$68,Юсь!$83:$87,Юсь!$90:$97,Юсь!$141:$141</definedName>
    <definedName name="Z_61528DAC_5C4C_48F4_ADE2_8A724B05A086_.wvu.Rows" localSheetId="17" hidden="1">Яра!$19:$24,Яра!$28:$29,Яра!$33:$33,Яра!$46:$46,Яра!$58:$58,Яра!$60:$61,Яра!$68:$69,Яра!$79:$79,Яра!$84:$88,Яра!$91:$98,Яра!$143:$143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район!$18:$19,район!$21:$21,район!$28:$32,район!$36:$36,район!$39:$39,район!$51:$52,район!#REF!,район!$64:$64,район!$71:$71,район!$88:$88,район!$123:$125,район!$128:$129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район!$A$1:$F$137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CD19" i="2"/>
  <c r="CC19"/>
  <c r="CV18"/>
  <c r="J26" i="1" s="1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D34" i="3"/>
  <c r="C56" i="17"/>
  <c r="AZ15" i="2"/>
  <c r="D40" i="7"/>
  <c r="C62" i="3"/>
  <c r="D53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D130"/>
  <c r="C130"/>
  <c r="F129"/>
  <c r="C128"/>
  <c r="F128" s="1"/>
  <c r="F127"/>
  <c r="E127"/>
  <c r="D126"/>
  <c r="C126"/>
  <c r="E125"/>
  <c r="E124"/>
  <c r="E123"/>
  <c r="F122"/>
  <c r="E122"/>
  <c r="F121"/>
  <c r="E121"/>
  <c r="D120"/>
  <c r="C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D106"/>
  <c r="C106"/>
  <c r="F105"/>
  <c r="E105"/>
  <c r="D104"/>
  <c r="C104"/>
  <c r="F103"/>
  <c r="E103"/>
  <c r="F102"/>
  <c r="E102"/>
  <c r="F101"/>
  <c r="E101"/>
  <c r="D100"/>
  <c r="C100"/>
  <c r="F99"/>
  <c r="E99"/>
  <c r="F98"/>
  <c r="E98"/>
  <c r="F96"/>
  <c r="E96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1" i="5" l="1"/>
  <c r="E41"/>
  <c r="D25" i="4"/>
  <c r="C25"/>
  <c r="CQ17" i="2"/>
  <c r="CQ14"/>
  <c r="E104" i="3"/>
  <c r="E130"/>
  <c r="F120"/>
  <c r="E24"/>
  <c r="F126"/>
  <c r="F7"/>
  <c r="F24"/>
  <c r="E43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E106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F106"/>
  <c r="E62"/>
  <c r="D33"/>
  <c r="F85"/>
  <c r="F5"/>
  <c r="F17"/>
  <c r="F22"/>
  <c r="F28"/>
  <c r="F34"/>
  <c r="F43"/>
  <c r="F130"/>
  <c r="D134"/>
  <c r="D40" i="16"/>
  <c r="F4" i="3" l="1"/>
  <c r="E4"/>
  <c r="C61"/>
  <c r="C72" s="1"/>
  <c r="D61"/>
  <c r="D72" s="1"/>
  <c r="H72" s="1"/>
  <c r="F134"/>
  <c r="E134"/>
  <c r="E33"/>
  <c r="F33"/>
  <c r="D34" i="15"/>
  <c r="D36" i="7"/>
  <c r="D66" i="12"/>
  <c r="D34" i="11"/>
  <c r="D26"/>
  <c r="D14"/>
  <c r="CV26" i="2"/>
  <c r="AT18"/>
  <c r="AQ18"/>
  <c r="C73" i="3" l="1"/>
  <c r="G72"/>
  <c r="F61"/>
  <c r="E61"/>
  <c r="D73"/>
  <c r="F72" s="1"/>
  <c r="E72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Q29" s="1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CA23" i="2" l="1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8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98" i="17"/>
  <c r="E64"/>
  <c r="F64"/>
  <c r="F76" i="16"/>
  <c r="E76"/>
  <c r="EI26" i="2"/>
  <c r="E53" i="19"/>
  <c r="F53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50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D15" i="1" l="1"/>
  <c r="E15" s="1"/>
  <c r="J14"/>
  <c r="J4"/>
  <c r="K4" s="1"/>
  <c r="D7"/>
  <c r="E50" i="16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E7" i="1"/>
  <c r="K7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7" s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 l="1"/>
  <c r="G44" s="1"/>
  <c r="C43"/>
  <c r="D23"/>
  <c r="D27" s="1"/>
  <c r="I43"/>
  <c r="F44" s="1"/>
  <c r="F45" s="1"/>
  <c r="E14"/>
  <c r="EY31" i="2"/>
  <c r="K23" i="1"/>
  <c r="K27" l="1"/>
  <c r="E23"/>
  <c r="G45"/>
  <c r="C44"/>
  <c r="E27"/>
  <c r="D43"/>
  <c r="D44" s="1"/>
</calcChain>
</file>

<file path=xl/sharedStrings.xml><?xml version="1.0" encoding="utf-8"?>
<sst xmlns="http://schemas.openxmlformats.org/spreadsheetml/2006/main" count="2850" uniqueCount="437">
  <si>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</si>
  <si>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</si>
  <si>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</si>
  <si>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</si>
  <si>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</si>
  <si>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</si>
  <si>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</si>
  <si>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</si>
  <si>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</si>
  <si>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</si>
  <si>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</si>
  <si>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</si>
  <si>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</si>
  <si>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</si>
  <si>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</si>
  <si>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</si>
  <si>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</si>
  <si>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</si>
  <si>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</si>
  <si>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</si>
  <si>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</si>
  <si>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</si>
  <si>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</si>
  <si>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</si>
  <si>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</si>
  <si>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</si>
  <si>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</si>
  <si>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</si>
  <si>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</si>
  <si>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</si>
  <si>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</si>
  <si>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</si>
  <si>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</si>
  <si>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</si>
  <si>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</si>
  <si>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</si>
  <si>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</si>
  <si>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</si>
  <si>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</si>
  <si>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</si>
  <si>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</si>
  <si>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</si>
  <si>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</si>
  <si>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</si>
  <si>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</si>
  <si>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</si>
  <si>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</si>
  <si>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</si>
  <si>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</si>
  <si>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</si>
  <si>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</si>
  <si>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</si>
  <si>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</si>
  <si>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</si>
  <si>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</si>
  <si>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</si>
  <si>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</si>
  <si>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</si>
  <si>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</si>
  <si>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</si>
  <si>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</si>
  <si>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</si>
  <si>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</si>
  <si>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</si>
  <si>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</si>
  <si>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</si>
  <si>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</si>
  <si>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</si>
  <si>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</si>
  <si>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</si>
  <si>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</si>
  <si>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</si>
  <si>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</si>
  <si>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</si>
  <si>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</si>
  <si>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</si>
  <si>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</si>
  <si>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</si>
  <si>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</si>
  <si>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</si>
  <si>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</si>
  <si>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</si>
  <si>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</si>
  <si>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</si>
  <si>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</si>
  <si>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</si>
  <si>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</si>
  <si>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</si>
  <si>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</si>
  <si>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</si>
  <si>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</si>
  <si>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</si>
  <si>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</si>
  <si>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</si>
  <si>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</si>
  <si>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</si>
  <si>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</si>
  <si>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</si>
  <si>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</si>
  <si>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</si>
  <si>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</si>
  <si>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</si>
  <si>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</si>
  <si>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</si>
  <si>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</si>
  <si>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</si>
  <si>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</si>
  <si>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</si>
  <si>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</si>
  <si>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</si>
  <si>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</si>
  <si>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</si>
  <si>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</si>
  <si>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</si>
  <si>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</si>
  <si>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</si>
  <si>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</si>
  <si>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</si>
  <si>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</si>
  <si>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</si>
  <si>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</si>
  <si>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</si>
  <si>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</si>
  <si>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</si>
  <si>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</si>
  <si>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</si>
  <si>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</si>
  <si>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</si>
  <si>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</si>
  <si>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</si>
  <si>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</si>
  <si>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</si>
  <si>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</si>
  <si>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</si>
  <si>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</si>
  <si>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</si>
  <si>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</si>
  <si>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</si>
  <si>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</si>
  <si>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</si>
  <si>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</si>
  <si>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</si>
  <si>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</si>
  <si>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</si>
  <si>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</si>
  <si>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</si>
  <si>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</si>
  <si>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</si>
  <si>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</si>
  <si>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</si>
  <si>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</si>
  <si>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</si>
  <si>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</si>
  <si>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</si>
  <si>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</si>
  <si>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</si>
  <si>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</si>
  <si>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</si>
  <si>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</si>
  <si>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</si>
  <si>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</si>
  <si>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</si>
  <si>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</si>
  <si>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</si>
  <si>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</si>
  <si>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</si>
  <si>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</si>
  <si>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</si>
  <si>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</si>
  <si>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</si>
  <si>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</si>
  <si>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</si>
  <si>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</si>
  <si>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</si>
  <si>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</si>
  <si>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</si>
  <si>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</si>
  <si>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</si>
  <si>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</si>
  <si>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</si>
  <si>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</si>
  <si>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</si>
  <si>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</si>
  <si>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</si>
  <si>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</si>
  <si>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</si>
  <si>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</si>
  <si>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</si>
  <si>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</si>
  <si>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</si>
  <si>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</si>
  <si>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</si>
  <si>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</si>
  <si>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</si>
  <si>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</si>
  <si>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</si>
  <si>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</si>
  <si>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</si>
  <si>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</si>
  <si>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</si>
  <si>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</si>
  <si>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</si>
  <si>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</si>
  <si>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</si>
  <si>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</si>
  <si>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</si>
  <si>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</si>
  <si>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</si>
  <si>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</si>
  <si>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</si>
  <si>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</si>
  <si>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</si>
  <si>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</si>
  <si>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</si>
  <si>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</si>
  <si>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</si>
  <si>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</si>
  <si>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</si>
  <si>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</si>
  <si>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</si>
  <si>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</si>
  <si>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</si>
  <si>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</si>
  <si>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</si>
  <si>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</si>
  <si>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</si>
  <si>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</si>
  <si>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</si>
  <si>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</si>
  <si>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</si>
  <si>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</si>
  <si>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</si>
  <si>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</si>
  <si>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</si>
  <si>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</si>
  <si>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</si>
  <si>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</si>
  <si>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</si>
  <si>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</si>
  <si>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</si>
  <si>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</si>
  <si>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</si>
  <si>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</si>
  <si>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</si>
  <si>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</si>
  <si>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</si>
  <si>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</si>
  <si>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</si>
  <si>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</si>
  <si>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</si>
  <si>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</si>
  <si>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</si>
  <si>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</si>
  <si>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</si>
  <si>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</si>
  <si>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</si>
  <si>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</si>
  <si>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</si>
  <si>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</si>
  <si>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</si>
  <si>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</si>
  <si>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</si>
  <si>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</si>
  <si>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</si>
  <si>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</si>
  <si>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</si>
  <si>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</si>
  <si>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</si>
  <si>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</si>
  <si>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</si>
  <si>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</si>
  <si>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</si>
  <si>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</si>
  <si>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</si>
  <si>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</si>
  <si>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</si>
  <si>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</si>
  <si>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</si>
  <si>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</si>
  <si>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</si>
  <si>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</si>
  <si>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</si>
  <si>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</si>
  <si>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</si>
  <si>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</si>
  <si>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</si>
  <si>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</si>
  <si>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</si>
  <si>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</si>
  <si>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</si>
  <si>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</si>
  <si>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</si>
  <si>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</si>
  <si>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</si>
  <si>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</si>
  <si>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</si>
  <si>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</si>
  <si>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</si>
  <si>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</si>
  <si>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</si>
  <si>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</si>
  <si>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</si>
  <si>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</si>
  <si>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</si>
  <si>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</si>
  <si>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</si>
  <si>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</si>
  <si>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</si>
  <si>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</si>
  <si>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</si>
  <si>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</si>
  <si>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</si>
  <si>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</si>
  <si>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</si>
  <si>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</si>
  <si>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</si>
  <si>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</si>
  <si>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</si>
  <si>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</si>
  <si>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</si>
  <si>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</si>
  <si>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</si>
  <si>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</si>
  <si>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</si>
  <si>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</si>
  <si>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</si>
  <si>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</si>
  <si>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</si>
  <si>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</si>
  <si>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</si>
  <si>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</si>
  <si>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</si>
  <si>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</si>
  <si>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</si>
  <si>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</si>
  <si>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</si>
  <si>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</si>
  <si>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</si>
  <si>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</si>
  <si>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</si>
  <si>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</si>
  <si>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</si>
  <si>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</si>
  <si>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</si>
  <si>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</si>
  <si>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</si>
  <si>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</si>
  <si>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</si>
  <si>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</si>
  <si>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</si>
  <si>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</si>
  <si>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</si>
  <si>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</si>
  <si>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</si>
  <si>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</si>
  <si>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</si>
  <si>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</si>
  <si>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</si>
  <si>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</si>
  <si>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</si>
  <si>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</si>
  <si>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</si>
  <si>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</si>
  <si>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</si>
  <si>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</si>
  <si>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</si>
  <si>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</si>
  <si>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</si>
  <si>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</si>
  <si>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</si>
  <si>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</si>
  <si>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</si>
  <si>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</si>
  <si>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</si>
  <si>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</si>
  <si>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</si>
  <si>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</si>
  <si>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</si>
  <si>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</si>
  <si>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</si>
  <si>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</si>
  <si>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</si>
  <si>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</si>
  <si>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</si>
  <si>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</si>
  <si>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</si>
  <si>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</si>
  <si>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</si>
  <si>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</si>
  <si>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</si>
  <si>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</si>
  <si>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</si>
  <si>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</si>
  <si>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</si>
  <si>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</si>
  <si>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</si>
  <si>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</si>
  <si>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</si>
  <si>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</si>
  <si>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</si>
  <si>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</si>
  <si>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</si>
  <si>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</si>
  <si>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назначено на 2020 г.</t>
  </si>
  <si>
    <t>исполнено на 01.02.2020 г.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</si>
  <si>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</si>
  <si>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 xml:space="preserve">                     Анализ исполнения бюджета Моргаушского сельского поселения на 01.02.2020 г.</t>
  </si>
  <si>
    <t xml:space="preserve">                     Анализ исполнения бюджета Орининского сельского поселения на 01.02.2020 г.</t>
  </si>
  <si>
    <t xml:space="preserve">                     Анализ исполнения бюджета Сятракасинского сельского поселения на 01.02.2020 г.</t>
  </si>
  <si>
    <t xml:space="preserve">                     Анализ исполнения бюджета Юнгинского сельского поселения на 01.02.2020 г.</t>
  </si>
  <si>
    <t xml:space="preserve">                     Анализ исполнения бюджета Юськасинского сельского поселения на 01.02.2020 г.</t>
  </si>
  <si>
    <t xml:space="preserve">                     Анализ исполнения бюджета Ярабайкасинского сельского поселения на 01.02.2020 г.</t>
  </si>
  <si>
    <t xml:space="preserve">                     Анализ исполнения бюджета Ярославского сельского поселения на 01.02.2020 г.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</si>
  <si>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</si>
  <si>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</si>
  <si>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</si>
  <si>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</si>
  <si>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 xml:space="preserve">                                                        Моргаушского района на 01.02.2021 г. </t>
  </si>
  <si>
    <t>назначено на 2021 г.</t>
  </si>
  <si>
    <t>исполнено на 01.02.2021 г.</t>
  </si>
  <si>
    <t xml:space="preserve">исполнено на 01.02.2021 г. </t>
  </si>
  <si>
    <t>об исполнении бюджетов поселений  Моргаушского района  на 1 февраля 2021 г.</t>
  </si>
  <si>
    <t>Анализ исполнения консолидированного бюджета Моргаушского районана 01.02.2021 г.</t>
  </si>
  <si>
    <t>план на 2021 г.</t>
  </si>
  <si>
    <t xml:space="preserve">                     Анализ исполнения бюджета Александровского сельского поселения на 01.02.2021 г.</t>
  </si>
  <si>
    <t>исполнен на 01.02.2021 г.</t>
  </si>
  <si>
    <t>исполнено на 01.02.2021 г</t>
  </si>
  <si>
    <t xml:space="preserve">                     Анализ исполнения бюджета Большесундырского сельского поселения на 01.02.2021 г.</t>
  </si>
  <si>
    <t xml:space="preserve">                     Анализ исполнения бюджета Ильинского сельского поселения на 01.02.2021 г.</t>
  </si>
  <si>
    <t>Иные штрафы, неустойки, пени</t>
  </si>
  <si>
    <t xml:space="preserve">                     Анализ исполнения бюджета Кадикасинского сельского поселения на 01.02.2021 г.</t>
  </si>
  <si>
    <t xml:space="preserve">                     Анализ исполнения бюджета Москакасинского сельского поселения на 01.02.2021 г.</t>
  </si>
  <si>
    <t xml:space="preserve">                     Анализ исполнения бюджета Тораевского сельского поселения на 01.02.2021 г.</t>
  </si>
  <si>
    <t xml:space="preserve">                     Анализ исполнения бюджета Хорнойского сельского поселения на 01.02.2021 г.</t>
  </si>
  <si>
    <t xml:space="preserve">                     Анализ исполнения бюджета Чуманкасинского сельского поселения на 01.02.2021 г.</t>
  </si>
  <si>
    <t xml:space="preserve">                     Анализ исполнения бюджета Шатьмапосинского сельского поселения на 01.02.2021 г.</t>
  </si>
  <si>
    <t>Платежи, уплачиваемые в целях возмещения вреда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</si>
</sst>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5" borderId="1" xfId="12" applyNumberFormat="1" applyFont="1" applyFill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8" fontId="18" fillId="5" borderId="1" xfId="1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1.xml"/><Relationship Id="rId366" Type="http://schemas.openxmlformats.org/officeDocument/2006/relationships/revisionLog" Target="revisionLog111.xml"/><Relationship Id="rId387" Type="http://schemas.openxmlformats.org/officeDocument/2006/relationships/revisionLog" Target="revisionLog12.xml"/><Relationship Id="rId382" Type="http://schemas.openxmlformats.org/officeDocument/2006/relationships/revisionLog" Target="revisionLog121.xml"/><Relationship Id="rId412" Type="http://schemas.openxmlformats.org/officeDocument/2006/relationships/revisionLog" Target="revisionLog14.xml"/><Relationship Id="rId417" Type="http://schemas.openxmlformats.org/officeDocument/2006/relationships/revisionLog" Target="revisionLog112.xml"/><Relationship Id="rId433" Type="http://schemas.openxmlformats.org/officeDocument/2006/relationships/revisionLog" Target="revisionLog17.xml"/><Relationship Id="rId438" Type="http://schemas.openxmlformats.org/officeDocument/2006/relationships/revisionLog" Target="revisionLog18.xml"/><Relationship Id="rId459" Type="http://schemas.openxmlformats.org/officeDocument/2006/relationships/revisionLog" Target="revisionLog110.xml"/><Relationship Id="rId454" Type="http://schemas.openxmlformats.org/officeDocument/2006/relationships/revisionLog" Target="revisionLog1101.xml"/><Relationship Id="rId470" Type="http://schemas.openxmlformats.org/officeDocument/2006/relationships/revisionLog" Target="revisionLog13.xml"/><Relationship Id="rId475" Type="http://schemas.openxmlformats.org/officeDocument/2006/relationships/revisionLog" Target="revisionLog113.xml"/><Relationship Id="rId377" Type="http://schemas.openxmlformats.org/officeDocument/2006/relationships/revisionLog" Target="revisionLog181.xml"/><Relationship Id="rId369" Type="http://schemas.openxmlformats.org/officeDocument/2006/relationships/revisionLog" Target="revisionLog1211.xml"/><Relationship Id="rId398" Type="http://schemas.openxmlformats.org/officeDocument/2006/relationships/revisionLog" Target="revisionLog11011.xml"/><Relationship Id="rId385" Type="http://schemas.openxmlformats.org/officeDocument/2006/relationships/revisionLog" Target="revisionLog113311.xml"/><Relationship Id="rId372" Type="http://schemas.openxmlformats.org/officeDocument/2006/relationships/revisionLog" Target="revisionLog1811.xml"/><Relationship Id="rId393" Type="http://schemas.openxmlformats.org/officeDocument/2006/relationships/revisionLog" Target="revisionLog114.xml"/><Relationship Id="rId402" Type="http://schemas.openxmlformats.org/officeDocument/2006/relationships/revisionLog" Target="revisionLog1131.xml"/><Relationship Id="rId407" Type="http://schemas.openxmlformats.org/officeDocument/2006/relationships/revisionLog" Target="revisionLog116.xml"/><Relationship Id="rId380" Type="http://schemas.openxmlformats.org/officeDocument/2006/relationships/revisionLog" Target="revisionLog1105.xml"/><Relationship Id="rId415" Type="http://schemas.openxmlformats.org/officeDocument/2006/relationships/revisionLog" Target="revisionLog1121.xml"/><Relationship Id="rId423" Type="http://schemas.openxmlformats.org/officeDocument/2006/relationships/revisionLog" Target="revisionLog1611.xml"/><Relationship Id="rId428" Type="http://schemas.openxmlformats.org/officeDocument/2006/relationships/revisionLog" Target="revisionLog1711.xml"/><Relationship Id="rId436" Type="http://schemas.openxmlformats.org/officeDocument/2006/relationships/revisionLog" Target="revisionLog1911.xml"/><Relationship Id="rId449" Type="http://schemas.openxmlformats.org/officeDocument/2006/relationships/revisionLog" Target="revisionLog1122.xml"/><Relationship Id="rId457" Type="http://schemas.openxmlformats.org/officeDocument/2006/relationships/revisionLog" Target="revisionLog115.xml"/><Relationship Id="rId410" Type="http://schemas.openxmlformats.org/officeDocument/2006/relationships/revisionLog" Target="revisionLog1411.xml"/><Relationship Id="rId431" Type="http://schemas.openxmlformats.org/officeDocument/2006/relationships/revisionLog" Target="revisionLog19111.xml"/><Relationship Id="rId444" Type="http://schemas.openxmlformats.org/officeDocument/2006/relationships/revisionLog" Target="revisionLog11221.xml"/><Relationship Id="rId452" Type="http://schemas.openxmlformats.org/officeDocument/2006/relationships/revisionLog" Target="revisionLog1151.xml"/><Relationship Id="rId460" Type="http://schemas.openxmlformats.org/officeDocument/2006/relationships/revisionLog" Target="revisionLog117.xml"/><Relationship Id="rId465" Type="http://schemas.openxmlformats.org/officeDocument/2006/relationships/revisionLog" Target="revisionLog118.xml"/><Relationship Id="rId473" Type="http://schemas.openxmlformats.org/officeDocument/2006/relationships/revisionLog" Target="revisionLog119.xml"/><Relationship Id="rId478" Type="http://schemas.openxmlformats.org/officeDocument/2006/relationships/revisionLog" Target="revisionLog15.xml"/><Relationship Id="rId481" Type="http://schemas.openxmlformats.org/officeDocument/2006/relationships/revisionLog" Target="revisionLog16.xml"/><Relationship Id="rId388" Type="http://schemas.openxmlformats.org/officeDocument/2006/relationships/revisionLog" Target="revisionLog1141.xml"/><Relationship Id="rId367" Type="http://schemas.openxmlformats.org/officeDocument/2006/relationships/revisionLog" Target="revisionLog122.xml"/><Relationship Id="rId405" Type="http://schemas.openxmlformats.org/officeDocument/2006/relationships/revisionLog" Target="revisionLog123.xml"/><Relationship Id="rId396" Type="http://schemas.openxmlformats.org/officeDocument/2006/relationships/revisionLog" Target="revisionLog1181.xml"/><Relationship Id="rId370" Type="http://schemas.openxmlformats.org/officeDocument/2006/relationships/revisionLog" Target="revisionLog182.xml"/><Relationship Id="rId375" Type="http://schemas.openxmlformats.org/officeDocument/2006/relationships/revisionLog" Target="revisionLog110111.xml"/><Relationship Id="rId383" Type="http://schemas.openxmlformats.org/officeDocument/2006/relationships/revisionLog" Target="revisionLog1132.xml"/><Relationship Id="rId391" Type="http://schemas.openxmlformats.org/officeDocument/2006/relationships/revisionLog" Target="revisionLog1162.xml"/><Relationship Id="rId413" Type="http://schemas.openxmlformats.org/officeDocument/2006/relationships/revisionLog" Target="revisionLog112111.xml"/><Relationship Id="rId418" Type="http://schemas.openxmlformats.org/officeDocument/2006/relationships/revisionLog" Target="revisionLog1511.xml"/><Relationship Id="rId426" Type="http://schemas.openxmlformats.org/officeDocument/2006/relationships/revisionLog" Target="revisionLog171111.xml"/><Relationship Id="rId439" Type="http://schemas.openxmlformats.org/officeDocument/2006/relationships/revisionLog" Target="revisionLog192.xml"/><Relationship Id="rId447" Type="http://schemas.openxmlformats.org/officeDocument/2006/relationships/revisionLog" Target="revisionLog1171.xml"/><Relationship Id="rId400" Type="http://schemas.openxmlformats.org/officeDocument/2006/relationships/revisionLog" Target="revisionLog1133.xml"/><Relationship Id="rId421" Type="http://schemas.openxmlformats.org/officeDocument/2006/relationships/revisionLog" Target="revisionLog161111.xml"/><Relationship Id="rId434" Type="http://schemas.openxmlformats.org/officeDocument/2006/relationships/revisionLog" Target="revisionLog1122111.xml"/><Relationship Id="rId442" Type="http://schemas.openxmlformats.org/officeDocument/2006/relationships/revisionLog" Target="revisionLog11511.xml"/><Relationship Id="rId450" Type="http://schemas.openxmlformats.org/officeDocument/2006/relationships/revisionLog" Target="revisionLog1191.xml"/><Relationship Id="rId455" Type="http://schemas.openxmlformats.org/officeDocument/2006/relationships/revisionLog" Target="revisionLog120.xml"/><Relationship Id="rId463" Type="http://schemas.openxmlformats.org/officeDocument/2006/relationships/revisionLog" Target="revisionLog124.xml"/><Relationship Id="rId468" Type="http://schemas.openxmlformats.org/officeDocument/2006/relationships/revisionLog" Target="revisionLog132.xml"/><Relationship Id="rId471" Type="http://schemas.openxmlformats.org/officeDocument/2006/relationships/revisionLog" Target="revisionLog125.xml"/><Relationship Id="rId476" Type="http://schemas.openxmlformats.org/officeDocument/2006/relationships/revisionLog" Target="revisionLog151.xml"/><Relationship Id="rId408" Type="http://schemas.openxmlformats.org/officeDocument/2006/relationships/revisionLog" Target="revisionLog128.xml"/><Relationship Id="rId403" Type="http://schemas.openxmlformats.org/officeDocument/2006/relationships/revisionLog" Target="revisionLog127.xml"/><Relationship Id="rId399" Type="http://schemas.openxmlformats.org/officeDocument/2006/relationships/revisionLog" Target="revisionLog11331.xml"/><Relationship Id="rId394" Type="http://schemas.openxmlformats.org/officeDocument/2006/relationships/revisionLog" Target="revisionLog1183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.xml"/><Relationship Id="rId381" Type="http://schemas.openxmlformats.org/officeDocument/2006/relationships/revisionLog" Target="revisionLog11411.xml"/><Relationship Id="rId386" Type="http://schemas.openxmlformats.org/officeDocument/2006/relationships/revisionLog" Target="revisionLog126.xml"/><Relationship Id="rId416" Type="http://schemas.openxmlformats.org/officeDocument/2006/relationships/revisionLog" Target="revisionLog11221111.xml"/><Relationship Id="rId429" Type="http://schemas.openxmlformats.org/officeDocument/2006/relationships/revisionLog" Target="revisionLog172.xml"/><Relationship Id="rId411" Type="http://schemas.openxmlformats.org/officeDocument/2006/relationships/revisionLog" Target="revisionLog141.xml"/><Relationship Id="rId424" Type="http://schemas.openxmlformats.org/officeDocument/2006/relationships/revisionLog" Target="revisionLog161.xml"/><Relationship Id="rId432" Type="http://schemas.openxmlformats.org/officeDocument/2006/relationships/revisionLog" Target="revisionLog171.xml"/><Relationship Id="rId437" Type="http://schemas.openxmlformats.org/officeDocument/2006/relationships/revisionLog" Target="revisionLog1921.xml"/><Relationship Id="rId440" Type="http://schemas.openxmlformats.org/officeDocument/2006/relationships/revisionLog" Target="revisionLog115111.xml"/><Relationship Id="rId445" Type="http://schemas.openxmlformats.org/officeDocument/2006/relationships/revisionLog" Target="revisionLog11711.xml"/><Relationship Id="rId453" Type="http://schemas.openxmlformats.org/officeDocument/2006/relationships/revisionLog" Target="revisionLog1201.xml"/><Relationship Id="rId458" Type="http://schemas.openxmlformats.org/officeDocument/2006/relationships/revisionLog" Target="revisionLog1172.xml"/><Relationship Id="rId466" Type="http://schemas.openxmlformats.org/officeDocument/2006/relationships/revisionLog" Target="revisionLog1251.xml"/><Relationship Id="rId474" Type="http://schemas.openxmlformats.org/officeDocument/2006/relationships/revisionLog" Target="revisionLog1110.xml"/><Relationship Id="rId479" Type="http://schemas.openxmlformats.org/officeDocument/2006/relationships/revisionLog" Target="revisionLog162.xml"/><Relationship Id="rId461" Type="http://schemas.openxmlformats.org/officeDocument/2006/relationships/revisionLog" Target="revisionLog1241.xml"/><Relationship Id="rId482" Type="http://schemas.openxmlformats.org/officeDocument/2006/relationships/revisionLog" Target="revisionLog1.xml"/><Relationship Id="rId406" Type="http://schemas.openxmlformats.org/officeDocument/2006/relationships/revisionLog" Target="revisionLog130.xml"/><Relationship Id="rId397" Type="http://schemas.openxmlformats.org/officeDocument/2006/relationships/revisionLog" Target="revisionLog129.xml"/><Relationship Id="rId389" Type="http://schemas.openxmlformats.org/officeDocument/2006/relationships/revisionLog" Target="revisionLog1281.xml"/><Relationship Id="rId384" Type="http://schemas.openxmlformats.org/officeDocument/2006/relationships/revisionLog" Target="revisionLog1271.xml"/><Relationship Id="rId376" Type="http://schemas.openxmlformats.org/officeDocument/2006/relationships/revisionLog" Target="revisionLog113211.xml"/><Relationship Id="rId371" Type="http://schemas.openxmlformats.org/officeDocument/2006/relationships/revisionLog" Target="revisionLog110121.xml"/><Relationship Id="rId368" Type="http://schemas.openxmlformats.org/officeDocument/2006/relationships/revisionLog" Target="revisionLog1821.xml"/><Relationship Id="rId419" Type="http://schemas.openxmlformats.org/officeDocument/2006/relationships/revisionLog" Target="revisionLog1512.xml"/><Relationship Id="rId401" Type="http://schemas.openxmlformats.org/officeDocument/2006/relationships/revisionLog" Target="revisionLog1301.xml"/><Relationship Id="rId392" Type="http://schemas.openxmlformats.org/officeDocument/2006/relationships/revisionLog" Target="revisionLog11831.xml"/><Relationship Id="rId414" Type="http://schemas.openxmlformats.org/officeDocument/2006/relationships/revisionLog" Target="revisionLog11211.xml"/><Relationship Id="rId422" Type="http://schemas.openxmlformats.org/officeDocument/2006/relationships/revisionLog" Target="revisionLog16111.xml"/><Relationship Id="rId427" Type="http://schemas.openxmlformats.org/officeDocument/2006/relationships/revisionLog" Target="revisionLog17111.xml"/><Relationship Id="rId430" Type="http://schemas.openxmlformats.org/officeDocument/2006/relationships/revisionLog" Target="revisionLog191111.xml"/><Relationship Id="rId435" Type="http://schemas.openxmlformats.org/officeDocument/2006/relationships/revisionLog" Target="revisionLog112211.xml"/><Relationship Id="rId443" Type="http://schemas.openxmlformats.org/officeDocument/2006/relationships/revisionLog" Target="revisionLog11512.xml"/><Relationship Id="rId448" Type="http://schemas.openxmlformats.org/officeDocument/2006/relationships/revisionLog" Target="revisionLog11721.xml"/><Relationship Id="rId456" Type="http://schemas.openxmlformats.org/officeDocument/2006/relationships/revisionLog" Target="revisionLog12411.xml"/><Relationship Id="rId464" Type="http://schemas.openxmlformats.org/officeDocument/2006/relationships/revisionLog" Target="revisionLog12511.xml"/><Relationship Id="rId469" Type="http://schemas.openxmlformats.org/officeDocument/2006/relationships/revisionLog" Target="revisionLog1321.xml"/><Relationship Id="rId477" Type="http://schemas.openxmlformats.org/officeDocument/2006/relationships/revisionLog" Target="revisionLog1621.xml"/><Relationship Id="rId451" Type="http://schemas.openxmlformats.org/officeDocument/2006/relationships/revisionLog" Target="revisionLog11101.xml"/><Relationship Id="rId472" Type="http://schemas.openxmlformats.org/officeDocument/2006/relationships/revisionLog" Target="revisionLog133.xml"/><Relationship Id="rId395" Type="http://schemas.openxmlformats.org/officeDocument/2006/relationships/revisionLog" Target="revisionLog1291.xml"/><Relationship Id="rId374" Type="http://schemas.openxmlformats.org/officeDocument/2006/relationships/revisionLog" Target="revisionLog12711.xml"/><Relationship Id="rId379" Type="http://schemas.openxmlformats.org/officeDocument/2006/relationships/revisionLog" Target="revisionLog12811.xml"/><Relationship Id="rId409" Type="http://schemas.openxmlformats.org/officeDocument/2006/relationships/revisionLog" Target="revisionLog13211.xml"/><Relationship Id="rId390" Type="http://schemas.openxmlformats.org/officeDocument/2006/relationships/revisionLog" Target="revisionLog12911.xml"/><Relationship Id="rId404" Type="http://schemas.openxmlformats.org/officeDocument/2006/relationships/revisionLog" Target="revisionLog131.xml"/><Relationship Id="rId420" Type="http://schemas.openxmlformats.org/officeDocument/2006/relationships/revisionLog" Target="revisionLog152.xml"/><Relationship Id="rId425" Type="http://schemas.openxmlformats.org/officeDocument/2006/relationships/revisionLog" Target="revisionLog16211.xml"/><Relationship Id="rId446" Type="http://schemas.openxmlformats.org/officeDocument/2006/relationships/revisionLog" Target="revisionLog19.xml"/><Relationship Id="rId467" Type="http://schemas.openxmlformats.org/officeDocument/2006/relationships/revisionLog" Target="revisionLog1111.xml"/><Relationship Id="rId441" Type="http://schemas.openxmlformats.org/officeDocument/2006/relationships/revisionLog" Target="revisionLog191.xml"/><Relationship Id="rId462" Type="http://schemas.openxmlformats.org/officeDocument/2006/relationships/revisionLog" Target="revisionLog1134.xml"/></Relationships>
</file>

<file path=xl/revisions/revisionHeaders.xml><?xml version="1.0" encoding="utf-8"?>
<headers xmlns="http://schemas.openxmlformats.org/spreadsheetml/2006/main" xmlns:r="http://schemas.openxmlformats.org/officeDocument/2006/relationships" guid="{CE2F72A9-E546-4EF4-BA70-EF52C145AE23}" diskRevisions="1" revisionId="20058" version="212"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34F2E8-5D56-4C2A-8DEE-56666BAD57C5}" dateTime="2020-02-07T16:39:15" maxSheetId="24" userName="morgau_fin3" r:id="rId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E631F7-786A-4EFF-B5F8-F79E35321049}" dateTime="2020-02-07T16:51:03" maxSheetId="24" userName="morgau_fin3" r:id="rId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1F00979-BC80-4DCF-A778-73A3DEC6EB63}" dateTime="2021-02-01T10:53:36" maxSheetId="24" userName="morgau_fin3" r:id="rId410" minRId="16924" maxRId="169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349CFE-1D07-4FF8-B00C-2BD10B80E3F6}" dateTime="2021-02-03T11:16:36" maxSheetId="24" userName="morgau_fin3" r:id="rId411" minRId="16966" maxRId="169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98A887-3BF3-4EFD-86C3-C583453774C8}" dateTime="2021-02-03T11:38:08" maxSheetId="24" userName="morgau_fin3" r:id="rId412" minRId="17003" maxRId="170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7739D8-1E27-4E9F-9C6F-3DEA716CEB13}" dateTime="2021-02-03T11:54:31" maxSheetId="24" userName="morgau_fin3" r:id="rId413" minRId="17047" maxRId="17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98B06E-0FF7-4B43-A130-9011653A7AED}" dateTime="2021-02-03T14:52:29" maxSheetId="24" userName="morgau_fin3" r:id="rId414" minRId="17093" maxRId="171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19A46D-FB51-4069-A477-F9CA675BC8A7}" dateTime="2021-02-03T15:13:43" maxSheetId="24" userName="morgau_fin3" r:id="rId415" minRId="17178" maxRId="17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23F670-F379-426A-9706-12D08A52BC9A}" dateTime="2021-02-03T15:19:10" maxSheetId="24" userName="morgau_fin3" r:id="rId416" minRId="17239" maxRId="172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9AED01-483C-4824-BC37-31A7CD179B1F}" dateTime="2021-02-03T16:28:48" maxSheetId="24" userName="morgau_fin3" r:id="rId417" minRId="17284" maxRId="17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33B2F5-0750-48EA-A2AA-18B41A6A9227}" dateTime="2021-02-03T16:32:48" maxSheetId="24" userName="morgau_fin3" r:id="rId418" minRId="17340" maxRId="17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F61773-42E0-417D-B681-F0EE23480EE5}" dateTime="2021-02-03T16:32:57" maxSheetId="24" userName="morgau_fin3" r:id="rId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C6180-C06E-40A3-9B56-3F763AC7A2D4}" dateTime="2021-02-03T16:34:37" maxSheetId="24" userName="morgau_fin3" r:id="rId420" minRId="17417" maxRId="17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DDD697-7E47-43BE-9297-6732ABD3FF69}" dateTime="2021-02-03T16:40:51" maxSheetId="24" userName="morgau_fin3" r:id="rId421" minRId="17470" maxRId="1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C4E0E8-8EC7-4514-9F61-4896A9CE171A}" dateTime="2021-02-03T16:44:07" maxSheetId="24" userName="morgau_fin3" r:id="rId422" minRId="17520" maxRId="175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EA1830-7DAC-4197-B94B-8F05AD0DB384}" dateTime="2021-02-04T09:17:20" maxSheetId="24" userName="morgau_fin3" r:id="rId423" minRId="17568" maxRId="17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9DDFDF-3025-4670-AB61-38607DF471A1}" dateTime="2021-02-04T09:27:58" maxSheetId="24" userName="morgau_fin3" r:id="rId424" minRId="17637" maxRId="17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5B689A-4F44-491E-B3C8-1AB14B8A6B19}" dateTime="2021-02-04T09:40:08" maxSheetId="24" userName="morgau_fin3" r:id="rId425" minRId="17695" maxRId="177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4AF088-F54F-4DB0-9E81-A0AC7D213B3F}" dateTime="2021-02-04T10:17:45" maxSheetId="24" userName="morgau_fin3" r:id="rId426" minRId="17743" maxRId="17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B6662C-4DE9-46C5-9F05-975CCBD15AB7}" dateTime="2021-02-04T10:23:50" maxSheetId="24" userName="morgau_fin3" r:id="rId427" minRId="17813" maxRId="178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2A0534-2CFD-492B-8B02-EB0087A76357}" dateTime="2021-02-04T10:27:49" maxSheetId="24" userName="morgau_fin3" r:id="rId428" minRId="17867" maxRId="178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2F6F34-1B3C-4554-845A-A99CCA52EA3B}" dateTime="2021-02-04T10:38:40" maxSheetId="24" userName="morgau_fin3" r:id="rId429" minRId="17914" maxRId="179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0E2763-B243-4288-A527-E0967E7DA55E}" dateTime="2021-02-04T10:44:44" maxSheetId="24" userName="morgau_fin3" r:id="rId430" minRId="17969" maxRId="179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49232E-131A-4FAE-B9EC-FFB08B09CC4A}" dateTime="2021-02-04T10:53:08" maxSheetId="24" userName="morgau_fin3" r:id="rId431" minRId="18015" maxRId="18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52637-35B7-435D-8E3D-0B019F630BBC}" dateTime="2021-02-04T11:04:47" maxSheetId="24" userName="morgau_fin3" r:id="rId432" minRId="18090" maxRId="18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C23068-852F-411B-83DB-8551CB15130B}" dateTime="2021-02-04T11:12:02" maxSheetId="24" userName="morgau_fin3" r:id="rId433" minRId="18166" maxRId="18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1CCF70-9427-4417-BB81-B105B5FDBA36}" dateTime="2021-02-04T11:20:51" maxSheetId="24" userName="morgau_fin3" r:id="rId434" minRId="18206" maxRId="18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8939A7-5ECE-4474-8170-56BB2959A7FC}" dateTime="2021-02-04T11:48:13" maxSheetId="24" userName="morgau_fin3" r:id="rId435" minRId="18242" maxRId="182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12A76F-F8FA-47E9-9957-F7CB0098083D}" dateTime="2021-02-04T11:53:42" maxSheetId="24" userName="morgau_fin3" r:id="rId436" minRId="18295" maxRId="18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765523-1168-4F79-A5C0-B704219D91A9}" dateTime="2021-02-04T12:03:18" maxSheetId="24" userName="morgau_fin3" r:id="rId437" minRId="18346" maxRId="18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A770DA-8661-44FE-A807-97091B71E77B}" dateTime="2021-02-04T12:06:48" maxSheetId="24" userName="morgau_fin3" r:id="rId438" minRId="18398" maxRId="18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7BB5E-DCBF-410D-AA0B-88CA8E3D0616}" dateTime="2021-02-04T14:01:08" maxSheetId="24" userName="morgau_fin3" r:id="rId439" minRId="18446" maxRId="18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3A81B5-16F6-4FBC-A15E-4C31D63BD2A3}" dateTime="2021-02-04T14:03:47" maxSheetId="24" userName="morgau_fin3" r:id="rId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2CDFC1-11D3-4683-9122-6A0BD7252F68}" dateTime="2021-02-04T14:27:55" maxSheetId="24" userName="morgau_fin3" r:id="rId441" minRId="18547" maxRId="185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18F33-61B2-4145-B93C-123706C9BC1E}" dateTime="2021-02-04T14:41:05" maxSheetId="24" userName="morgau_fin3" r:id="rId442" minRId="18600" maxRId="186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1DDC24-B6DB-4A60-8EC3-B40496E5874B}" dateTime="2021-02-04T16:46:24" maxSheetId="24" userName="morgau_fin3" r:id="rId443" minRId="18647" maxRId="18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245F88-C415-4FB8-B3C0-8ACC22A962C3}" dateTime="2021-02-04T16:51:28" maxSheetId="24" userName="morgau_fin3" r:id="rId444" minRId="18781" maxRId="18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05B913-391D-4442-881D-16E990867A5D}" dateTime="2021-02-04T16:52:26" maxSheetId="24" userName="morgau_fin3" r:id="rId445" minRId="18824" maxRId="188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85FF9-4A51-4F46-A731-938A2A78096D}" dateTime="2021-02-04T16:54:42" maxSheetId="24" userName="morgau_fin3" r:id="rId446" minRId="18856" maxRId="18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A39B10-5BC5-4D80-8A8A-65BD071228F5}" dateTime="2021-02-04T16:55:09" maxSheetId="24" userName="morgau_fin3" r:id="rId447" minRId="18892" maxRId="188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469590-41A7-4EB2-923D-B11C56F1F439}" dateTime="2021-02-04T16:57:30" maxSheetId="24" userName="morgau_fin3" r:id="rId448" minRId="18924" maxRId="189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4BC9C1-66EB-4341-BDD8-A16351AEAC4D}" dateTime="2021-02-04T16:58:16" maxSheetId="24" userName="morgau_fin3" r:id="rId449" minRId="18961" maxRId="189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F34F3E-574A-48A3-81D3-A3566D7B6B22}" dateTime="2021-02-04T16:59:31" maxSheetId="24" userName="morgau_fin3" r:id="rId450" minRId="189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278DF6-B8E8-4B03-865F-DCAA1498385A}" dateTime="2021-02-04T16:59:48" maxSheetId="24" userName="morgau_fin3" r:id="rId451" minRId="190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4F4F56-5029-4D4D-82E3-578EFFF8AC27}" dateTime="2021-02-04T17:00:11" maxSheetId="24" userName="morgau_fin3" r:id="rId452" minRId="190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513149-D1A9-49F6-AD6D-C8AC798DB748}" dateTime="2021-02-04T17:00:44" maxSheetId="24" userName="morgau_fin3" r:id="rId453" minRId="190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C03109-41B0-49B5-9B44-83E4B2930523}" dateTime="2021-02-04T17:01:16" maxSheetId="24" userName="morgau_fin3" r:id="rId454" minRId="191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C5B1E4-8512-499C-AA14-F2233FAC0DC1}" dateTime="2021-02-04T17:01:47" maxSheetId="24" userName="morgau_fin3" r:id="rId455" minRId="191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7E3EC-2024-424A-A95E-AA77E8212943}" dateTime="2021-02-04T17:02:30" maxSheetId="24" userName="morgau_fin3" r:id="rId456" minRId="19181" maxRId="19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D94E33-1544-4251-9AB5-977735CDD8E7}" dateTime="2021-02-04T17:03:07" maxSheetId="24" userName="morgau_fin3" r:id="rId457" minRId="19213" maxRId="19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D5547-6BB1-4B3D-9DA8-6AABD8B0AD6B}" dateTime="2021-02-04T17:03:44" maxSheetId="24" userName="morgau_fin3" r:id="rId458" minRId="19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4883DF-603D-4DF2-B284-854FE56455D4}" dateTime="2021-02-04T17:04:16" maxSheetId="24" userName="morgau_fin3" r:id="rId459" minRId="192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F05E16-65A2-49A7-9F58-949A2D9663AA}" dateTime="2021-02-04T17:05:54" maxSheetId="24" userName="morgau_fin3" r:id="rId460" minRId="19307" maxRId="19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6B8DBA-DFF4-45FD-A5FE-F804C3F71CC9}" dateTime="2021-02-04T17:07:02" maxSheetId="24" userName="morgau_fin3" r:id="rId461" minRId="193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1A9AD1-D8E9-433C-AD25-2CB98A8D39E2}" dateTime="2021-02-04T17:07:42" maxSheetId="24" userName="morgau_fin3" r:id="rId462" minRId="19370" maxRId="19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5E4BE6-2F4E-487E-8794-469030479DFB}" dateTime="2021-02-04T17:08:36" maxSheetId="24" userName="morgau_fin3" r:id="rId463" minRId="19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DBD3876-416F-4A00-9BA8-FFE623925AC8}" dateTime="2021-02-04T17:09:50" maxSheetId="24" userName="morgau_fin3" r:id="rId464" minRId="19433" maxRId="194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A5E38A7-7876-4028-9C96-A40FF60EED52}" dateTime="2021-02-04T17:10:29" maxSheetId="24" userName="morgau_fin3" r:id="rId465" minRId="19467" maxRId="19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B068CE-7D07-4AF0-B0A7-3FF2859E94E1}" dateTime="2021-02-05T08:55:48" maxSheetId="24" userName="morgau_fin3" r:id="rId466" minRId="19499" maxRId="195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BCDA6E-E1DD-4E55-A3EF-89785D8ABCDC}" dateTime="2021-02-05T08:57:03" maxSheetId="24" userName="morgau_fin3" r:id="rId467" minRId="19545" maxRId="195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CCFDC5-3234-4E84-8944-6E46064A6766}" dateTime="2021-02-05T08:59:31" maxSheetId="24" userName="morgau_fin3" r:id="rId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58A039-DF0B-4D47-B6DA-C9D8E2A5A0BF}" dateTime="2021-02-05T09:19:08" maxSheetId="24" userName="morgau_fin3" r:id="rId469" minRId="19607" maxRId="196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00182C-4AEE-4644-90FC-1845BAC80B9D}" dateTime="2021-02-05T09:34:28" maxSheetId="24" userName="morgau_fin3" r:id="rId470" minRId="196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89C44A-3773-442F-A314-160BC4E04866}" dateTime="2021-02-05T09:53:37" maxSheetId="24" userName="morgau_fin3" r:id="rId471" minRId="19670" maxRId="19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294D9A-3E22-44AC-ACBC-418144222278}" dateTime="2021-02-05T10:01:17" maxSheetId="24" userName="morgau_fin3" r:id="rId472" minRId="19704" maxRId="197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023A66-9A77-40B9-9E26-6342CD68BE9F}" dateTime="2021-02-05T10:02:18" maxSheetId="24" userName="morgau_fin3" r:id="rId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E7C8BB-886D-427C-8A70-88926B1A57DC}" dateTime="2021-02-05T11:18:07" maxSheetId="24" userName="morgau_fin3" r:id="rId474" minRId="19766" maxRId="19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2BA6B7-5131-4A67-B20A-984FF5D0DBD9}" dateTime="2021-02-05T11:18:26" maxSheetId="24" userName="morgau_fin3" r:id="rId4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5A78E2-0FB2-4367-AC06-B977E72F1E7A}" dateTime="2021-02-05T11:23:36" maxSheetId="24" userName="morgau_fin3" r:id="rId476" minRId="198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CF877-184A-497B-AF41-1ECC14641727}" dateTime="2021-02-05T11:25:11" maxSheetId="24" userName="morgau_fin3" r:id="rId4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B0FAD1-69AB-400F-9650-FE25CF6EDF9F}" dateTime="2021-02-05T11:27:58" maxSheetId="24" userName="morgau_fin3" r:id="rId478" minRId="19905" maxRId="19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1DAFA1-B944-42FF-8960-CDB65AB1C2FE}" dateTime="2021-02-05T11:29:45" maxSheetId="24" userName="morgau_fin3" r:id="rId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A7859-3DDE-4AC5-B514-B85A6CD13957}" dateTime="2021-02-05T11:34:53" maxSheetId="24" userName="morgau_fin3" r:id="rId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CD7067-3114-4CCD-B5A8-8D05C321AA25}" dateTime="2021-02-05T11:52:51" maxSheetId="24" userName="morgau_fin3" r:id="rId4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2F72A9-E546-4EF4-BA70-EF52C145AE23}" dateTime="2021-02-05T14:42:28" maxSheetId="24" userName="morgau_fin3" r:id="rId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9276" sId="2" numFmtId="4">
    <oc r="CI32">
      <v>25036.8194</v>
    </oc>
    <nc r="CI32">
      <v>21197.918470000001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9119" sId="2" numFmtId="4">
    <oc r="BO32">
      <v>2.3295599999999999</v>
    </oc>
    <nc r="BO32">
      <v>0.1484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19766" sId="1" numFmtId="4">
    <oc r="C24">
      <v>605382.30240000004</v>
    </oc>
    <nc r="C24">
      <v>678601.33418000001</v>
    </nc>
  </rcc>
  <rcc rId="19767" sId="1" numFmtId="4">
    <oc r="D24">
      <v>30181.744999999999</v>
    </oc>
    <nc r="D24">
      <v>18979.400000000001</v>
    </nc>
  </rcc>
  <rcc rId="19768" sId="1" numFmtId="4">
    <oc r="J26">
      <v>0</v>
    </oc>
    <nc r="J26">
      <f>SUM(Справка!CV18)</f>
    </nc>
  </rcc>
  <rcc rId="19769" sId="1" numFmtId="4">
    <oc r="C32">
      <v>78315.69515</v>
    </oc>
    <nc r="C32">
      <v>83262.89</v>
    </nc>
  </rcc>
  <rcc rId="19770" sId="1" numFmtId="4">
    <oc r="D32">
      <v>263.64665000000002</v>
    </oc>
    <nc r="D32">
      <v>1.865</v>
    </nc>
  </rcc>
  <rcc rId="19771" sId="1" numFmtId="4">
    <oc r="C33">
      <v>26799.2464</v>
    </oc>
    <nc r="C33">
      <v>51602.645470000003</v>
    </nc>
  </rcc>
  <rcc rId="19772" sId="1" numFmtId="4">
    <oc r="D33">
      <v>148.09558999999999</v>
    </oc>
    <nc r="D33">
      <v>143.39032</v>
    </nc>
  </rcc>
  <rcc rId="19773" sId="1" numFmtId="4">
    <oc r="C36">
      <v>70514.679000000004</v>
    </oc>
    <nc r="C36">
      <v>47035.228999999999</v>
    </nc>
  </rcc>
  <rcc rId="19774" sId="1" numFmtId="4">
    <oc r="D36">
      <v>1906.91292</v>
    </oc>
    <nc r="D36">
      <v>883.20204999999999</v>
    </nc>
  </rcc>
  <rcc rId="19775" sId="1" numFmtId="4">
    <oc r="C37">
      <v>32246.240000000002</v>
    </oc>
    <nc r="C37">
      <v>41628.59936</v>
    </nc>
  </rcc>
  <rcc rId="19776" sId="1" numFmtId="4">
    <oc r="D37">
      <v>104.44499999999999</v>
    </oc>
    <nc r="D37">
      <v>1.2</v>
    </nc>
  </rcc>
  <rcc rId="19777" sId="1" numFmtId="4">
    <oc r="C38">
      <v>37753.224000000002</v>
    </oc>
    <nc r="C38">
      <v>6274.4</v>
    </nc>
  </rcc>
  <rcc rId="19778" sId="1" numFmtId="4">
    <oc r="D38">
      <v>370.17500000000001</v>
    </oc>
    <nc r="D38">
      <v>359.988</v>
    </nc>
  </rcc>
  <rfmt sheetId="1" sqref="J15:J21">
    <dxf>
      <numFmt numFmtId="2" formatCode="0.00"/>
    </dxf>
  </rfmt>
  <rfmt sheetId="1" sqref="J15:J21">
    <dxf>
      <numFmt numFmtId="183" formatCode="0.000"/>
    </dxf>
  </rfmt>
  <rfmt sheetId="1" sqref="J15:J21">
    <dxf>
      <numFmt numFmtId="174" formatCode="0.0000"/>
    </dxf>
  </rfmt>
  <rfmt sheetId="1" sqref="J15:J21">
    <dxf>
      <numFmt numFmtId="168" formatCode="0.00000"/>
    </dxf>
  </rfmt>
  <rfmt sheetId="1" sqref="G20">
    <dxf>
      <numFmt numFmtId="2" formatCode="0.00"/>
    </dxf>
  </rfmt>
  <rfmt sheetId="1" sqref="G20">
    <dxf>
      <numFmt numFmtId="183" formatCode="0.000"/>
    </dxf>
  </rfmt>
  <rfmt sheetId="1" sqref="G20">
    <dxf>
      <numFmt numFmtId="2" formatCode="0.00"/>
    </dxf>
  </rfmt>
  <rfmt sheetId="1" sqref="G20">
    <dxf>
      <numFmt numFmtId="166" formatCode="0.0"/>
    </dxf>
  </rfmt>
  <rcc rId="19779" sId="1" numFmtId="4">
    <oc r="D25">
      <v>0</v>
    </oc>
    <nc r="D25">
      <f>SUM(J25+G25)</f>
    </nc>
  </rcc>
  <rcc rId="19780" sId="1" numFmtId="4">
    <oc r="D26">
      <f>G26+J26</f>
    </oc>
    <nc r="D26">
      <v>-19535.39184</v>
    </nc>
  </rcc>
  <rcc rId="19781" sId="1">
    <oc r="J27">
      <f>J24+J23</f>
    </oc>
    <nc r="J27">
      <f>J24+J23+J25+J26</f>
    </nc>
  </rcc>
  <rfmt sheetId="1" sqref="J27">
    <dxf>
      <numFmt numFmtId="2" formatCode="0.00"/>
    </dxf>
  </rfmt>
  <rfmt sheetId="1" sqref="J27">
    <dxf>
      <numFmt numFmtId="183" formatCode="0.000"/>
    </dxf>
  </rfmt>
  <rfmt sheetId="1" sqref="J27">
    <dxf>
      <numFmt numFmtId="174" formatCode="0.0000"/>
    </dxf>
  </rfmt>
  <rfmt sheetId="1" sqref="J27">
    <dxf>
      <numFmt numFmtId="168" formatCode="0.00000"/>
    </dxf>
  </rfmt>
  <rfmt sheetId="1" sqref="J27">
    <dxf>
      <numFmt numFmtId="173" formatCode="0.000000"/>
    </dxf>
  </rfmt>
  <rfmt sheetId="1" sqref="J27">
    <dxf>
      <numFmt numFmtId="168" formatCode="0.00000"/>
    </dxf>
  </rfmt>
  <rfmt sheetId="1" sqref="J5:J14">
    <dxf>
      <numFmt numFmtId="2" formatCode="0.00"/>
    </dxf>
  </rfmt>
  <rfmt sheetId="1" sqref="J5:J14">
    <dxf>
      <numFmt numFmtId="183" formatCode="0.000"/>
    </dxf>
  </rfmt>
  <rfmt sheetId="1" sqref="J5:J14">
    <dxf>
      <numFmt numFmtId="174" formatCode="0.0000"/>
    </dxf>
  </rfmt>
  <rfmt sheetId="1" sqref="J5:J14">
    <dxf>
      <numFmt numFmtId="168" formatCode="0.00000"/>
    </dxf>
  </rfmt>
  <rfmt sheetId="1" sqref="J4">
    <dxf>
      <numFmt numFmtId="2" formatCode="0.00"/>
    </dxf>
  </rfmt>
  <rfmt sheetId="1" sqref="J4">
    <dxf>
      <numFmt numFmtId="183" formatCode="0.000"/>
    </dxf>
  </rfmt>
  <rfmt sheetId="1" sqref="J4">
    <dxf>
      <numFmt numFmtId="174" formatCode="0.0000"/>
    </dxf>
  </rfmt>
  <rfmt sheetId="1" sqref="J4">
    <dxf>
      <numFmt numFmtId="168" formatCode="0.00000"/>
    </dxf>
  </rfmt>
  <rcc rId="19782" sId="1">
    <oc r="J14">
      <f>J15+J16+J17+J18+J20+J21+J26</f>
    </oc>
    <nc r="J14">
      <f>J15+J16+J17+J18+J20+J21</f>
    </nc>
  </rcc>
  <rcc rId="19783" sId="2">
    <oc r="CA23">
      <f>CD23+CG23+CJ23+CM23+CS23+CP23+CV23</f>
    </oc>
    <nc r="CA23">
      <f>CD23+CG23+CJ23+CM23+CS23+CP23+CV23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c rId="19026" sId="2" numFmtId="4">
    <oc r="AP32">
      <v>2591</v>
    </oc>
    <nc r="AP32">
      <v>2733.4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9545" sId="2" numFmtId="4">
    <oc r="EX32">
      <v>1615.1941300000001</v>
    </oc>
    <nc r="EX32">
      <v>5461.0213100000001</v>
    </nc>
  </rcc>
  <rcc rId="19546" sId="2" numFmtId="4">
    <oc r="EW32">
      <v>-650.25854000000004</v>
    </oc>
    <nc r="EW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7284" sId="7">
    <oc r="A1" t="inlineStr">
      <is>
        <t xml:space="preserve">                     Анализ исполнения бюджета Кадикасинского сельского поселения на 01.02.2020 г.</t>
      </is>
    </oc>
    <nc r="A1" t="inlineStr">
      <is>
        <t xml:space="preserve">                     Анализ исполнения бюджета Кадикасинского сельского поселения на 01.02.2021 г.</t>
      </is>
    </nc>
  </rcc>
  <rcc rId="17285" sId="7">
    <oc r="C3" t="inlineStr">
      <is>
        <t>назначено на 2020 г.</t>
      </is>
    </oc>
    <nc r="C3" t="inlineStr">
      <is>
        <t>назначено на 2021 г.</t>
      </is>
    </nc>
  </rcc>
  <rcc rId="17286" sId="7">
    <oc r="D3" t="inlineStr">
      <is>
        <t>исполнен на 01.02.2020 г.</t>
      </is>
    </oc>
    <nc r="D3" t="inlineStr">
      <is>
        <t>исполнен на 01.02.2021 г.</t>
      </is>
    </nc>
  </rcc>
  <rcc rId="17287" sId="7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7288" sId="7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7289" sId="7" numFmtId="34">
    <oc r="C6">
      <v>484.2</v>
    </oc>
    <nc r="C6">
      <v>486</v>
    </nc>
  </rcc>
  <rcc rId="17290" sId="7" numFmtId="34">
    <oc r="D6">
      <v>9.5171299999999999</v>
    </oc>
    <nc r="D6">
      <v>11.30884</v>
    </nc>
  </rcc>
  <rcc rId="17291" sId="7" numFmtId="34">
    <oc r="C8">
      <v>310.93</v>
    </oc>
    <nc r="C8">
      <v>300.69</v>
    </nc>
  </rcc>
  <rcc rId="17292" sId="7" numFmtId="34">
    <oc r="D8">
      <v>31.559950000000001</v>
    </oc>
    <nc r="D8">
      <v>31.261430000000001</v>
    </nc>
  </rcc>
  <rcc rId="17293" sId="7" numFmtId="34">
    <oc r="C9">
      <v>3.33</v>
    </oc>
    <nc r="C9">
      <v>3.22</v>
    </nc>
  </rcc>
  <rcc rId="17294" sId="7" numFmtId="34">
    <oc r="D9">
      <v>0.21473999999999999</v>
    </oc>
    <nc r="D9">
      <v>0.18426000000000001</v>
    </nc>
  </rcc>
  <rcc rId="17295" sId="7" numFmtId="34">
    <oc r="C10">
      <v>519.33000000000004</v>
    </oc>
    <nc r="C10">
      <v>502.22</v>
    </nc>
  </rcc>
  <rcc rId="17296" sId="7" numFmtId="34">
    <oc r="D10">
      <v>43.305129999999998</v>
    </oc>
    <nc r="D10">
      <v>41.945529999999998</v>
    </nc>
  </rcc>
  <rcc rId="17297" sId="7" numFmtId="4">
    <oc r="D11">
      <v>-5.80185</v>
    </oc>
    <nc r="D11">
      <v>-5.3274999999999997</v>
    </nc>
  </rcc>
  <rcc rId="17298" sId="7" numFmtId="34">
    <oc r="C13">
      <v>60</v>
    </oc>
    <nc r="C13">
      <v>95</v>
    </nc>
  </rcc>
  <rcc rId="17299" sId="7" numFmtId="34">
    <oc r="D13">
      <v>0</v>
    </oc>
    <nc r="D13">
      <v>0.59157999999999999</v>
    </nc>
  </rcc>
  <rcc rId="17300" sId="7" numFmtId="34">
    <oc r="C15">
      <v>340</v>
    </oc>
    <nc r="C15">
      <v>400</v>
    </nc>
  </rcc>
  <rcc rId="17301" sId="7" numFmtId="34">
    <oc r="D15">
      <v>9.1786499999999993</v>
    </oc>
    <nc r="D15">
      <v>1.0607</v>
    </nc>
  </rcc>
  <rcc rId="17302" sId="7" numFmtId="34">
    <oc r="C16">
      <v>2691</v>
    </oc>
    <nc r="C16">
      <v>2950</v>
    </nc>
  </rcc>
  <rcc rId="17303" sId="7" numFmtId="34">
    <oc r="D16">
      <v>60.755299999999998</v>
    </oc>
    <nc r="D16">
      <v>57.882159999999999</v>
    </nc>
  </rcc>
  <rcc rId="17304" sId="7" numFmtId="34">
    <oc r="C27">
      <v>115.5</v>
    </oc>
    <nc r="C27">
      <v>79.400000000000006</v>
    </nc>
  </rcc>
  <rcc rId="17305" sId="7" numFmtId="4">
    <oc r="D28">
      <v>1</v>
    </oc>
    <nc r="D28">
      <v>0</v>
    </nc>
  </rcc>
  <rcc rId="17306" sId="7" numFmtId="34">
    <oc r="C41">
      <v>1196.5999999999999</v>
    </oc>
    <nc r="C41">
      <v>2916.8</v>
    </nc>
  </rcc>
  <rcc rId="17307" sId="7" numFmtId="34">
    <oc r="D41">
      <v>99.715000000000003</v>
    </oc>
    <nc r="D41">
      <v>243.06800000000001</v>
    </nc>
  </rcc>
  <rcc rId="17308" sId="7" numFmtId="34">
    <oc r="C43">
      <v>1250.8800000000001</v>
    </oc>
    <nc r="C43">
      <v>1260.1600000000001</v>
    </nc>
  </rcc>
  <rcc rId="17309" sId="7" numFmtId="34">
    <oc r="C45">
      <v>183.38800000000001</v>
    </oc>
    <nc r="C45">
      <v>211.02699999999999</v>
    </nc>
  </rcc>
  <rcc rId="17310" sId="7" numFmtId="34">
    <oc r="D45">
      <v>14.933299999999999</v>
    </oc>
    <nc r="D45">
      <v>17.2334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7178" sId="6">
    <oc r="C56" t="inlineStr">
      <is>
        <t>назначено на 2020 г.</t>
      </is>
    </oc>
    <nc r="C56" t="inlineStr">
      <is>
        <t>назначено на 2021 г.</t>
      </is>
    </nc>
  </rcc>
  <rcc rId="17179" sId="6">
    <oc r="D56" t="inlineStr">
      <is>
        <t>исполнено на 01.02.2020 г.</t>
      </is>
    </oc>
    <nc r="D56" t="inlineStr">
      <is>
        <t>исполнено на 01.02.2021 г.</t>
      </is>
    </nc>
  </rcc>
  <rcc rId="17180" sId="6">
    <oc r="C3" t="inlineStr">
      <is>
        <t>назначено на 2020 г.</t>
      </is>
    </oc>
    <nc r="C3" t="inlineStr">
      <is>
        <t>назначено на 2021 г.</t>
      </is>
    </nc>
  </rcc>
  <rcc rId="17181" sId="6">
    <oc r="D3" t="inlineStr">
      <is>
        <t>исполнен на 01.02.2020 г.</t>
      </is>
    </oc>
    <nc r="D3" t="inlineStr">
      <is>
        <t>исполнено на 01.02.2021 г.</t>
      </is>
    </nc>
  </rcc>
  <rcc rId="17182" sId="6">
    <oc r="A1" t="inlineStr">
      <is>
        <t xml:space="preserve">                     Анализ исполнения бюджета Ильинского сельского поселения на 01.02.2020 г.</t>
      </is>
    </oc>
    <nc r="A1" t="inlineStr">
      <is>
        <t xml:space="preserve">                     Анализ исполнения бюджета Ильинского сельского поселения на 01.02.2021 г.</t>
      </is>
    </nc>
  </rcc>
  <rcc rId="17183" sId="6" numFmtId="4">
    <oc r="C6">
      <v>71.7</v>
    </oc>
    <nc r="C6">
      <v>70.650000000000006</v>
    </nc>
  </rcc>
  <rcc rId="17184" sId="6" numFmtId="4">
    <oc r="D6">
      <v>2.0882000000000001</v>
    </oc>
    <nc r="D6">
      <v>3.2137500000000001</v>
    </nc>
  </rcc>
  <rcc rId="17185" sId="6" numFmtId="4">
    <oc r="C8">
      <v>260.69</v>
    </oc>
    <nc r="C8">
      <v>252.72</v>
    </nc>
  </rcc>
  <rcc rId="17186" sId="6" numFmtId="4">
    <oc r="D8">
      <v>26.460339999999999</v>
    </oc>
    <nc r="D8">
      <v>26.27495</v>
    </nc>
  </rcc>
  <rcc rId="17187" sId="6" numFmtId="4">
    <oc r="C9">
      <v>2.79</v>
    </oc>
    <nc r="C9">
      <v>2.71</v>
    </nc>
  </rcc>
  <rcc rId="17188" sId="6" numFmtId="4">
    <oc r="D9">
      <v>0.18004000000000001</v>
    </oc>
    <nc r="D9">
      <v>0.15489</v>
    </nc>
  </rcc>
  <rcc rId="17189" sId="6" numFmtId="4">
    <oc r="C10">
      <v>435.41</v>
    </oc>
    <nc r="C10">
      <v>422.11</v>
    </nc>
  </rcc>
  <rcc rId="17190" sId="6" numFmtId="4">
    <oc r="D10">
      <v>36.307650000000002</v>
    </oc>
    <nc r="D10">
      <v>35.254840000000002</v>
    </nc>
  </rcc>
  <rcc rId="17191" sId="6" numFmtId="4">
    <oc r="D11">
      <v>-4.8643599999999996</v>
    </oc>
    <nc r="D11">
      <v>-4.4777399999999998</v>
    </nc>
  </rcc>
  <rcc rId="17192" sId="6" numFmtId="4">
    <oc r="C15">
      <v>310</v>
    </oc>
    <nc r="C15">
      <v>334</v>
    </nc>
  </rcc>
  <rcc rId="17193" sId="6" numFmtId="4">
    <oc r="D15">
      <v>2.40035</v>
    </oc>
    <nc r="D15">
      <v>2.6290900000000001</v>
    </nc>
  </rcc>
  <rcc rId="17194" sId="6" numFmtId="4">
    <oc r="D16">
      <v>24.45392</v>
    </oc>
    <nc r="D16">
      <v>12.684799999999999</v>
    </nc>
  </rcc>
  <rcc rId="17195" sId="6" numFmtId="4">
    <oc r="C28">
      <v>328.6</v>
    </oc>
    <nc r="C28">
      <v>354</v>
    </nc>
  </rcc>
  <rcc rId="17196" sId="6" numFmtId="4">
    <oc r="D28">
      <v>3.9630000000000001</v>
    </oc>
    <nc r="D28">
      <v>3.05</v>
    </nc>
  </rcc>
  <rcc rId="17197" sId="6">
    <oc r="A36">
      <v>1163305010</v>
    </oc>
    <nc r="A36">
      <v>1160709000</v>
    </nc>
  </rcc>
  <rcc rId="17198" sId="6" numFmtId="4">
    <oc r="D36">
      <v>0</v>
    </oc>
    <nc r="D36">
      <v>0.1484</v>
    </nc>
  </rcc>
  <rcc rId="17199" sId="6">
    <oc r="B36" t="inlineStr">
      <is>
        <t>Денежные взыскания за нарушение законодательства</t>
      </is>
    </oc>
    <nc r="B36" t="inlineStr">
      <is>
        <t>Иные штрафы, неустойки, пени</t>
      </is>
    </nc>
  </rcc>
  <rcc rId="17200" sId="6" numFmtId="4">
    <oc r="C44">
      <v>650</v>
    </oc>
    <nc r="C44"/>
  </rcc>
  <rcc rId="17201" sId="6" numFmtId="4">
    <oc r="C43">
      <v>1706.8</v>
    </oc>
    <nc r="C43">
      <v>3002.3</v>
    </nc>
  </rcc>
  <rcc rId="17202" sId="6" numFmtId="4">
    <oc r="D43">
      <v>142.23099999999999</v>
    </oc>
    <nc r="D43">
      <v>250.19399999999999</v>
    </nc>
  </rcc>
  <rcc rId="17203" sId="6" numFmtId="4">
    <oc r="C45">
      <v>1097.19</v>
    </oc>
    <nc r="C45">
      <v>1093.03</v>
    </nc>
  </rcc>
  <rcc rId="17204" sId="6" numFmtId="4">
    <oc r="C47">
      <v>180.398</v>
    </oc>
    <nc r="C47">
      <v>211.02699999999999</v>
    </nc>
  </rcc>
  <rcc rId="17205" sId="6" numFmtId="4">
    <oc r="D47">
      <v>14.933299999999999</v>
    </oc>
    <nc r="D47">
      <v>17.2334</v>
    </nc>
  </rcc>
  <rcc rId="17206" sId="6">
    <oc r="A48">
      <v>2020400000</v>
    </oc>
    <nc r="A48">
      <v>2024000000</v>
    </nc>
  </rcc>
  <rcc rId="17207" sId="6" numFmtId="4">
    <nc r="C48">
      <v>50</v>
    </nc>
  </rcc>
  <rcc rId="17208" sId="6" numFmtId="4">
    <oc r="C46">
      <v>433.39</v>
    </oc>
    <nc r="C46"/>
  </rcc>
  <rcc rId="17209" sId="6" numFmtId="4">
    <oc r="D33">
      <v>0</v>
    </oc>
    <nc r="D33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7093" sId="5">
    <oc r="C55" t="inlineStr">
      <is>
        <t>назначено на 2020 г.</t>
      </is>
    </oc>
    <nc r="C55" t="inlineStr">
      <is>
        <t>назначено на 2021 г.</t>
      </is>
    </nc>
  </rcc>
  <rcc rId="17094" sId="5">
    <oc r="D55" t="inlineStr">
      <is>
        <t>исполнено на 01.02.2020 г</t>
      </is>
    </oc>
    <nc r="D55" t="inlineStr">
      <is>
        <t>исполнено на 01.02.2021 г</t>
      </is>
    </nc>
  </rcc>
  <rcc rId="17095" sId="5">
    <oc r="D3" t="inlineStr">
      <is>
        <t>исполнен на 01.02.2020 г.</t>
      </is>
    </oc>
    <nc r="D3" t="inlineStr">
      <is>
        <t>исполнен на 01.02.2021 г.</t>
      </is>
    </nc>
  </rcc>
  <rcc rId="17096" sId="5">
    <oc r="C3" t="inlineStr">
      <is>
        <t>назначено на 2020 г.</t>
      </is>
    </oc>
    <nc r="C3" t="inlineStr">
      <is>
        <t>назначено на 2021 г.</t>
      </is>
    </nc>
  </rcc>
  <rcc rId="17097" sId="5">
    <oc r="A1" t="inlineStr">
      <is>
        <t xml:space="preserve">                     Анализ исполнения бюджета Большесундырского сельского поселения на 01.02.2020 г.</t>
      </is>
    </oc>
    <nc r="A1" t="inlineStr">
      <is>
        <t xml:space="preserve">                     Анализ исполнения бюджета Большесундырского сельского поселения на 01.02.2021 г.</t>
      </is>
    </nc>
  </rcc>
  <rcc rId="17098" sId="5" numFmtId="4">
    <oc r="C6">
      <v>403.6</v>
    </oc>
    <nc r="C6">
      <v>350.22</v>
    </nc>
  </rcc>
  <rcc rId="17099" sId="5" numFmtId="4">
    <oc r="D6">
      <v>13.70337</v>
    </oc>
    <nc r="D6">
      <v>19.637720000000002</v>
    </nc>
  </rcc>
  <rcc rId="17100" sId="5" numFmtId="4">
    <oc r="C8">
      <v>275.86</v>
    </oc>
    <nc r="C8">
      <v>267.48</v>
    </nc>
  </rcc>
  <rcc rId="17101" sId="5" numFmtId="4">
    <oc r="D8">
      <v>27.999839999999999</v>
    </oc>
    <nc r="D8">
      <v>27.809249999999999</v>
    </nc>
  </rcc>
  <rcc rId="17102" sId="5" numFmtId="4">
    <oc r="C9">
      <v>2.95</v>
    </oc>
    <nc r="C9">
      <v>2.87</v>
    </nc>
  </rcc>
  <rcc rId="17103" sId="5" numFmtId="4">
    <oc r="D9">
      <v>0.19053</v>
    </oc>
    <nc r="D9">
      <v>0.16391</v>
    </nc>
  </rcc>
  <rcc rId="17104" sId="5" numFmtId="4">
    <oc r="C10">
      <v>460.75</v>
    </oc>
    <nc r="C10">
      <v>446.75</v>
    </nc>
  </rcc>
  <rcc rId="17105" sId="5" numFmtId="4">
    <oc r="D10">
      <v>38.420090000000002</v>
    </oc>
    <nc r="D10">
      <v>37.313519999999997</v>
    </nc>
  </rcc>
  <rcc rId="17106" sId="5" numFmtId="4">
    <oc r="D11">
      <v>-5.1473699999999996</v>
    </oc>
    <nc r="D11">
      <v>-4.7392000000000003</v>
    </nc>
  </rcc>
  <rcc rId="17107" sId="5" numFmtId="4">
    <oc r="C15">
      <v>1120</v>
    </oc>
    <nc r="C15">
      <v>943</v>
    </nc>
  </rcc>
  <rcc rId="17108" sId="5" numFmtId="4">
    <oc r="D15">
      <v>6.2659700000000003</v>
    </oc>
    <nc r="D15">
      <v>5.2468199999999996</v>
    </nc>
  </rcc>
  <rcc rId="17109" sId="5" numFmtId="4">
    <oc r="C16">
      <v>1241</v>
    </oc>
    <nc r="C16">
      <v>1200</v>
    </nc>
  </rcc>
  <rcc rId="17110" sId="5" numFmtId="4">
    <oc r="D16">
      <v>64.251040000000003</v>
    </oc>
    <nc r="D16">
      <v>60.052619999999997</v>
    </nc>
  </rcc>
  <rcc rId="17111" sId="5" numFmtId="4">
    <oc r="D18">
      <v>0.4</v>
    </oc>
    <nc r="D18">
      <v>0.6</v>
    </nc>
  </rcc>
  <rcc rId="17112" sId="5" numFmtId="4">
    <oc r="C28">
      <v>193.9</v>
    </oc>
    <nc r="C28">
      <v>165</v>
    </nc>
  </rcc>
  <rcc rId="17113" sId="5" numFmtId="4">
    <oc r="D31">
      <v>2.52</v>
    </oc>
    <nc r="D31">
      <v>0</v>
    </nc>
  </rcc>
  <rcc rId="17114" sId="5" numFmtId="4">
    <oc r="D36">
      <v>2.3295599999999999</v>
    </oc>
    <nc r="D36">
      <v>0</v>
    </nc>
  </rcc>
  <rcc rId="17115" sId="5" numFmtId="4">
    <oc r="D38">
      <v>-2.52956</v>
    </oc>
    <nc r="D38">
      <v>-2.57315</v>
    </nc>
  </rcc>
  <rcc rId="17116" sId="5" numFmtId="4">
    <oc r="C42">
      <v>3283.9</v>
    </oc>
    <nc r="C42">
      <v>6036.4</v>
    </nc>
  </rcc>
  <rcc rId="17117" sId="5" numFmtId="4">
    <oc r="D42">
      <v>273.654</v>
    </oc>
    <nc r="D42">
      <v>503.03699999999998</v>
    </nc>
  </rcc>
  <rcc rId="17118" sId="5" numFmtId="4">
    <oc r="C44">
      <v>2037.6</v>
    </oc>
    <nc r="C44">
      <v>3555.4910300000001</v>
    </nc>
  </rcc>
  <rcc rId="17119" sId="5" numFmtId="4">
    <oc r="C46">
      <v>185.178</v>
    </oc>
    <nc r="C46">
      <v>215.28700000000001</v>
    </nc>
  </rcc>
  <rcc rId="17120" sId="5" numFmtId="4">
    <oc r="D46">
      <v>14.933299999999999</v>
    </oc>
    <nc r="D46">
      <v>17.2334</v>
    </nc>
  </rcc>
  <rcc rId="17121" sId="5" numFmtId="4">
    <oc r="C47">
      <v>0</v>
    </oc>
    <nc r="C47">
      <v>25</v>
    </nc>
  </rcc>
  <rcc rId="17122" sId="5" numFmtId="4">
    <oc r="C59">
      <v>1754.6</v>
    </oc>
    <nc r="C59">
      <v>1939.6</v>
    </nc>
  </rcc>
  <rcc rId="17123" sId="5" numFmtId="4">
    <oc r="D59">
      <v>36.070070000000001</v>
    </oc>
    <nc r="D59">
      <v>37</v>
    </nc>
  </rcc>
  <rcc rId="17124" sId="5" numFmtId="4">
    <oc r="C62">
      <v>53</v>
    </oc>
    <nc r="C62">
      <v>0</v>
    </nc>
  </rcc>
  <rcc rId="17125" sId="5" numFmtId="4">
    <oc r="C63">
      <v>5</v>
    </oc>
    <nc r="C63">
      <v>100</v>
    </nc>
  </rcc>
  <rcc rId="17126" sId="5" numFmtId="4">
    <oc r="C64">
      <v>5.843</v>
    </oc>
    <nc r="C64">
      <v>5.7389999999999999</v>
    </nc>
  </rcc>
  <rcc rId="17127" sId="5" numFmtId="4">
    <oc r="C66">
      <v>179.208</v>
    </oc>
    <nc r="C66">
      <v>206.767</v>
    </nc>
  </rcc>
  <rcc rId="17128" sId="5" numFmtId="4">
    <oc r="C70">
      <v>2</v>
    </oc>
    <nc r="C70">
      <v>3</v>
    </nc>
  </rcc>
  <rrc rId="17129" sId="5" ref="A71:XFD71" action="insertRow">
    <undo index="24" exp="area" ref3D="1" dr="$A$142:$XFD$142" dn="Z_61528DAC_5C4C_48F4_ADE2_8A724B05A086_.wvu.Rows" sId="5"/>
    <undo index="22" exp="area" ref3D="1" dr="$A$93:$XFD$100" dn="Z_61528DAC_5C4C_48F4_ADE2_8A724B05A086_.wvu.Rows" sId="5"/>
    <undo index="20" exp="area" ref3D="1" dr="$A$87:$XFD$89" dn="Z_61528DAC_5C4C_48F4_ADE2_8A724B05A086_.wvu.Rows" sId="5"/>
    <undo index="18" exp="area" ref3D="1" dr="$A$85:$XFD$85" dn="Z_61528DAC_5C4C_48F4_ADE2_8A724B05A086_.wvu.Rows" sId="5"/>
    <undo index="16" exp="area" ref3D="1" dr="$A$82:$XFD$82" dn="Z_61528DAC_5C4C_48F4_ADE2_8A724B05A086_.wvu.Rows" sId="5"/>
    <undo index="14" exp="area" ref3D="1" dr="$A$79:$XFD$80" dn="Z_61528DAC_5C4C_48F4_ADE2_8A724B05A086_.wvu.Rows" sId="5"/>
    <undo index="16" exp="area" ref3D="1" dr="$A$93:$XFD$97" dn="Z_B31C8DB7_3E78_4144_A6B5_8DE36DE63F0E_.wvu.Rows" sId="5"/>
    <undo index="14" exp="area" ref3D="1" dr="$A$88:$XFD$89" dn="Z_B31C8DB7_3E78_4144_A6B5_8DE36DE63F0E_.wvu.Rows" sId="5"/>
    <undo index="12" exp="area" ref3D="1" dr="$A$82:$XFD$82" dn="Z_B31C8DB7_3E78_4144_A6B5_8DE36DE63F0E_.wvu.Rows" sId="5"/>
    <undo index="10" exp="area" ref3D="1" dr="$A$79:$XFD$80" dn="Z_B31C8DB7_3E78_4144_A6B5_8DE36DE63F0E_.wvu.Rows" sId="5"/>
    <undo index="26" exp="area" ref3D="1" dr="$A$142:$XFD$142" dn="Z_B30CE22D_C12F_4E12_8BB9_3AAE0A6991CC_.wvu.Rows" sId="5"/>
    <undo index="24" exp="area" ref3D="1" dr="$A$93:$XFD$100" dn="Z_B30CE22D_C12F_4E12_8BB9_3AAE0A6991CC_.wvu.Rows" sId="5"/>
    <undo index="22" exp="area" ref3D="1" dr="$A$87:$XFD$90" dn="Z_B30CE22D_C12F_4E12_8BB9_3AAE0A6991CC_.wvu.Rows" sId="5"/>
    <undo index="20" exp="area" ref3D="1" dr="$A$85:$XFD$85" dn="Z_B30CE22D_C12F_4E12_8BB9_3AAE0A6991CC_.wvu.Rows" sId="5"/>
    <undo index="18" exp="area" ref3D="1" dr="$A$82:$XFD$82" dn="Z_B30CE22D_C12F_4E12_8BB9_3AAE0A6991CC_.wvu.Rows" sId="5"/>
    <undo index="16" exp="area" ref3D="1" dr="$A$79:$XFD$80" dn="Z_B30CE22D_C12F_4E12_8BB9_3AAE0A6991CC_.wvu.Rows" sId="5"/>
    <undo index="28" exp="area" ref3D="1" dr="$A$142:$XFD$142" dn="Z_A54C432C_6C68_4B53_A75C_446EB3A61B2B_.wvu.Rows" sId="5"/>
    <undo index="26" exp="area" ref3D="1" dr="$A$93:$XFD$100" dn="Z_A54C432C_6C68_4B53_A75C_446EB3A61B2B_.wvu.Rows" sId="5"/>
    <undo index="24" exp="area" ref3D="1" dr="$A$87:$XFD$89" dn="Z_A54C432C_6C68_4B53_A75C_446EB3A61B2B_.wvu.Rows" sId="5"/>
    <undo index="22" exp="area" ref3D="1" dr="$A$85:$XFD$85" dn="Z_A54C432C_6C68_4B53_A75C_446EB3A61B2B_.wvu.Rows" sId="5"/>
    <undo index="20" exp="area" ref3D="1" dr="$A$82:$XFD$82" dn="Z_A54C432C_6C68_4B53_A75C_446EB3A61B2B_.wvu.Rows" sId="5"/>
    <undo index="18" exp="area" ref3D="1" dr="$A$79:$XFD$80" dn="Z_A54C432C_6C68_4B53_A75C_446EB3A61B2B_.wvu.Rows" sId="5"/>
    <undo index="16" exp="area" ref3D="1" dr="$A$93:$XFD$97" dn="Z_5BFCA170_DEAE_4D2C_98A0_1E68B427AC01_.wvu.Rows" sId="5"/>
    <undo index="14" exp="area" ref3D="1" dr="$A$88:$XFD$89" dn="Z_5BFCA170_DEAE_4D2C_98A0_1E68B427AC01_.wvu.Rows" sId="5"/>
    <undo index="12" exp="area" ref3D="1" dr="$A$82:$XFD$82" dn="Z_5BFCA170_DEAE_4D2C_98A0_1E68B427AC01_.wvu.Rows" sId="5"/>
    <undo index="10" exp="area" ref3D="1" dr="$A$79:$XFD$80" dn="Z_5BFCA170_DEAE_4D2C_98A0_1E68B427AC01_.wvu.Rows" sId="5"/>
    <undo index="20" exp="area" ref3D="1" dr="$A$93:$XFD$100" dn="Z_42584DC0_1D41_4C93_9B38_C388E7B8DAC4_.wvu.Rows" sId="5"/>
    <undo index="18" exp="area" ref3D="1" dr="$A$87:$XFD$89" dn="Z_42584DC0_1D41_4C93_9B38_C388E7B8DAC4_.wvu.Rows" sId="5"/>
    <undo index="16" exp="area" ref3D="1" dr="$A$85:$XFD$85" dn="Z_42584DC0_1D41_4C93_9B38_C388E7B8DAC4_.wvu.Rows" sId="5"/>
    <undo index="14" exp="area" ref3D="1" dr="$A$82:$XFD$82" dn="Z_42584DC0_1D41_4C93_9B38_C388E7B8DAC4_.wvu.Rows" sId="5"/>
    <undo index="12" exp="area" ref3D="1" dr="$A$79:$XFD$80" dn="Z_42584DC0_1D41_4C93_9B38_C388E7B8DAC4_.wvu.Rows" sId="5"/>
    <undo index="16" exp="area" ref3D="1" dr="$A$93:$XFD$97" dn="Z_3DCB9AAA_F09C_4EA6_B992_F93E466D374A_.wvu.Rows" sId="5"/>
    <undo index="14" exp="area" ref3D="1" dr="$A$88:$XFD$89" dn="Z_3DCB9AAA_F09C_4EA6_B992_F93E466D374A_.wvu.Rows" sId="5"/>
    <undo index="12" exp="area" ref3D="1" dr="$A$82:$XFD$85" dn="Z_3DCB9AAA_F09C_4EA6_B992_F93E466D374A_.wvu.Rows" sId="5"/>
    <undo index="10" exp="area" ref3D="1" dr="$A$79:$XFD$80" dn="Z_3DCB9AAA_F09C_4EA6_B992_F93E466D374A_.wvu.Rows" sId="5"/>
    <undo index="16" exp="area" ref3D="1" dr="$A$93:$XFD$97" dn="Z_1A52382B_3765_4E8C_903F_6B8919B7242E_.wvu.Rows" sId="5"/>
    <undo index="14" exp="area" ref3D="1" dr="$A$88:$XFD$89" dn="Z_1A52382B_3765_4E8C_903F_6B8919B7242E_.wvu.Rows" sId="5"/>
    <undo index="12" exp="area" ref3D="1" dr="$A$82:$XFD$82" dn="Z_1A52382B_3765_4E8C_903F_6B8919B7242E_.wvu.Rows" sId="5"/>
    <undo index="10" exp="area" ref3D="1" dr="$A$79:$XFD$80" dn="Z_1A52382B_3765_4E8C_903F_6B8919B7242E_.wvu.Rows" sId="5"/>
    <undo index="26" exp="area" ref3D="1" dr="$A$142:$XFD$142" dn="Z_1718F1EE_9F48_4DBE_9531_3B70F9C4A5DD_.wvu.Rows" sId="5"/>
    <undo index="24" exp="area" ref3D="1" dr="$A$93:$XFD$100" dn="Z_1718F1EE_9F48_4DBE_9531_3B70F9C4A5DD_.wvu.Rows" sId="5"/>
    <undo index="22" exp="area" ref3D="1" dr="$A$85:$XFD$90" dn="Z_1718F1EE_9F48_4DBE_9531_3B70F9C4A5DD_.wvu.Rows" sId="5"/>
    <undo index="20" exp="area" ref3D="1" dr="$A$82:$XFD$82" dn="Z_1718F1EE_9F48_4DBE_9531_3B70F9C4A5DD_.wvu.Rows" sId="5"/>
    <undo index="18" exp="area" ref3D="1" dr="$A$79:$XFD$80" dn="Z_1718F1EE_9F48_4DBE_9531_3B70F9C4A5DD_.wvu.Rows" sId="5"/>
  </rrc>
  <rcc rId="17130" sId="5">
    <nc r="A71" t="inlineStr">
      <is>
        <t>0310</t>
      </is>
    </nc>
  </rcc>
  <rcc rId="17131" sId="5">
    <nc r="B71" t="inlineStr">
      <is>
        <t>Обеспечение пожарной безопасности</t>
      </is>
    </nc>
  </rcc>
  <rcc rId="17132" sId="5" numFmtId="4">
    <nc r="D71">
      <v>0</v>
    </nc>
  </rcc>
  <rcc rId="17133" sId="5" odxf="1" dxf="1">
    <nc r="E71">
      <f>SUM(D71/C71*100)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cc rId="17134" sId="5" odxf="1" dxf="1">
    <nc r="F71">
      <f>SUM(D71-C71)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rc rId="17135" sId="5" ref="A73:XFD73" action="deleteRow">
    <undo index="1" exp="ref" v="1" dr="D73" r="D67" sId="5"/>
    <undo index="1" exp="ref" v="1" dr="C73" r="C67" sId="5"/>
    <undo index="24" exp="area" ref3D="1" dr="$A$143:$XFD$143" dn="Z_61528DAC_5C4C_48F4_ADE2_8A724B05A086_.wvu.Rows" sId="5"/>
    <undo index="22" exp="area" ref3D="1" dr="$A$94:$XFD$101" dn="Z_61528DAC_5C4C_48F4_ADE2_8A724B05A086_.wvu.Rows" sId="5"/>
    <undo index="20" exp="area" ref3D="1" dr="$A$88:$XFD$90" dn="Z_61528DAC_5C4C_48F4_ADE2_8A724B05A086_.wvu.Rows" sId="5"/>
    <undo index="18" exp="area" ref3D="1" dr="$A$86:$XFD$86" dn="Z_61528DAC_5C4C_48F4_ADE2_8A724B05A086_.wvu.Rows" sId="5"/>
    <undo index="16" exp="area" ref3D="1" dr="$A$83:$XFD$83" dn="Z_61528DAC_5C4C_48F4_ADE2_8A724B05A086_.wvu.Rows" sId="5"/>
    <undo index="14" exp="area" ref3D="1" dr="$A$80:$XFD$81" dn="Z_61528DAC_5C4C_48F4_ADE2_8A724B05A086_.wvu.Rows" sId="5"/>
    <undo index="16" exp="area" ref3D="1" dr="$A$94:$XFD$98" dn="Z_B31C8DB7_3E78_4144_A6B5_8DE36DE63F0E_.wvu.Rows" sId="5"/>
    <undo index="14" exp="area" ref3D="1" dr="$A$89:$XFD$90" dn="Z_B31C8DB7_3E78_4144_A6B5_8DE36DE63F0E_.wvu.Rows" sId="5"/>
    <undo index="12" exp="area" ref3D="1" dr="$A$83:$XFD$83" dn="Z_B31C8DB7_3E78_4144_A6B5_8DE36DE63F0E_.wvu.Rows" sId="5"/>
    <undo index="10" exp="area" ref3D="1" dr="$A$80:$XFD$81" dn="Z_B31C8DB7_3E78_4144_A6B5_8DE36DE63F0E_.wvu.Rows" sId="5"/>
    <undo index="26" exp="area" ref3D="1" dr="$A$143:$XFD$143" dn="Z_B30CE22D_C12F_4E12_8BB9_3AAE0A6991CC_.wvu.Rows" sId="5"/>
    <undo index="24" exp="area" ref3D="1" dr="$A$94:$XFD$101" dn="Z_B30CE22D_C12F_4E12_8BB9_3AAE0A6991CC_.wvu.Rows" sId="5"/>
    <undo index="22" exp="area" ref3D="1" dr="$A$88:$XFD$91" dn="Z_B30CE22D_C12F_4E12_8BB9_3AAE0A6991CC_.wvu.Rows" sId="5"/>
    <undo index="20" exp="area" ref3D="1" dr="$A$86:$XFD$86" dn="Z_B30CE22D_C12F_4E12_8BB9_3AAE0A6991CC_.wvu.Rows" sId="5"/>
    <undo index="18" exp="area" ref3D="1" dr="$A$83:$XFD$83" dn="Z_B30CE22D_C12F_4E12_8BB9_3AAE0A6991CC_.wvu.Rows" sId="5"/>
    <undo index="16" exp="area" ref3D="1" dr="$A$80:$XFD$81" dn="Z_B30CE22D_C12F_4E12_8BB9_3AAE0A6991CC_.wvu.Rows" sId="5"/>
    <undo index="28" exp="area" ref3D="1" dr="$A$143:$XFD$143" dn="Z_A54C432C_6C68_4B53_A75C_446EB3A61B2B_.wvu.Rows" sId="5"/>
    <undo index="26" exp="area" ref3D="1" dr="$A$94:$XFD$101" dn="Z_A54C432C_6C68_4B53_A75C_446EB3A61B2B_.wvu.Rows" sId="5"/>
    <undo index="24" exp="area" ref3D="1" dr="$A$88:$XFD$90" dn="Z_A54C432C_6C68_4B53_A75C_446EB3A61B2B_.wvu.Rows" sId="5"/>
    <undo index="22" exp="area" ref3D="1" dr="$A$86:$XFD$86" dn="Z_A54C432C_6C68_4B53_A75C_446EB3A61B2B_.wvu.Rows" sId="5"/>
    <undo index="20" exp="area" ref3D="1" dr="$A$83:$XFD$83" dn="Z_A54C432C_6C68_4B53_A75C_446EB3A61B2B_.wvu.Rows" sId="5"/>
    <undo index="18" exp="area" ref3D="1" dr="$A$80:$XFD$81" dn="Z_A54C432C_6C68_4B53_A75C_446EB3A61B2B_.wvu.Rows" sId="5"/>
    <undo index="16" exp="area" ref3D="1" dr="$A$94:$XFD$98" dn="Z_5BFCA170_DEAE_4D2C_98A0_1E68B427AC01_.wvu.Rows" sId="5"/>
    <undo index="14" exp="area" ref3D="1" dr="$A$89:$XFD$90" dn="Z_5BFCA170_DEAE_4D2C_98A0_1E68B427AC01_.wvu.Rows" sId="5"/>
    <undo index="12" exp="area" ref3D="1" dr="$A$83:$XFD$83" dn="Z_5BFCA170_DEAE_4D2C_98A0_1E68B427AC01_.wvu.Rows" sId="5"/>
    <undo index="10" exp="area" ref3D="1" dr="$A$80:$XFD$81" dn="Z_5BFCA170_DEAE_4D2C_98A0_1E68B427AC01_.wvu.Rows" sId="5"/>
    <undo index="20" exp="area" ref3D="1" dr="$A$94:$XFD$101" dn="Z_42584DC0_1D41_4C93_9B38_C388E7B8DAC4_.wvu.Rows" sId="5"/>
    <undo index="18" exp="area" ref3D="1" dr="$A$88:$XFD$90" dn="Z_42584DC0_1D41_4C93_9B38_C388E7B8DAC4_.wvu.Rows" sId="5"/>
    <undo index="16" exp="area" ref3D="1" dr="$A$86:$XFD$86" dn="Z_42584DC0_1D41_4C93_9B38_C388E7B8DAC4_.wvu.Rows" sId="5"/>
    <undo index="14" exp="area" ref3D="1" dr="$A$83:$XFD$83" dn="Z_42584DC0_1D41_4C93_9B38_C388E7B8DAC4_.wvu.Rows" sId="5"/>
    <undo index="12" exp="area" ref3D="1" dr="$A$80:$XFD$81" dn="Z_42584DC0_1D41_4C93_9B38_C388E7B8DAC4_.wvu.Rows" sId="5"/>
    <undo index="16" exp="area" ref3D="1" dr="$A$94:$XFD$98" dn="Z_3DCB9AAA_F09C_4EA6_B992_F93E466D374A_.wvu.Rows" sId="5"/>
    <undo index="14" exp="area" ref3D="1" dr="$A$89:$XFD$90" dn="Z_3DCB9AAA_F09C_4EA6_B992_F93E466D374A_.wvu.Rows" sId="5"/>
    <undo index="12" exp="area" ref3D="1" dr="$A$83:$XFD$86" dn="Z_3DCB9AAA_F09C_4EA6_B992_F93E466D374A_.wvu.Rows" sId="5"/>
    <undo index="10" exp="area" ref3D="1" dr="$A$80:$XFD$81" dn="Z_3DCB9AAA_F09C_4EA6_B992_F93E466D374A_.wvu.Rows" sId="5"/>
    <undo index="16" exp="area" ref3D="1" dr="$A$94:$XFD$98" dn="Z_1A52382B_3765_4E8C_903F_6B8919B7242E_.wvu.Rows" sId="5"/>
    <undo index="14" exp="area" ref3D="1" dr="$A$89:$XFD$90" dn="Z_1A52382B_3765_4E8C_903F_6B8919B7242E_.wvu.Rows" sId="5"/>
    <undo index="12" exp="area" ref3D="1" dr="$A$83:$XFD$83" dn="Z_1A52382B_3765_4E8C_903F_6B8919B7242E_.wvu.Rows" sId="5"/>
    <undo index="10" exp="area" ref3D="1" dr="$A$80:$XFD$81" dn="Z_1A52382B_3765_4E8C_903F_6B8919B7242E_.wvu.Rows" sId="5"/>
    <undo index="26" exp="area" ref3D="1" dr="$A$143:$XFD$143" dn="Z_1718F1EE_9F48_4DBE_9531_3B70F9C4A5DD_.wvu.Rows" sId="5"/>
    <undo index="24" exp="area" ref3D="1" dr="$A$94:$XFD$101" dn="Z_1718F1EE_9F48_4DBE_9531_3B70F9C4A5DD_.wvu.Rows" sId="5"/>
    <undo index="22" exp="area" ref3D="1" dr="$A$86:$XFD$91" dn="Z_1718F1EE_9F48_4DBE_9531_3B70F9C4A5DD_.wvu.Rows" sId="5"/>
    <undo index="20" exp="area" ref3D="1" dr="$A$83:$XFD$83" dn="Z_1718F1EE_9F48_4DBE_9531_3B70F9C4A5DD_.wvu.Rows" sId="5"/>
    <undo index="18" exp="area" ref3D="1" dr="$A$80:$XFD$81" dn="Z_1718F1EE_9F48_4DBE_9531_3B70F9C4A5DD_.wvu.Rows" sId="5"/>
    <rfmt sheetId="5" xfDxf="1" s="1" sqref="A73:XFD7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5" s="1" dxf="1">
      <nc r="A73" t="inlineStr">
        <is>
          <t>0310</t>
        </is>
      </nc>
      <ndxf>
        <numFmt numFmtId="30" formatCode="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5" s="1" dxf="1">
      <nc r="B73" t="inlineStr">
        <is>
          <t>Обеспечение пожарной безопасности</t>
        </is>
      </nc>
      <ndxf>
        <font>
          <sz val="12"/>
          <color auto="1"/>
          <name val="Times New Roman Cyr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C73">
        <v>4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D73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E73">
        <f>SUM(D73/C73*100)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F73">
        <f>SUM(D73-C73)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36" sId="5" numFmtId="4">
    <nc r="C71">
      <v>310</v>
    </nc>
  </rcc>
  <rcc rId="17137" sId="5">
    <oc r="C67">
      <f>C70+#REF!+C72</f>
    </oc>
    <nc r="C67">
      <f>C70+C72+C71</f>
    </nc>
  </rcc>
  <rcc rId="17138" sId="5">
    <oc r="D67">
      <f>D70+#REF!+D72</f>
    </oc>
    <nc r="D67">
      <f>D70+D72+D71</f>
    </nc>
  </rcc>
  <rcc rId="17139" sId="5" numFmtId="4">
    <oc r="C74">
      <v>14.316000000000001</v>
    </oc>
    <nc r="C74">
      <v>8.52</v>
    </nc>
  </rcc>
  <rcc rId="17140" sId="5" numFmtId="4">
    <oc r="C75">
      <v>153</v>
    </oc>
    <nc r="C75">
      <v>0</v>
    </nc>
  </rcc>
  <rcc rId="17141" sId="5" numFmtId="4">
    <oc r="C76">
      <v>2777.16</v>
    </oc>
    <nc r="C76">
      <v>1910.41</v>
    </nc>
  </rcc>
  <rcc rId="17142" sId="5" numFmtId="4">
    <oc r="D76">
      <v>34.097999999999999</v>
    </oc>
    <nc r="D76">
      <v>0</v>
    </nc>
  </rcc>
  <rcc rId="17143" sId="5" numFmtId="4">
    <oc r="C77">
      <v>0</v>
    </oc>
    <nc r="C77">
      <v>200</v>
    </nc>
  </rcc>
  <rcc rId="17144" sId="5" numFmtId="4">
    <nc r="C80">
      <v>920</v>
    </nc>
  </rcc>
  <rcc rId="17145" sId="5" numFmtId="4">
    <oc r="C81">
      <v>1088.7</v>
    </oc>
    <nc r="C81">
      <v>4203.2620299999999</v>
    </nc>
  </rcc>
  <rcc rId="17146" sId="5" numFmtId="4">
    <oc r="C84">
      <v>3243.5</v>
    </oc>
    <nc r="C84">
      <v>3448.2</v>
    </nc>
  </rcc>
  <rcc rId="17147" sId="5" numFmtId="4">
    <oc r="D84">
      <v>220</v>
    </oc>
    <nc r="D84">
      <v>0</v>
    </nc>
  </rcc>
  <rcc rId="17148" sId="5" numFmtId="4">
    <oc r="C92">
      <v>22.411000000000001</v>
    </oc>
    <nc r="C92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7047" sId="4" numFmtId="4">
    <oc r="C54">
      <v>1114</v>
    </oc>
    <nc r="C54">
      <v>1154.4000000000001</v>
    </nc>
  </rcc>
  <rcc rId="17048" sId="4" numFmtId="4">
    <oc r="D54">
      <v>20</v>
    </oc>
    <nc r="D54">
      <v>25.171230000000001</v>
    </nc>
  </rcc>
  <rcc rId="17049" sId="4" numFmtId="4">
    <oc r="C57">
      <v>12</v>
    </oc>
    <nc r="C57">
      <v>0</v>
    </nc>
  </rcc>
  <rcc rId="17050" sId="4" numFmtId="4">
    <oc r="C58">
      <v>5</v>
    </oc>
    <nc r="C58">
      <v>50</v>
    </nc>
  </rcc>
  <rcc rId="17051" sId="4" numFmtId="4">
    <oc r="C59">
      <v>2.2749999999999999</v>
    </oc>
    <nc r="C59">
      <v>2.266</v>
    </nc>
  </rcc>
  <rcc rId="17052" sId="4" numFmtId="4">
    <oc r="C61">
      <v>89.605000000000004</v>
    </oc>
    <nc r="C61">
      <v>103.383</v>
    </nc>
  </rcc>
  <rcc rId="17053" sId="4" numFmtId="4">
    <oc r="C65">
      <v>1</v>
    </oc>
    <nc r="C65">
      <v>3</v>
    </nc>
  </rcc>
  <rcc rId="17054" sId="4" numFmtId="4">
    <oc r="C66">
      <v>7</v>
    </oc>
    <nc r="C66">
      <v>10</v>
    </nc>
  </rcc>
  <rcc rId="17055" sId="4" numFmtId="4">
    <oc r="C69">
      <v>7.1580000000000004</v>
    </oc>
    <nc r="C69">
      <v>4.26</v>
    </nc>
  </rcc>
  <rcc rId="17056" sId="4" numFmtId="4">
    <oc r="C70">
      <v>0</v>
    </oc>
    <nc r="C70">
      <v>22</v>
    </nc>
  </rcc>
  <rcc rId="17057" sId="4" numFmtId="4">
    <oc r="C71">
      <v>643.21</v>
    </oc>
    <nc r="C71">
      <v>615.89</v>
    </nc>
  </rcc>
  <rcc rId="17058" sId="4" numFmtId="4">
    <oc r="C76">
      <v>275.04700000000003</v>
    </oc>
    <nc r="C76">
      <v>633.6</v>
    </nc>
  </rcc>
  <rcc rId="17059" sId="4" numFmtId="4">
    <oc r="D76">
      <v>0</v>
    </oc>
    <nc r="D76">
      <v>3.8616899999999998</v>
    </nc>
  </rcc>
  <rcc rId="17060" sId="4" numFmtId="4">
    <oc r="C78">
      <v>283</v>
    </oc>
    <nc r="C78">
      <v>334.20400000000001</v>
    </nc>
  </rcc>
  <rcc rId="17061" sId="4" numFmtId="4">
    <oc r="C85">
      <v>2</v>
    </oc>
    <nc r="C85">
      <v>30</v>
    </nc>
  </rcc>
  <rcc rId="17062" sId="4" numFmtId="4">
    <oc r="C72">
      <v>0</v>
    </oc>
    <nc r="C72">
      <v>50</v>
    </nc>
  </rcc>
  <rcc rId="17063" sId="4" numFmtId="4">
    <oc r="D78">
      <v>24</v>
    </oc>
    <nc r="D7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8961" sId="2" numFmtId="4">
    <oc r="AD32">
      <v>16870</v>
    </oc>
    <nc r="AD32">
      <v>16922</v>
    </nc>
  </rcc>
  <rcc rId="18962" sId="2" numFmtId="4">
    <oc r="AE32">
      <v>533.96861000000001</v>
    </oc>
    <nc r="AE32">
      <v>462.64346999999998</v>
    </nc>
  </rcc>
  <rcc rId="18963" sId="2" numFmtId="4">
    <oc r="AG32">
      <v>116</v>
    </oc>
    <nc r="AG32">
      <v>118</v>
    </nc>
  </rcc>
  <rcc rId="18964" sId="2" numFmtId="4">
    <oc r="AH32">
      <v>5.25</v>
    </oc>
    <nc r="AH32">
      <v>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8781" sId="3" numFmtId="4">
    <oc r="C117">
      <v>9962.7999999999993</v>
    </oc>
    <nc r="C117">
      <v>10599.801009999999</v>
    </nc>
  </rcc>
  <rcc rId="18782" sId="3" numFmtId="4">
    <oc r="D117">
      <v>104.44499999999999</v>
    </oc>
    <nc r="D117"/>
  </rcc>
  <rcc rId="18783" sId="3" numFmtId="4">
    <oc r="C118">
      <v>22075.84</v>
    </oc>
    <nc r="C118">
      <v>30869.398349999999</v>
    </nc>
  </rcc>
  <rcc rId="18784" sId="3" numFmtId="4">
    <oc r="C119">
      <v>147.6</v>
    </oc>
    <nc r="C119">
      <v>99.4</v>
    </nc>
  </rcc>
  <rcc rId="18785" sId="3" numFmtId="4">
    <oc r="D119">
      <v>0</v>
    </oc>
    <nc r="D119">
      <v>1.2</v>
    </nc>
  </rcc>
  <rcc rId="18786" sId="3" numFmtId="4">
    <oc r="D121">
      <v>10</v>
    </oc>
    <nc r="D121"/>
  </rcc>
  <rcc rId="18787" sId="3" numFmtId="4">
    <oc r="C122">
      <v>37170.199999999997</v>
    </oc>
    <nc r="C122">
      <v>5307.4</v>
    </nc>
  </rcc>
  <rcc rId="18788" sId="3" numFmtId="4">
    <oc r="D122">
      <v>357.92500000000001</v>
    </oc>
    <nc r="D122">
      <v>359.988</v>
    </nc>
  </rcc>
  <rcc rId="18789" sId="3">
    <oc r="C123">
      <f>SUM(C113:C114)</f>
    </oc>
    <nc r="C123"/>
  </rcc>
  <rcc rId="18790" sId="3" numFmtId="4">
    <oc r="C131">
      <v>29508</v>
    </oc>
    <nc r="C131">
      <v>53535.4</v>
    </nc>
  </rcc>
  <rcc rId="18791" sId="3" numFmtId="4">
    <oc r="D131">
      <v>2458.9585000000002</v>
    </oc>
    <nc r="D131">
      <v>4461.3159999999998</v>
    </nc>
  </rcc>
  <rcc rId="18792" sId="3" numFmtId="4">
    <oc r="C132">
      <v>4700</v>
    </oc>
    <nc r="C132">
      <v>1475</v>
    </nc>
  </rcc>
  <rcc rId="18793" sId="3" numFmtId="4">
    <oc r="C133">
      <v>2454.0700000000002</v>
    </oc>
    <nc r="C133">
      <v>1175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c rId="18242" sId="16" numFmtId="4">
    <oc r="C6">
      <v>115.4</v>
    </oc>
    <nc r="C6">
      <v>126.9</v>
    </nc>
  </rcc>
  <rcc rId="18243" sId="16" numFmtId="4">
    <oc r="D6">
      <v>4.1180599999999998</v>
    </oc>
    <nc r="D6">
      <v>3.3699599999999998</v>
    </nc>
  </rcc>
  <rcc rId="18244" sId="16" numFmtId="4">
    <oc r="C8">
      <v>227.51</v>
    </oc>
    <nc r="C8">
      <v>220.44</v>
    </nc>
  </rcc>
  <rcc rId="18245" sId="16" numFmtId="4">
    <oc r="D8">
      <v>23.092649999999999</v>
    </oc>
    <nc r="D8">
      <v>22.91865</v>
    </nc>
  </rcc>
  <rcc rId="18246" sId="16" numFmtId="4">
    <oc r="C9">
      <v>2.4300000000000002</v>
    </oc>
    <nc r="C9">
      <v>2.36</v>
    </nc>
  </rcc>
  <rcc rId="18247" sId="16" numFmtId="4">
    <oc r="D9">
      <v>0.15712999999999999</v>
    </oc>
    <nc r="D9">
      <v>0.13508999999999999</v>
    </nc>
  </rcc>
  <rcc rId="18248" sId="16" numFmtId="4">
    <oc r="C10">
      <v>380</v>
    </oc>
    <nc r="C10">
      <v>368.2</v>
    </nc>
  </rcc>
  <rcc rId="18249" sId="16" numFmtId="4">
    <oc r="D10">
      <v>31.686679999999999</v>
    </oc>
    <nc r="D10">
      <v>30.751480000000001</v>
    </nc>
  </rcc>
  <rcc rId="18250" sId="16" numFmtId="4">
    <oc r="D11">
      <v>-4.2452500000000004</v>
    </oc>
    <nc r="D11">
      <v>-3.9057400000000002</v>
    </nc>
  </rcc>
  <rcc rId="18251" sId="16" numFmtId="4">
    <oc r="C13">
      <v>20</v>
    </oc>
    <nc r="C13">
      <v>50</v>
    </nc>
  </rcc>
  <rcc rId="18252" sId="16" numFmtId="4">
    <oc r="D13">
      <v>0</v>
    </oc>
    <nc r="D13">
      <v>0.2172</v>
    </nc>
  </rcc>
  <rcc rId="18253" sId="16" numFmtId="4">
    <oc r="C15">
      <v>260</v>
    </oc>
    <nc r="C15">
      <v>240</v>
    </nc>
  </rcc>
  <rcc rId="18254" sId="16" numFmtId="4">
    <oc r="D15">
      <v>1.79209</v>
    </oc>
    <nc r="D15">
      <v>-0.75882000000000005</v>
    </nc>
  </rcc>
  <rcc rId="18255" sId="16" numFmtId="4">
    <oc r="C16">
      <v>1979</v>
    </oc>
    <nc r="C16">
      <v>1850</v>
    </nc>
  </rcc>
  <rcc rId="18256" sId="16" numFmtId="4">
    <oc r="D16">
      <v>26.432449999999999</v>
    </oc>
    <nc r="D16">
      <v>25.476990000000001</v>
    </nc>
  </rcc>
  <rcc rId="18257" sId="16" numFmtId="4">
    <oc r="D18">
      <v>1</v>
    </oc>
    <nc r="D18">
      <v>0.1</v>
    </nc>
  </rcc>
  <rcc rId="18258" sId="16" numFmtId="4">
    <oc r="C27">
      <v>353.3</v>
    </oc>
    <nc r="C27">
      <v>420</v>
    </nc>
  </rcc>
  <rcc rId="18259" sId="16" numFmtId="4">
    <oc r="D28">
      <v>1.3547499999999999</v>
    </oc>
    <nc r="D28">
      <v>6.8097300000000001</v>
    </nc>
  </rcc>
  <rcc rId="18260" sId="16" numFmtId="4">
    <oc r="D30">
      <v>7.1010799999999996</v>
    </oc>
    <nc r="D30"/>
  </rcc>
  <rcc rId="18261" sId="16" numFmtId="4">
    <oc r="C41">
      <v>415.4</v>
    </oc>
    <nc r="C41">
      <v>1697.1</v>
    </nc>
  </rcc>
  <rcc rId="18262" sId="16" numFmtId="4">
    <oc r="D41">
      <v>34.616100000000003</v>
    </oc>
    <nc r="D41">
      <v>141.42599999999999</v>
    </nc>
  </rcc>
  <rcc rId="18263" sId="16" numFmtId="4">
    <oc r="C43">
      <v>861.44</v>
    </oc>
    <nc r="C43">
      <v>848.49</v>
    </nc>
  </rcc>
  <rcc rId="18264" sId="16" numFmtId="4">
    <oc r="C44">
      <v>92.584999999999994</v>
    </oc>
    <nc r="C44">
      <v>107.643</v>
    </nc>
  </rcc>
  <rcc rId="18265" sId="16" numFmtId="4">
    <oc r="D44">
      <v>7.4667000000000003</v>
    </oc>
    <nc r="D44">
      <v>8.6166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.xml><?xml version="1.0" encoding="utf-8"?>
<revisions xmlns="http://schemas.openxmlformats.org/spreadsheetml/2006/main" xmlns:r="http://schemas.openxmlformats.org/officeDocument/2006/relationships">
  <rcc rId="18206" sId="15">
    <oc r="A79" t="inlineStr">
      <is>
        <t>0501</t>
      </is>
    </oc>
    <nc r="A79" t="inlineStr">
      <is>
        <t>0502</t>
      </is>
    </nc>
  </rcc>
  <rcc rId="18207" sId="15" numFmtId="34">
    <nc r="C79">
      <v>89.867999999999995</v>
    </nc>
  </rcc>
  <rcc rId="18208" sId="15" numFmtId="34">
    <oc r="C80">
      <v>153</v>
    </oc>
    <nc r="C80">
      <v>260</v>
    </nc>
  </rcc>
  <rcc rId="18209" sId="15" numFmtId="34">
    <oc r="D80">
      <v>7.8357900000000003</v>
    </oc>
    <nc r="D80"/>
  </rcc>
  <rcc rId="18210" sId="15" numFmtId="34">
    <oc r="C82">
      <v>832.4</v>
    </oc>
    <nc r="C82">
      <v>837</v>
    </nc>
  </rcc>
  <rcc rId="18211" sId="15" numFmtId="34">
    <oc r="D82">
      <v>70</v>
    </oc>
    <nc r="D82"/>
  </rcc>
  <rcc rId="18212" sId="15" numFmtId="34">
    <oc r="C89">
      <v>2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1.xml><?xml version="1.0" encoding="utf-8"?>
<revisions xmlns="http://schemas.openxmlformats.org/spreadsheetml/2006/main" xmlns:r="http://schemas.openxmlformats.org/officeDocument/2006/relationships">
  <rcc rId="17239" sId="6" numFmtId="4">
    <oc r="C60">
      <v>1341.9</v>
    </oc>
    <nc r="C60">
      <v>1523.7</v>
    </nc>
  </rcc>
  <rcc rId="17240" sId="6" numFmtId="4">
    <oc r="D60">
      <v>26.114419999999999</v>
    </oc>
    <nc r="D60">
      <v>51.25712</v>
    </nc>
  </rcc>
  <rcc rId="17241" sId="6" numFmtId="4">
    <oc r="C63">
      <v>23</v>
    </oc>
    <nc r="C63">
      <v>0</v>
    </nc>
  </rcc>
  <rcc rId="17242" sId="6" numFmtId="4">
    <oc r="C64">
      <v>5</v>
    </oc>
    <nc r="C64">
      <v>17</v>
    </nc>
  </rcc>
  <rcc rId="17243" sId="6" numFmtId="4">
    <oc r="C65">
      <v>3.6739999999999999</v>
    </oc>
    <nc r="C65">
      <v>3.6070000000000002</v>
    </nc>
  </rcc>
  <rcc rId="17244" sId="6" numFmtId="4">
    <oc r="C67">
      <v>179.208</v>
    </oc>
    <nc r="C67">
      <v>206.767</v>
    </nc>
  </rcc>
  <rcc rId="17245" sId="6" numFmtId="4">
    <oc r="C71">
      <v>2</v>
    </oc>
    <nc r="C71">
      <v>3</v>
    </nc>
  </rcc>
  <rcc rId="17246" sId="6" numFmtId="4">
    <oc r="C72">
      <v>2</v>
    </oc>
    <nc r="C72">
      <v>10</v>
    </nc>
  </rcc>
  <rcc rId="17247" sId="6" numFmtId="4">
    <oc r="C75">
      <v>2.863</v>
    </oc>
    <nc r="C75">
      <v>4.26</v>
    </nc>
  </rcc>
  <rcc rId="17248" sId="6" numFmtId="4">
    <oc r="C77">
      <v>1916.98</v>
    </oc>
    <nc r="C77">
      <v>1947.57</v>
    </nc>
  </rcc>
  <rcc rId="17249" sId="6" numFmtId="4">
    <oc r="C78">
      <v>233.2</v>
    </oc>
    <nc r="C78">
      <v>245.15</v>
    </nc>
  </rcc>
  <rcc rId="17250" sId="6" numFmtId="4">
    <oc r="C83">
      <v>0</v>
    </oc>
    <nc r="C83">
      <v>397.49299999999999</v>
    </nc>
  </rcc>
  <rcc rId="17251" sId="6" numFmtId="4">
    <oc r="C84">
      <v>660</v>
    </oc>
    <nc r="C84">
      <v>417.5</v>
    </nc>
  </rcc>
  <rcc rId="17252" sId="6" numFmtId="4">
    <oc r="C86">
      <v>1585.2529999999999</v>
    </oc>
    <nc r="C86">
      <v>1799.1</v>
    </nc>
  </rcc>
  <rcc rId="17253" sId="6" numFmtId="4">
    <oc r="D86">
      <v>125</v>
    </oc>
    <nc r="D86">
      <v>15.20205</v>
    </nc>
  </rcc>
  <rcc rId="17254" sId="6" numFmtId="4">
    <oc r="C93">
      <v>2</v>
    </oc>
    <nc r="C93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19370" sId="2" numFmtId="4">
    <oc r="CR32">
      <v>462.18360999999999</v>
    </oc>
    <nc r="CR32">
      <v>0</v>
    </nc>
  </rcc>
  <rcc rId="19371" sId="2" numFmtId="4">
    <oc r="CS32">
      <v>0</v>
    </oc>
    <nc r="CS32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19213" sId="2" numFmtId="4">
    <oc r="CC32">
      <v>29508</v>
    </oc>
    <nc r="CC32">
      <v>55010.400000000001</v>
    </nc>
  </rcc>
  <rcc rId="19214" sId="2" numFmtId="4">
    <oc r="CD32">
      <v>2458.9585000000002</v>
    </oc>
    <nc r="CD32">
      <v>4461.3159999999998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9057" sId="2" numFmtId="4">
    <oc r="AT32">
      <v>18.797180000000001</v>
    </oc>
    <nc r="AT32">
      <v>18.75216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18600" sId="19" numFmtId="34">
    <oc r="C55">
      <v>1333.1</v>
    </oc>
    <nc r="C55">
      <v>1365.5</v>
    </nc>
  </rcc>
  <rcc rId="18601" sId="19" numFmtId="34">
    <oc r="D55">
      <v>29.6</v>
    </oc>
    <nc r="D55">
      <v>25.5</v>
    </nc>
  </rcc>
  <rcc rId="18602" sId="19" numFmtId="34">
    <oc r="C58">
      <v>24</v>
    </oc>
    <nc r="C58"/>
  </rcc>
  <rcc rId="18603" sId="19" numFmtId="34">
    <oc r="C59">
      <v>5</v>
    </oc>
    <nc r="C59">
      <v>50</v>
    </nc>
  </rcc>
  <rcc rId="18604" sId="19" numFmtId="34">
    <oc r="C60">
      <v>3.0230000000000001</v>
    </oc>
    <nc r="C60">
      <v>2.9769999999999999</v>
    </nc>
  </rcc>
  <rcc rId="18605" sId="19" numFmtId="34">
    <oc r="C62">
      <v>89.603999999999999</v>
    </oc>
    <nc r="C62">
      <v>103.383</v>
    </nc>
  </rcc>
  <rcc rId="18606" sId="19" numFmtId="34">
    <oc r="D62">
      <v>2.4</v>
    </oc>
    <nc r="D62"/>
  </rcc>
  <rcc rId="18607" sId="19" numFmtId="34">
    <oc r="C66">
      <v>2</v>
    </oc>
    <nc r="C66">
      <v>13</v>
    </nc>
  </rcc>
  <rcc rId="18608" sId="19" numFmtId="34">
    <oc r="C67">
      <v>8</v>
    </oc>
    <nc r="C67">
      <v>10</v>
    </nc>
  </rcc>
  <rcc rId="18609" sId="19" numFmtId="34">
    <oc r="C70">
      <v>14.316000000000001</v>
    </oc>
    <nc r="C70">
      <v>4.26</v>
    </nc>
  </rcc>
  <rcc rId="18610" sId="19" numFmtId="34">
    <oc r="C71">
      <v>900</v>
    </oc>
    <nc r="C71"/>
  </rcc>
  <rcc rId="18611" sId="19" numFmtId="34">
    <oc r="C72">
      <v>1639.011</v>
    </oc>
    <nc r="C72">
      <v>1114.6199999999999</v>
    </nc>
  </rcc>
  <rcc rId="18612" sId="19" numFmtId="34">
    <oc r="C76">
      <v>0</v>
    </oc>
    <nc r="C76">
      <v>200</v>
    </nc>
  </rcc>
  <rcc rId="18613" sId="19" numFmtId="34">
    <oc r="C77">
      <v>355.43099999999998</v>
    </oc>
    <nc r="C77">
      <v>690.423</v>
    </nc>
  </rcc>
  <rcc rId="18614" sId="19" numFmtId="34">
    <oc r="C79">
      <v>1042.8</v>
    </oc>
    <nc r="C79">
      <v>1052.3</v>
    </nc>
  </rcc>
  <rcc rId="18615" sId="19" numFmtId="34">
    <oc r="D79">
      <v>86.832999999999998</v>
    </oc>
    <nc r="D79"/>
  </rcc>
  <rcc rId="18616" sId="19" numFmtId="34">
    <oc r="C86">
      <v>2</v>
    </oc>
    <nc r="C86">
      <v>30</v>
    </nc>
  </rcc>
  <rcc rId="18617" sId="19" numFmtId="34">
    <oc r="C73">
      <v>0</v>
    </oc>
    <nc r="C73">
      <v>150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18647" sId="18" numFmtId="4">
    <nc r="C47">
      <v>575</v>
    </nc>
  </rcc>
  <rcc rId="18648" sId="18" numFmtId="4">
    <oc r="C45">
      <v>786.02700000000004</v>
    </oc>
    <nc r="C45">
      <v>211.02699999999999</v>
    </nc>
  </rcc>
  <rcc rId="18649" sId="3" numFmtId="4">
    <oc r="C6">
      <v>118798.5</v>
    </oc>
    <nc r="C6">
      <v>124321</v>
    </nc>
  </rcc>
  <rcc rId="18650" sId="3" numFmtId="4">
    <oc r="C8">
      <v>1814.9069999999999</v>
    </oc>
    <nc r="C8">
      <v>1757.2</v>
    </nc>
  </rcc>
  <rcc rId="18651" sId="3" numFmtId="4">
    <oc r="D8">
      <v>202.06084000000001</v>
    </oc>
    <nc r="D8">
      <v>200.41847000000001</v>
    </nc>
  </rcc>
  <rcc rId="18652" sId="3" numFmtId="4">
    <oc r="C9">
      <v>21.959</v>
    </oc>
    <nc r="C9">
      <v>21.5</v>
    </nc>
  </rcc>
  <rcc rId="18653" sId="3" numFmtId="4">
    <oc r="D9">
      <v>1.37479</v>
    </oc>
    <nc r="D9">
      <v>1.1813899999999999</v>
    </nc>
  </rcc>
  <rcc rId="18654" sId="3" numFmtId="4">
    <oc r="C10">
      <v>3500.134</v>
    </oc>
    <nc r="C10">
      <v>3389.4</v>
    </nc>
  </rcc>
  <rcc rId="18655" sId="3" numFmtId="4">
    <oc r="D10">
      <v>277.25846999999999</v>
    </oc>
    <nc r="D10">
      <v>268.91462000000001</v>
    </nc>
  </rcc>
  <rcc rId="18656" sId="3" numFmtId="4">
    <oc r="D11">
      <v>-37.146000000000001</v>
    </oc>
    <nc r="D11">
      <v>-34.155059999999999</v>
    </nc>
  </rcc>
  <rcc rId="18657" sId="3" numFmtId="4">
    <oc r="C13">
      <v>1273.0999999999999</v>
    </oc>
    <nc r="C13">
      <v>9793.9</v>
    </nc>
  </rcc>
  <rcc rId="18658" sId="3" numFmtId="4">
    <oc r="C14">
      <v>9543</v>
    </oc>
    <nc r="C14">
      <v>650.70000000000005</v>
    </nc>
  </rcc>
  <rcc rId="18659" sId="3" numFmtId="4">
    <oc r="D14">
      <v>1155.6078600000001</v>
    </oc>
    <nc r="D14">
      <v>1320.65984</v>
    </nc>
  </rcc>
  <rcc rId="18660" sId="3" numFmtId="4">
    <oc r="C15">
      <v>1248.4000000000001</v>
    </oc>
    <nc r="C15">
      <v>1283.3</v>
    </nc>
  </rcc>
  <rcc rId="18661" sId="3" numFmtId="4">
    <oc r="D15">
      <v>6.6696</v>
    </oc>
    <nc r="D15">
      <v>46.965040000000002</v>
    </nc>
  </rcc>
  <rcc rId="18662" sId="3" numFmtId="4">
    <oc r="D16">
      <v>9.5519999999999996</v>
    </oc>
    <nc r="D16">
      <v>38.527999999999999</v>
    </nc>
  </rcc>
  <rcc rId="18663" sId="3" numFmtId="4">
    <oc r="C20">
      <v>2300</v>
    </oc>
    <nc r="C20">
      <v>2400</v>
    </nc>
  </rcc>
  <rcc rId="18664" sId="3" numFmtId="4">
    <oc r="D20">
      <v>103.65718</v>
    </oc>
    <nc r="D20">
      <v>62.655839999999998</v>
    </nc>
  </rcc>
  <rcc rId="18665" sId="3" numFmtId="4">
    <oc r="C23">
      <v>1100</v>
    </oc>
    <nc r="C23">
      <v>1900</v>
    </nc>
  </rcc>
  <rcc rId="18666" sId="3" numFmtId="4">
    <oc r="D23">
      <v>151.76920999999999</v>
    </oc>
    <nc r="D23">
      <v>15.34722</v>
    </nc>
  </rcc>
  <rcc rId="18667" sId="3" numFmtId="4">
    <oc r="C25">
      <v>1900</v>
    </oc>
    <nc r="C25">
      <v>2190</v>
    </nc>
  </rcc>
  <rcc rId="18668" sId="3" numFmtId="4">
    <oc r="D25">
      <v>190.79982999999999</v>
    </oc>
    <nc r="D25">
      <v>102.13282</v>
    </nc>
  </rcc>
  <rcc rId="18669" sId="3" numFmtId="4">
    <oc r="D27">
      <v>41.628749999999997</v>
    </oc>
    <nc r="D27"/>
  </rcc>
  <rcc rId="18670" sId="3" numFmtId="4">
    <oc r="C27">
      <v>800</v>
    </oc>
    <nc r="C27">
      <v>810</v>
    </nc>
  </rcc>
  <rcc rId="18671" sId="3">
    <oc r="A28">
      <v>1090000000</v>
    </oc>
    <nc r="A28">
      <v>109000000</v>
    </nc>
  </rcc>
  <rcc rId="18672" sId="3" numFmtId="4">
    <oc r="C35">
      <v>30</v>
    </oc>
    <nc r="C35">
      <v>20</v>
    </nc>
  </rcc>
  <rcc rId="18673" sId="3" numFmtId="4">
    <oc r="C37">
      <v>9000</v>
    </oc>
    <nc r="C37">
      <v>8800</v>
    </nc>
  </rcc>
  <rcc rId="18674" sId="3" numFmtId="4">
    <oc r="D37">
      <v>519.65660000000003</v>
    </oc>
    <nc r="D37">
      <v>355.41689000000002</v>
    </nc>
  </rcc>
  <rcc rId="18675" sId="3" numFmtId="4">
    <oc r="C38">
      <v>300</v>
    </oc>
    <nc r="C38">
      <v>246</v>
    </nc>
  </rcc>
  <rcc rId="18676" sId="3" numFmtId="4">
    <oc r="D38">
      <v>15.37557</v>
    </oc>
    <nc r="D38">
      <v>14.514659999999999</v>
    </nc>
  </rcc>
  <rcc rId="18677" sId="3" numFmtId="4">
    <oc r="C40">
      <v>70</v>
    </oc>
    <nc r="C40">
      <v>10</v>
    </nc>
  </rcc>
  <rcc rId="18678" sId="3" numFmtId="4">
    <oc r="C42">
      <v>500</v>
    </oc>
    <nc r="C42">
      <v>520</v>
    </nc>
  </rcc>
  <rcc rId="18679" sId="3" numFmtId="4">
    <oc r="D42">
      <v>29.989170000000001</v>
    </oc>
    <nc r="D42">
      <v>10.19009</v>
    </nc>
  </rcc>
  <rcc rId="18680" sId="3" numFmtId="4">
    <oc r="C44">
      <v>550</v>
    </oc>
    <nc r="C44">
      <v>530</v>
    </nc>
  </rcc>
  <rcc rId="18681" sId="3" numFmtId="4">
    <oc r="D44">
      <v>0.41383999999999999</v>
    </oc>
    <nc r="D44">
      <v>1.84E-2</v>
    </nc>
  </rcc>
  <rcc rId="18682" sId="3" numFmtId="4">
    <oc r="C46">
      <v>84</v>
    </oc>
    <nc r="C46">
      <v>100</v>
    </nc>
  </rcc>
  <rcc rId="18683" sId="3" numFmtId="4">
    <oc r="C49">
      <v>500</v>
    </oc>
    <nc r="C49">
      <v>600</v>
    </nc>
  </rcc>
  <rcc rId="18684" sId="3" numFmtId="4">
    <oc r="D49">
      <v>0</v>
    </oc>
    <nc r="D49">
      <v>649.62864000000002</v>
    </nc>
  </rcc>
  <rcc rId="18685" sId="3" numFmtId="4">
    <oc r="C50">
      <v>4000</v>
    </oc>
    <nc r="C50">
      <v>2000</v>
    </nc>
  </rcc>
  <rcc rId="18686" sId="3" numFmtId="4">
    <oc r="D50">
      <v>50.903700000000001</v>
    </oc>
    <nc r="D50">
      <v>1207.4346499999999</v>
    </nc>
  </rcc>
  <rcc rId="18687" sId="3" numFmtId="4">
    <oc r="C56">
      <v>0</v>
    </oc>
    <nc r="C56">
      <v>1060</v>
    </nc>
  </rcc>
  <rcc rId="18688" sId="3" numFmtId="4">
    <oc r="D56">
      <v>97.959320000000005</v>
    </oc>
    <nc r="D56">
      <v>-1.5562</v>
    </nc>
  </rcc>
  <rrc rId="18689" sId="3" ref="A57:XFD57" action="insertRow">
    <undo index="16" exp="area" ref3D="1" dr="$A$122:$XFD$124" dn="Z_B31C8DB7_3E78_4144_A6B5_8DE36DE63F0E_.wvu.Rows" sId="3"/>
    <undo index="14" exp="area" ref3D="1" dr="$A$94:$XFD$94" dn="Z_B31C8DB7_3E78_4144_A6B5_8DE36DE63F0E_.wvu.Rows" sId="3"/>
    <undo index="12" exp="area" ref3D="1" dr="$A$87:$XFD$87" dn="Z_B31C8DB7_3E78_4144_A6B5_8DE36DE63F0E_.wvu.Rows" sId="3"/>
    <undo index="10" exp="area" ref3D="1" dr="$A$70:$XFD$70" dn="Z_B31C8DB7_3E78_4144_A6B5_8DE36DE63F0E_.wvu.Rows" sId="3"/>
    <undo index="8" exp="area" ref3D="1" dr="$A$63:$XFD$63" dn="Z_B31C8DB7_3E78_4144_A6B5_8DE36DE63F0E_.wvu.Rows" sId="3"/>
    <undo index="22" exp="area" ref3D="1" dr="$A$127:$XFD$128" dn="Z_B30CE22D_C12F_4E12_8BB9_3AAE0A6991CC_.wvu.Rows" sId="3"/>
    <undo index="20" exp="area" ref3D="1" dr="$A$122:$XFD$124" dn="Z_B30CE22D_C12F_4E12_8BB9_3AAE0A6991CC_.wvu.Rows" sId="3"/>
    <undo index="18" exp="area" ref3D="1" dr="$A$87:$XFD$87" dn="Z_B30CE22D_C12F_4E12_8BB9_3AAE0A6991CC_.wvu.Rows" sId="3"/>
    <undo index="16" exp="area" ref3D="1" dr="$A$70:$XFD$70" dn="Z_B30CE22D_C12F_4E12_8BB9_3AAE0A6991CC_.wvu.Rows" sId="3"/>
    <undo index="14" exp="area" ref3D="1" dr="$A$63:$XFD$63" dn="Z_B30CE22D_C12F_4E12_8BB9_3AAE0A6991CC_.wvu.Rows" sId="3"/>
    <undo index="26" exp="area" ref3D="1" dr="$A$127:$XFD$128" dn="Z_A54C432C_6C68_4B53_A75C_446EB3A61B2B_.wvu.Rows" sId="3"/>
    <undo index="24" exp="area" ref3D="1" dr="$A$122:$XFD$124" dn="Z_A54C432C_6C68_4B53_A75C_446EB3A61B2B_.wvu.Rows" sId="3"/>
    <undo index="22" exp="area" ref3D="1" dr="$A$94:$XFD$94" dn="Z_A54C432C_6C68_4B53_A75C_446EB3A61B2B_.wvu.Rows" sId="3"/>
    <undo index="20" exp="area" ref3D="1" dr="$A$87:$XFD$87" dn="Z_A54C432C_6C68_4B53_A75C_446EB3A61B2B_.wvu.Rows" sId="3"/>
    <undo index="18" exp="area" ref3D="1" dr="$A$70:$XFD$70" dn="Z_A54C432C_6C68_4B53_A75C_446EB3A61B2B_.wvu.Rows" sId="3"/>
    <undo index="16" exp="area" ref3D="1" dr="$A$63:$XFD$63" dn="Z_A54C432C_6C68_4B53_A75C_446EB3A61B2B_.wvu.Rows" sId="3"/>
    <undo index="16" exp="area" ref3D="1" dr="$A$122:$XFD$124" dn="Z_5BFCA170_DEAE_4D2C_98A0_1E68B427AC01_.wvu.Rows" sId="3"/>
    <undo index="14" exp="area" ref3D="1" dr="$A$94:$XFD$94" dn="Z_5BFCA170_DEAE_4D2C_98A0_1E68B427AC01_.wvu.Rows" sId="3"/>
    <undo index="12" exp="area" ref3D="1" dr="$A$87:$XFD$87" dn="Z_5BFCA170_DEAE_4D2C_98A0_1E68B427AC01_.wvu.Rows" sId="3"/>
    <undo index="10" exp="area" ref3D="1" dr="$A$70:$XFD$70" dn="Z_5BFCA170_DEAE_4D2C_98A0_1E68B427AC01_.wvu.Rows" sId="3"/>
    <undo index="8" exp="area" ref3D="1" dr="$A$63:$XFD$63" dn="Z_5BFCA170_DEAE_4D2C_98A0_1E68B427AC01_.wvu.Rows" sId="3"/>
    <undo index="38" exp="area" ref3D="1" dr="$A$127:$XFD$128" dn="Z_42584DC0_1D41_4C93_9B38_C388E7B8DAC4_.wvu.Rows" sId="3"/>
    <undo index="36" exp="area" ref3D="1" dr="$A$122:$XFD$124" dn="Z_42584DC0_1D41_4C93_9B38_C388E7B8DAC4_.wvu.Rows" sId="3"/>
    <undo index="34" exp="area" ref3D="1" dr="$A$102:$XFD$102" dn="Z_42584DC0_1D41_4C93_9B38_C388E7B8DAC4_.wvu.Rows" sId="3"/>
    <undo index="32" exp="area" ref3D="1" dr="$A$94:$XFD$94" dn="Z_42584DC0_1D41_4C93_9B38_C388E7B8DAC4_.wvu.Rows" sId="3"/>
    <undo index="30" exp="area" ref3D="1" dr="$A$90:$XFD$90" dn="Z_42584DC0_1D41_4C93_9B38_C388E7B8DAC4_.wvu.Rows" sId="3"/>
    <undo index="28" exp="area" ref3D="1" dr="$A$87:$XFD$87" dn="Z_42584DC0_1D41_4C93_9B38_C388E7B8DAC4_.wvu.Rows" sId="3"/>
    <undo index="26" exp="area" ref3D="1" dr="$A$81:$XFD$81" dn="Z_42584DC0_1D41_4C93_9B38_C388E7B8DAC4_.wvu.Rows" sId="3"/>
    <undo index="24" exp="area" ref3D="1" dr="$A$70:$XFD$70" dn="Z_42584DC0_1D41_4C93_9B38_C388E7B8DAC4_.wvu.Rows" sId="3"/>
    <undo index="22" exp="area" ref3D="1" dr="$A$63:$XFD$63" dn="Z_42584DC0_1D41_4C93_9B38_C388E7B8DAC4_.wvu.Rows" sId="3"/>
    <undo index="20" exp="area" ref3D="1" dr="$A$57:$XFD$59" dn="Z_42584DC0_1D41_4C93_9B38_C388E7B8DAC4_.wvu.Rows" sId="3"/>
    <undo index="16" exp="area" ref3D="1" dr="$A$122:$XFD$124" dn="Z_3DCB9AAA_F09C_4EA6_B992_F93E466D374A_.wvu.Rows" sId="3"/>
    <undo index="14" exp="area" ref3D="1" dr="$A$94:$XFD$94" dn="Z_3DCB9AAA_F09C_4EA6_B992_F93E466D374A_.wvu.Rows" sId="3"/>
    <undo index="12" exp="area" ref3D="1" dr="$A$87:$XFD$87" dn="Z_3DCB9AAA_F09C_4EA6_B992_F93E466D374A_.wvu.Rows" sId="3"/>
    <undo index="10" exp="area" ref3D="1" dr="$A$70:$XFD$70" dn="Z_3DCB9AAA_F09C_4EA6_B992_F93E466D374A_.wvu.Rows" sId="3"/>
    <undo index="8" exp="area" ref3D="1" dr="$A$63:$XFD$63" dn="Z_3DCB9AAA_F09C_4EA6_B992_F93E466D374A_.wvu.Rows" sId="3"/>
    <undo index="18" exp="area" ref3D="1" dr="$A$122:$XFD$124" dn="Z_1A52382B_3765_4E8C_903F_6B8919B7242E_.wvu.Rows" sId="3"/>
    <undo index="16" exp="area" ref3D="1" dr="$A$94:$XFD$94" dn="Z_1A52382B_3765_4E8C_903F_6B8919B7242E_.wvu.Rows" sId="3"/>
    <undo index="14" exp="area" ref3D="1" dr="$A$87:$XFD$87" dn="Z_1A52382B_3765_4E8C_903F_6B8919B7242E_.wvu.Rows" sId="3"/>
    <undo index="12" exp="area" ref3D="1" dr="$A$70:$XFD$70" dn="Z_1A52382B_3765_4E8C_903F_6B8919B7242E_.wvu.Rows" sId="3"/>
    <undo index="10" exp="area" ref3D="1" dr="$A$63:$XFD$63" dn="Z_1A52382B_3765_4E8C_903F_6B8919B7242E_.wvu.Rows" sId="3"/>
    <undo index="24" exp="area" ref3D="1" dr="$A$127:$XFD$128" dn="Z_1718F1EE_9F48_4DBE_9531_3B70F9C4A5DD_.wvu.Rows" sId="3"/>
    <undo index="22" exp="area" ref3D="1" dr="$A$122:$XFD$124" dn="Z_1718F1EE_9F48_4DBE_9531_3B70F9C4A5DD_.wvu.Rows" sId="3"/>
    <undo index="20" exp="area" ref3D="1" dr="$A$94:$XFD$94" dn="Z_1718F1EE_9F48_4DBE_9531_3B70F9C4A5DD_.wvu.Rows" sId="3"/>
    <undo index="18" exp="area" ref3D="1" dr="$A$87:$XFD$87" dn="Z_1718F1EE_9F48_4DBE_9531_3B70F9C4A5DD_.wvu.Rows" sId="3"/>
    <undo index="16" exp="area" ref3D="1" dr="$A$70:$XFD$70" dn="Z_1718F1EE_9F48_4DBE_9531_3B70F9C4A5DD_.wvu.Rows" sId="3"/>
    <undo index="14" exp="area" ref3D="1" dr="$A$63:$XFD$63" dn="Z_1718F1EE_9F48_4DBE_9531_3B70F9C4A5DD_.wvu.Rows" sId="3"/>
  </rrc>
  <rcc rId="18690" sId="3">
    <nc r="A57">
      <v>1161100001</v>
    </nc>
  </rcc>
  <rcc rId="18691" sId="3">
    <nc r="B57" t="inlineStr">
      <is>
        <t>Платежи, уплачиваемые в целях возмещения вреда</t>
      </is>
    </nc>
  </rcc>
  <rcc rId="18692" sId="3" numFmtId="4">
    <nc r="C57">
      <v>37</v>
    </nc>
  </rcc>
  <rcc rId="18693" sId="3" numFmtId="4">
    <nc r="D57">
      <v>41.55</v>
    </nc>
  </rcc>
  <rcc rId="18694" sId="3">
    <nc r="E57">
      <f>SUM(D57/C57*100)</f>
    </nc>
  </rcc>
  <rcc rId="18695" sId="3">
    <nc r="F57">
      <f>SUM(D57-C57)</f>
    </nc>
  </rcc>
  <rcc rId="18696" sId="3" numFmtId="4">
    <oc r="C55">
      <v>5600</v>
    </oc>
    <nc r="C55">
      <v>336</v>
    </nc>
  </rcc>
  <rcc rId="18697" sId="3" numFmtId="4">
    <oc r="D55">
      <v>15.121729999999999</v>
    </oc>
    <nc r="D55">
      <v>2.0235400000000001</v>
    </nc>
  </rcc>
  <rrc rId="18698" sId="3" ref="A54:XFD54" action="insertRow"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</rrc>
  <rcc rId="18699" sId="3">
    <oc r="A55">
      <v>1160701000</v>
    </oc>
    <nc r="A55">
      <v>1160100001</v>
    </nc>
  </rcc>
  <rcc rId="18700" sId="3" numFmtId="4">
    <oc r="C55">
      <v>0</v>
    </oc>
    <nc r="C55">
      <v>867</v>
    </nc>
  </rcc>
  <rcc rId="18701" sId="3" numFmtId="4">
    <oc r="D55">
      <v>0</v>
    </oc>
    <nc r="D55">
      <v>45.8825</v>
    </nc>
  </rcc>
  <rrc rId="18702" sId="3" ref="A54:XFD54" action="deleteRow"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A54" start="0" length="0">
      <dxf>
        <font>
          <b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54" start="0" length="0">
      <dxf>
        <font>
          <b/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C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4" start="0" length="0">
      <dxf>
        <numFmt numFmtId="177" formatCode="0.0000000"/>
      </dxf>
    </rfmt>
  </rrc>
  <rcc rId="18703" sId="3">
    <oc r="C53">
      <f>SUM(C54:C56)</f>
    </oc>
    <nc r="C53">
      <f>SUM(C54:C57)</f>
    </nc>
  </rcc>
  <rcc rId="18704" sId="3">
    <oc r="D53">
      <f>SUM(D54:D56)</f>
    </oc>
    <nc r="D53">
      <f>SUM(D54:D57)</f>
    </nc>
  </rcc>
  <rcc rId="18705" sId="3" numFmtId="4">
    <oc r="C63">
      <v>0</v>
    </oc>
    <nc r="C63">
      <v>10026.799999999999</v>
    </nc>
  </rcc>
  <rcc rId="18706" sId="3" numFmtId="4">
    <oc r="D63">
      <v>0</v>
    </oc>
    <nc r="D63">
      <v>835.6</v>
    </nc>
  </rcc>
  <rcc rId="18707" sId="3" numFmtId="4">
    <oc r="C65">
      <v>10026.9</v>
    </oc>
    <nc r="C65"/>
  </rcc>
  <rcc rId="18708" sId="3" numFmtId="4">
    <oc r="D65">
      <v>835.6</v>
    </oc>
    <nc r="D65"/>
  </rcc>
  <rcc rId="18709" sId="3" numFmtId="4">
    <oc r="C66">
      <v>227331.5624</v>
    </oc>
    <nc r="C66">
      <v>236042.63518000001</v>
    </nc>
  </rcc>
  <rcc rId="18710" sId="3" numFmtId="4">
    <oc r="C67">
      <v>363023.84</v>
    </oc>
    <nc r="C67">
      <v>405408.09899999999</v>
    </nc>
  </rcc>
  <rcc rId="18711" sId="3" numFmtId="4">
    <oc r="D67">
      <v>29346.145</v>
    </oc>
    <nc r="D67">
      <v>18143.8</v>
    </nc>
  </rcc>
  <rcc rId="18712" sId="3" numFmtId="4">
    <oc r="C68">
      <v>29907</v>
    </oc>
    <nc r="C68">
      <v>53894</v>
    </nc>
  </rcc>
  <rcc rId="18713" sId="3" numFmtId="4">
    <oc r="D68">
      <v>1896.125</v>
    </oc>
    <nc r="D68"/>
  </rcc>
  <rcc rId="18714" sId="3" numFmtId="4">
    <oc r="D70">
      <v>-52617.294300000001</v>
    </oc>
    <nc r="D70">
      <v>-19535.39184</v>
    </nc>
  </rcc>
  <rfmt sheetId="3" sqref="C72">
    <dxf>
      <numFmt numFmtId="2" formatCode="0.00"/>
    </dxf>
  </rfmt>
  <rfmt sheetId="3" sqref="C72">
    <dxf>
      <numFmt numFmtId="183" formatCode="0.000"/>
    </dxf>
  </rfmt>
  <rfmt sheetId="3" sqref="C72">
    <dxf>
      <numFmt numFmtId="174" formatCode="0.0000"/>
    </dxf>
  </rfmt>
  <rfmt sheetId="3" sqref="C72">
    <dxf>
      <numFmt numFmtId="168" formatCode="0.00000"/>
    </dxf>
  </rfmt>
  <rcc rId="18715" sId="3" numFmtId="4">
    <oc r="D69">
      <v>0</v>
    </oc>
    <nc r="D69">
      <v>467.79521999999997</v>
    </nc>
  </rcc>
  <rfmt sheetId="3" sqref="D72">
    <dxf>
      <numFmt numFmtId="2" formatCode="0.00"/>
    </dxf>
  </rfmt>
  <rfmt sheetId="3" sqref="D72">
    <dxf>
      <numFmt numFmtId="183" formatCode="0.000"/>
    </dxf>
  </rfmt>
  <rfmt sheetId="3" sqref="D72">
    <dxf>
      <numFmt numFmtId="174" formatCode="0.0000"/>
    </dxf>
  </rfmt>
  <rfmt sheetId="3" sqref="D72">
    <dxf>
      <numFmt numFmtId="168" formatCode="0.00000"/>
    </dxf>
  </rfmt>
  <rfmt sheetId="3" sqref="D72">
    <dxf>
      <numFmt numFmtId="173" formatCode="0.000000"/>
    </dxf>
  </rfmt>
  <rcc rId="18716" sId="3" numFmtId="4">
    <oc r="D6">
      <v>6628.9963100000004</v>
    </oc>
    <nc r="D6">
      <v>7546.4537799999998</v>
    </nc>
  </rcc>
  <rcc rId="18717" sId="3" numFmtId="4">
    <oc r="D13">
      <v>55.125419999999998</v>
    </oc>
    <nc r="D13">
      <v>236.71242000000001</v>
    </nc>
  </rcc>
  <rfmt sheetId="3" sqref="D72">
    <dxf>
      <numFmt numFmtId="168" formatCode="0.00000"/>
    </dxf>
  </rfmt>
  <rcc rId="18718" sId="3" numFmtId="4">
    <oc r="C79">
      <v>22970.6</v>
    </oc>
    <nc r="C79">
      <v>24382.97</v>
    </nc>
  </rcc>
  <rcc rId="18719" sId="3" numFmtId="4">
    <oc r="D79">
      <v>437.96341999999999</v>
    </oc>
    <nc r="D79">
      <v>636.32637999999997</v>
    </nc>
  </rcc>
  <rcc rId="18720" sId="3" numFmtId="4">
    <oc r="C80">
      <v>15.9</v>
    </oc>
    <nc r="C80">
      <v>10</v>
    </nc>
  </rcc>
  <rcc rId="18721" sId="3" numFmtId="4">
    <oc r="C81">
      <v>5278.8</v>
    </oc>
    <nc r="C81">
      <v>5277.2730000000001</v>
    </nc>
  </rcc>
  <rcc rId="18722" sId="3" numFmtId="4">
    <oc r="D81">
      <v>350.39904000000001</v>
    </oc>
    <nc r="D81">
      <v>506.31592999999998</v>
    </nc>
  </rcc>
  <rcc rId="18723" sId="3" numFmtId="4">
    <oc r="C82">
      <v>1000</v>
    </oc>
    <nc r="C82"/>
  </rcc>
  <rcc rId="18724" sId="3" numFmtId="4">
    <oc r="C83">
      <v>2367.9569999999999</v>
    </oc>
    <nc r="C83">
      <v>3737.4353500000002</v>
    </nc>
  </rcc>
  <rcc rId="18725" sId="3" numFmtId="4">
    <oc r="C84">
      <v>18215.5</v>
    </oc>
    <nc r="C84">
      <v>15010.768</v>
    </nc>
  </rcc>
  <rcc rId="18726" sId="3" numFmtId="4">
    <oc r="D84">
      <v>1392.7380000000001</v>
    </oc>
    <nc r="D84">
      <v>80.146349999999998</v>
    </nc>
  </rcc>
  <rcc rId="18727" sId="3" numFmtId="4">
    <oc r="C86">
      <v>2150.5</v>
    </oc>
    <nc r="C86">
      <v>2481.1999999999998</v>
    </nc>
  </rcc>
  <rcc rId="18728" sId="3" numFmtId="4">
    <oc r="D86">
      <v>179.2</v>
    </oc>
    <nc r="D86">
      <v>206.8</v>
    </nc>
  </rcc>
  <rcc rId="18729" sId="3" numFmtId="4">
    <oc r="C89">
      <v>1597.7</v>
    </oc>
    <nc r="C89">
      <v>1218.8</v>
    </nc>
  </rcc>
  <rcc rId="18730" sId="3" numFmtId="4">
    <oc r="D89">
      <v>19</v>
    </oc>
    <nc r="D89">
      <v>18</v>
    </nc>
  </rcc>
  <rcc rId="18731" sId="3" numFmtId="4">
    <oc r="C90">
      <v>2368.9</v>
    </oc>
    <nc r="C90">
      <v>2592</v>
    </nc>
  </rcc>
  <rcc rId="18732" sId="3" numFmtId="4">
    <oc r="D90">
      <v>59.610489999999999</v>
    </oc>
    <nc r="D90">
      <v>64.659099999999995</v>
    </nc>
  </rcc>
  <rcc rId="18733" sId="3" numFmtId="4">
    <oc r="C92">
      <v>296</v>
    </oc>
    <nc r="C92">
      <v>100</v>
    </nc>
  </rcc>
  <rcc rId="18734" sId="3" numFmtId="4">
    <oc r="C96">
      <v>87.9</v>
    </oc>
    <nc r="C96">
      <v>420.54</v>
    </nc>
  </rcc>
  <rcc rId="18735" sId="3" numFmtId="4">
    <oc r="C98">
      <v>59211.13</v>
    </oc>
    <nc r="C98">
      <v>67517.399999999994</v>
    </nc>
  </rcc>
  <rcc rId="18736" sId="3" numFmtId="4">
    <oc r="C99">
      <v>829.4</v>
    </oc>
    <nc r="C99">
      <v>1154</v>
    </nc>
  </rcc>
  <rcc rId="18737" sId="3" numFmtId="4">
    <oc r="C101">
      <v>500</v>
    </oc>
    <nc r="C101">
      <v>7643.0789999999997</v>
    </nc>
  </rcc>
  <rcc rId="18738" sId="3" numFmtId="4">
    <oc r="C102">
      <v>8350.7999999999993</v>
    </oc>
    <nc r="C102">
      <v>9850</v>
    </nc>
  </rcc>
  <rcc rId="18739" sId="3" numFmtId="4">
    <oc r="C103">
      <v>8042.5493999999999</v>
    </oc>
    <nc r="C103">
      <v>7202.9184699999996</v>
    </nc>
  </rcc>
  <rcc rId="18740" sId="3" numFmtId="4">
    <oc r="C107">
      <v>120190.5</v>
    </oc>
    <nc r="C107">
      <v>92497.2</v>
    </nc>
  </rcc>
  <rcc rId="18741" sId="3" numFmtId="4">
    <oc r="D107">
      <v>7623.0709999999999</v>
    </oc>
    <nc r="D107">
      <v>4216.2539999999999</v>
    </nc>
  </rcc>
  <rcc rId="18742" sId="3" numFmtId="4">
    <oc r="C108">
      <v>335253.8</v>
    </oc>
    <nc r="C108">
      <v>452762.48200000002</v>
    </nc>
  </rcc>
  <rcc rId="18743" sId="3" numFmtId="4">
    <oc r="D108">
      <v>21578.640309999999</v>
    </oc>
    <nc r="D108">
      <v>11832.504999999999</v>
    </nc>
  </rcc>
  <rcc rId="18744" sId="3" numFmtId="4">
    <oc r="C109">
      <v>21192.13</v>
    </oc>
    <nc r="C109">
      <v>20073.2</v>
    </nc>
  </rcc>
  <rcc rId="18745" sId="3" numFmtId="4">
    <oc r="D109">
      <v>598.42100000000005</v>
    </oc>
    <nc r="D109">
      <v>628.91600000000005</v>
    </nc>
  </rcc>
  <rcc rId="18746" sId="3" numFmtId="4">
    <oc r="C110">
      <v>5132.8999999999996</v>
    </oc>
    <nc r="C110">
      <v>4500</v>
    </nc>
  </rcc>
  <rcc rId="18747" sId="3" numFmtId="4">
    <oc r="C111">
      <v>2612.3000000000002</v>
    </oc>
    <nc r="C111">
      <v>2761.3</v>
    </nc>
  </rcc>
  <rcc rId="18748" sId="3" numFmtId="4">
    <oc r="D111">
      <v>126.95393</v>
    </oc>
    <nc r="D111">
      <v>73.381050000000002</v>
    </nc>
  </rcc>
  <rcc rId="18749" sId="3" numFmtId="4">
    <oc r="C113">
      <v>67784.525999999998</v>
    </oc>
    <nc r="C113">
      <v>43005.569000000003</v>
    </nc>
  </rcc>
  <rcc rId="18750" sId="3" numFmtId="4">
    <oc r="D113">
      <v>1893.7260000000001</v>
    </oc>
    <nc r="D113">
      <v>868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9307" sId="2" numFmtId="4">
    <oc r="CL32">
      <v>2219.5</v>
    </oc>
    <nc r="CL32">
      <v>8287.8790000000008</v>
    </nc>
  </rcc>
  <rcc rId="19308" sId="2" numFmtId="4">
    <oc r="CM32">
      <v>179.2</v>
    </oc>
    <nc r="CM32">
      <v>206.8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8892" sId="2" numFmtId="4">
    <oc r="O32">
      <v>37.200000000000003</v>
    </oc>
    <nc r="O32">
      <v>36.06</v>
    </nc>
  </rcc>
  <rcc rId="18893" sId="2" numFmtId="4">
    <oc r="P32">
      <v>2.3975399999999998</v>
    </oc>
    <nc r="P32">
      <v>2.0620500000000002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18824" sId="2" numFmtId="4">
    <oc r="C32">
      <v>102837.50301</v>
    </oc>
    <nc r="C32">
      <v>127601.71146999999</v>
    </nc>
  </rcc>
  <rcc rId="18825" sId="2" numFmtId="4">
    <oc r="D32">
      <v>4589.99809</v>
    </oc>
    <nc r="D32">
      <v>6352.9515499999998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19245" sId="2" numFmtId="4">
    <oc r="CF32">
      <v>4700</v>
    </oc>
    <nc r="CF32">
      <v>1475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18924" sId="2" numFmtId="4">
    <oc r="R32">
      <v>5798.07</v>
    </oc>
    <nc r="R32">
      <v>5619.9</v>
    </nc>
  </rcc>
  <rcc rId="18925" sId="2" numFmtId="4">
    <oc r="S32">
      <v>483.48590000000002</v>
    </oc>
    <nc r="S32">
      <v>469.37824000000001</v>
    </nc>
  </rcc>
  <rcc rId="18926" sId="2" numFmtId="4">
    <oc r="V32">
      <v>-64.775540000000007</v>
    </oc>
    <nc r="V32">
      <v>-59.615900000000003</v>
    </nc>
  </rcc>
  <rcc rId="18927" sId="2" numFmtId="4">
    <oc r="X32">
      <v>535</v>
    </oc>
    <nc r="X32">
      <v>550</v>
    </nc>
  </rcc>
  <rcc rId="18928" sId="2" numFmtId="4">
    <oc r="Y32">
      <v>2.8584000000000001</v>
    </oc>
    <nc r="Y32">
      <v>20.127880000000001</v>
    </nc>
  </rcc>
  <rcc rId="18929" sId="2" numFmtId="4">
    <oc r="AA32">
      <v>5373</v>
    </oc>
    <nc r="AA32">
      <v>6050</v>
    </nc>
  </rcc>
  <rcc rId="18930" sId="2" numFmtId="4">
    <oc r="AB32">
      <v>63.228380000000001</v>
    </oc>
    <nc r="AB32">
      <v>54.868659999999998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9467" sId="2" numFmtId="4">
    <oc r="DM32">
      <v>23100.462</v>
    </oc>
    <nc r="DM32">
      <v>24581.235000000001</v>
    </nc>
  </rcc>
  <rcc rId="19468" sId="2" numFmtId="4">
    <oc r="DN32">
      <v>594.39980000000003</v>
    </oc>
    <nc r="DN32">
      <v>541.47286999999994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87" formatCode="#,##0.000"/>
    </dxf>
  </rfmt>
  <rfmt sheetId="2" sqref="EX14:EX31">
    <dxf>
      <numFmt numFmtId="4" formatCode="#,##0.00"/>
    </dxf>
  </rfmt>
  <rfmt sheetId="2" sqref="EX14:EX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8995" sId="2" numFmtId="4">
    <oc r="AQ32">
      <v>195.67151000000001</v>
    </oc>
    <nc r="AQ32">
      <v>195.61660000000001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19150" sId="2" numFmtId="4">
    <oc r="BR32">
      <v>-4.3095600000000003</v>
    </oc>
    <nc r="BR32">
      <v>-1.28335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9088" sId="2" numFmtId="4">
    <oc r="AZ32">
      <v>42.127519999999997</v>
    </oc>
    <nc r="AZ32">
      <v>5.3297999999999996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19402" sId="2" numFmtId="4">
    <oc r="CV32">
      <f>-(#REF!-CV31)</f>
    </oc>
    <nc r="CV32">
      <v>-467.79521999999997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9339" sId="2" numFmtId="4">
    <oc r="CO32">
      <v>0</v>
    </oc>
    <nc r="CO32">
      <v>1370.174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19181" sId="2" numFmtId="4">
    <oc r="BZ32">
      <v>61926.50301</v>
    </oc>
    <nc r="BZ32">
      <v>85866.371469999998</v>
    </nc>
  </rcc>
  <rcc rId="19182" sId="2" numFmtId="4">
    <oc r="CA32">
      <v>2638.1585</v>
    </oc>
    <nc r="CA32">
      <v>4449.82078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9670" sId="2" numFmtId="4">
    <oc r="CC32">
      <v>55010.400000000001</v>
    </oc>
    <nc r="CC32">
      <v>53535.4</v>
    </nc>
  </rcc>
  <rcc rId="19671" sId="2" numFmtId="4">
    <oc r="CC19">
      <v>0</v>
    </oc>
    <nc r="CC19">
      <f>SUM(Мос!C41)</f>
    </nc>
  </rcc>
  <rcc rId="19672" sId="2" numFmtId="4">
    <oc r="CD19">
      <v>0</v>
    </oc>
    <nc r="CD19">
      <f>SUM(Мос!D41)</f>
    </nc>
  </rcc>
  <rfmt sheetId="2" sqref="O14:O31">
    <dxf>
      <numFmt numFmtId="4" formatCode="#,##0.00"/>
    </dxf>
  </rfmt>
  <rfmt sheetId="2" sqref="O14:O31">
    <dxf>
      <numFmt numFmtId="187" formatCode="#,##0.000"/>
    </dxf>
  </rfmt>
  <rfmt sheetId="2" sqref="O14:O31">
    <dxf>
      <numFmt numFmtId="186" formatCode="#,##0.0000"/>
    </dxf>
  </rfmt>
  <rcc rId="19673" sId="4" numFmtId="4">
    <oc r="C9">
      <v>1.03</v>
    </oc>
    <nc r="C9">
      <v>1</v>
    </nc>
  </rcc>
  <rfmt sheetId="2" sqref="O14:O31">
    <dxf>
      <numFmt numFmtId="187" formatCode="#,##0.000"/>
    </dxf>
  </rfmt>
  <rfmt sheetId="2" sqref="O14:O31">
    <dxf>
      <numFmt numFmtId="4" formatCode="#,##0.00"/>
    </dxf>
  </rfmt>
  <rfmt sheetId="2" sqref="O14: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19499" sId="2" numFmtId="4">
    <oc r="DP32">
      <v>559.51700000000005</v>
    </oc>
    <nc r="DP32"/>
  </rcc>
  <rcc rId="19500" sId="2" numFmtId="4">
    <oc r="DS32">
      <v>130</v>
    </oc>
    <nc r="DS32">
      <v>969.97699999999998</v>
    </nc>
  </rcc>
  <rcc rId="19501" sId="2" numFmtId="4">
    <oc r="DV32">
      <v>88.194000000000003</v>
    </oc>
    <nc r="DV32">
      <v>443.07</v>
    </nc>
  </rcc>
  <rcc rId="19502" sId="2" numFmtId="4">
    <oc r="DW32">
      <v>0</v>
    </oc>
    <nc r="DW32">
      <v>140</v>
    </nc>
  </rcc>
  <rcc rId="19503" sId="2" numFmtId="4">
    <oc r="DY32">
      <v>2150.5</v>
    </oc>
    <nc r="DY32">
      <v>2481.1999999999998</v>
    </nc>
  </rcc>
  <rcc rId="19504" sId="2" numFmtId="4">
    <oc r="DZ32">
      <v>51.6</v>
    </oc>
    <nc r="DZ32">
      <v>50</v>
    </nc>
  </rcc>
  <rcc rId="19505" sId="2" numFmtId="4">
    <oc r="EB32">
      <v>244</v>
    </oc>
    <nc r="EB32">
      <v>832</v>
    </nc>
  </rcc>
  <rcc rId="19506" sId="2" numFmtId="4">
    <oc r="EC32">
      <v>5.5</v>
    </oc>
    <nc r="EC32">
      <v>0</v>
    </nc>
  </rcc>
  <rcc rId="19507" sId="2" numFmtId="4">
    <oc r="EE32">
      <v>32596.46515</v>
    </oc>
    <nc r="EE32">
      <v>28237.824000000001</v>
    </nc>
  </rcc>
  <rcc rId="19508" sId="2" numFmtId="4">
    <oc r="EF32">
      <v>263.64665000000002</v>
    </oc>
    <nc r="EF32">
      <v>1.865</v>
    </nc>
  </rcc>
  <rcc rId="19509" sId="2" numFmtId="4">
    <oc r="EH32">
      <v>17948.446400000001</v>
    </oc>
    <nc r="EH32">
      <v>40539.545469999997</v>
    </nc>
  </rcc>
  <rcc rId="19510" sId="2" numFmtId="4">
    <oc r="EI32">
      <v>148.09558999999999</v>
    </oc>
    <nc r="EI32">
      <v>143.39032</v>
    </nc>
  </rcc>
  <rcc rId="19511" sId="2" numFmtId="4">
    <oc r="EK32">
      <v>26537.152999999998</v>
    </oc>
    <nc r="EK32">
      <v>28999.86</v>
    </nc>
  </rcc>
  <rcc rId="19512" sId="2" numFmtId="4">
    <oc r="EL32">
      <v>1909.3119200000001</v>
    </oc>
    <nc r="EL32">
      <v>15.20205</v>
    </nc>
  </rcc>
  <rcc rId="19513" sId="2" numFmtId="4">
    <oc r="EQ32">
      <v>133.024</v>
    </oc>
    <nc r="EQ32">
      <v>517</v>
    </nc>
  </rcc>
  <rcc rId="19514" sId="2" numFmtId="4">
    <oc r="ER32">
      <v>2.25</v>
    </oc>
    <nc r="ER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19433" sId="2" numFmtId="4">
    <oc r="DG32">
      <v>103487.76155</v>
    </oc>
    <nc r="DG32">
      <v>127601.71146999999</v>
    </nc>
  </rcc>
  <rcc rId="19434" sId="2" numFmtId="4">
    <oc r="DH32">
      <v>2974.8039600000002</v>
    </oc>
    <nc r="DH32">
      <v>891.93024000000003</v>
    </nc>
  </rcc>
  <rcc rId="19435" sId="2" numFmtId="4">
    <oc r="DJ32">
      <v>23878.172999999999</v>
    </oc>
    <nc r="DJ32">
      <v>25994.281999999999</v>
    </nc>
  </rcc>
  <rcc rId="19436" sId="2" numFmtId="4">
    <oc r="DK32">
      <v>594.39980000000003</v>
    </oc>
    <nc r="DK32">
      <v>681.47286999999994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1:K1" start="0" length="2147483647">
    <dxf>
      <font>
        <sz val="16"/>
      </font>
    </dxf>
  </rfmt>
  <rfmt sheetId="1" sqref="C2:E2" start="0" length="2147483647">
    <dxf>
      <font>
        <b/>
      </font>
    </dxf>
  </rfmt>
  <rfmt sheetId="1" sqref="F2:H2" start="0" length="2147483647">
    <dxf>
      <font>
        <b/>
      </font>
    </dxf>
  </rfmt>
  <rfmt sheetId="1" sqref="I2:K2" start="0" length="2147483647">
    <dxf>
      <font>
        <b/>
      </font>
    </dxf>
  </rfmt>
  <rfmt sheetId="1" sqref="C2:E2" start="0" length="2147483647">
    <dxf>
      <font>
        <sz val="12"/>
      </font>
    </dxf>
  </rfmt>
  <rfmt sheetId="1" sqref="F2:H2" start="0" length="2147483647">
    <dxf>
      <font>
        <sz val="12"/>
      </font>
    </dxf>
  </rfmt>
  <rfmt sheetId="1" sqref="I2:K2" start="0" length="2147483647">
    <dxf>
      <font>
        <sz val="12"/>
      </font>
    </dxf>
  </rfmt>
  <rfmt sheetId="2" sqref="B4:Z4">
    <dxf>
      <alignment wrapText="0" readingOrder="0"/>
    </dxf>
  </rfmt>
  <rfmt sheetId="2" sqref="CH14:CH29">
    <dxf>
      <numFmt numFmtId="187" formatCode="#,##0.000"/>
    </dxf>
  </rfmt>
  <rfmt sheetId="2" sqref="CH14:CH29">
    <dxf>
      <numFmt numFmtId="4" formatCode="#,##0.00"/>
    </dxf>
  </rfmt>
  <rfmt sheetId="2" sqref="CH14:CH29">
    <dxf>
      <numFmt numFmtId="167" formatCode="#,##0.0"/>
    </dxf>
  </rfmt>
  <rfmt sheetId="2" sqref="CF14:CF31">
    <dxf>
      <numFmt numFmtId="187" formatCode="#,##0.000"/>
    </dxf>
  </rfmt>
  <rfmt sheetId="2" sqref="CF14:CF31">
    <dxf>
      <numFmt numFmtId="4" formatCode="#,##0.00"/>
    </dxf>
  </rfmt>
  <rfmt sheetId="2" sqref="CF14:CF31">
    <dxf>
      <numFmt numFmtId="167" formatCode="#,##0.0"/>
    </dxf>
  </rfmt>
  <rfmt sheetId="2" sqref="CD14:CD29">
    <dxf>
      <numFmt numFmtId="186" formatCode="#,##0.0000"/>
    </dxf>
  </rfmt>
  <rfmt sheetId="2" sqref="CD14:CD29">
    <dxf>
      <numFmt numFmtId="187" formatCode="#,##0.000"/>
    </dxf>
  </rfmt>
  <rfmt sheetId="2" sqref="CD14:CD29">
    <dxf>
      <numFmt numFmtId="4" formatCode="#,##0.00"/>
    </dxf>
  </rfmt>
  <rfmt sheetId="2" sqref="CD14:CD29">
    <dxf>
      <numFmt numFmtId="167" formatCode="#,##0.0"/>
    </dxf>
  </rfmt>
  <rfmt sheetId="2" sqref="CD14:CD29">
    <dxf>
      <numFmt numFmtId="3" formatCode="#,##0"/>
    </dxf>
  </rfmt>
  <rfmt sheetId="2" sqref="CD14:CD29">
    <dxf>
      <numFmt numFmtId="167" formatCode="#,##0.0"/>
    </dxf>
  </rfmt>
  <rfmt sheetId="2" sqref="CA14:CA31">
    <dxf>
      <numFmt numFmtId="172" formatCode="#,##0.00000"/>
    </dxf>
  </rfmt>
  <rfmt sheetId="2" sqref="CA14:CA31">
    <dxf>
      <numFmt numFmtId="186" formatCode="#,##0.0000"/>
    </dxf>
  </rfmt>
  <rfmt sheetId="2" sqref="CA14:CA31">
    <dxf>
      <numFmt numFmtId="187" formatCode="#,##0.000"/>
    </dxf>
  </rfmt>
  <rfmt sheetId="2" sqref="CA14:CA31">
    <dxf>
      <numFmt numFmtId="4" formatCode="#,##0.00"/>
    </dxf>
  </rfmt>
  <rfmt sheetId="2" sqref="CA14:CA31">
    <dxf>
      <numFmt numFmtId="167" formatCode="#,##0.0"/>
    </dxf>
  </rfmt>
  <rfmt sheetId="2" sqref="BO15:BO29">
    <dxf>
      <numFmt numFmtId="186" formatCode="#,##0.0000"/>
    </dxf>
  </rfmt>
  <rfmt sheetId="2" sqref="BO15:BO29">
    <dxf>
      <numFmt numFmtId="187" formatCode="#,##0.000"/>
    </dxf>
  </rfmt>
  <rfmt sheetId="2" sqref="BO15:BO29">
    <dxf>
      <numFmt numFmtId="4" formatCode="#,##0.00"/>
    </dxf>
  </rfmt>
  <rfmt sheetId="2" sqref="BO15:BO29">
    <dxf>
      <numFmt numFmtId="167" formatCode="#,##0.0"/>
    </dxf>
  </rfmt>
  <rfmt sheetId="2" sqref="CI19">
    <dxf>
      <numFmt numFmtId="186" formatCode="#,##0.0000"/>
    </dxf>
  </rfmt>
  <rfmt sheetId="2" sqref="CI19">
    <dxf>
      <numFmt numFmtId="187" formatCode="#,##0.000"/>
    </dxf>
  </rfmt>
  <rfmt sheetId="2" sqref="CI19">
    <dxf>
      <numFmt numFmtId="4" formatCode="#,##0.00"/>
    </dxf>
  </rfmt>
  <rfmt sheetId="2" sqref="CI19">
    <dxf>
      <numFmt numFmtId="167" formatCode="#,##0.0"/>
    </dxf>
  </rfmt>
  <rfmt sheetId="2" sqref="DN14:DN31">
    <dxf>
      <numFmt numFmtId="186" formatCode="#,##0.0000"/>
    </dxf>
  </rfmt>
  <rfmt sheetId="2" sqref="DN14:DN31">
    <dxf>
      <numFmt numFmtId="187" formatCode="#,##0.000"/>
    </dxf>
  </rfmt>
  <rfmt sheetId="2" sqref="DN14:DN31">
    <dxf>
      <numFmt numFmtId="4" formatCode="#,##0.00"/>
    </dxf>
  </rfmt>
  <rfmt sheetId="2" sqref="DN14:DN31">
    <dxf>
      <numFmt numFmtId="167" formatCode="#,##0.0"/>
    </dxf>
  </rfmt>
  <rfmt sheetId="2" sqref="EC14:EC31">
    <dxf>
      <numFmt numFmtId="172" formatCode="#,##0.00000"/>
    </dxf>
  </rfmt>
  <rfmt sheetId="2" sqref="EC14:EC31">
    <dxf>
      <numFmt numFmtId="186" formatCode="#,##0.0000"/>
    </dxf>
  </rfmt>
  <rfmt sheetId="2" sqref="EC14:EC31">
    <dxf>
      <numFmt numFmtId="187" formatCode="#,##0.000"/>
    </dxf>
  </rfmt>
  <rfmt sheetId="2" sqref="EC14:EC31">
    <dxf>
      <numFmt numFmtId="4" formatCode="#,##0.00"/>
    </dxf>
  </rfmt>
  <rfmt sheetId="2" sqref="EC14:EC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9639" sId="2">
    <nc r="CV18">
      <f>SUM(Мор!D49)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19607" sId="2" numFmtId="4">
    <oc r="DS32">
      <v>969.97699999999998</v>
    </oc>
    <nc r="DS32">
      <v>1069.9770000000001</v>
    </nc>
  </rcc>
  <rcc rId="19608" sId="2" numFmtId="4">
    <oc r="DV32">
      <v>443.07</v>
    </oc>
    <nc r="DV32">
      <v>343.07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3" sqref="C71">
    <dxf>
      <numFmt numFmtId="168" formatCode="0.00000"/>
    </dxf>
  </rfmt>
  <rfmt sheetId="3" sqref="C71">
    <dxf>
      <numFmt numFmtId="174" formatCode="0.0000"/>
    </dxf>
  </rfmt>
  <rfmt sheetId="3" sqref="C71">
    <dxf>
      <numFmt numFmtId="183" formatCode="0.000"/>
    </dxf>
  </rfmt>
  <rfmt sheetId="3" sqref="C71">
    <dxf>
      <numFmt numFmtId="2" formatCode="0.00"/>
    </dxf>
  </rfmt>
  <rfmt sheetId="3" sqref="C71">
    <dxf>
      <numFmt numFmtId="166" formatCode="0.0"/>
    </dxf>
  </rfmt>
  <rfmt sheetId="3" sqref="D71">
    <dxf>
      <numFmt numFmtId="174" formatCode="0.0000"/>
    </dxf>
  </rfmt>
  <rfmt sheetId="3" sqref="D71">
    <dxf>
      <numFmt numFmtId="183" formatCode="0.000"/>
    </dxf>
  </rfmt>
  <rfmt sheetId="3" sqref="D71">
    <dxf>
      <numFmt numFmtId="2" formatCode="0.00"/>
    </dxf>
  </rfmt>
  <rfmt sheetId="3" sqref="D71">
    <dxf>
      <numFmt numFmtId="166" formatCode="0.0"/>
    </dxf>
  </rfmt>
  <rfmt sheetId="3" sqref="C133">
    <dxf>
      <numFmt numFmtId="168" formatCode="0.00000"/>
    </dxf>
  </rfmt>
  <rfmt sheetId="3" sqref="C133">
    <dxf>
      <numFmt numFmtId="174" formatCode="0.0000"/>
    </dxf>
  </rfmt>
  <rfmt sheetId="3" sqref="C133">
    <dxf>
      <numFmt numFmtId="183" formatCode="0.000"/>
    </dxf>
  </rfmt>
  <rfmt sheetId="3" sqref="C133">
    <dxf>
      <numFmt numFmtId="2" formatCode="0.00"/>
    </dxf>
  </rfmt>
  <rfmt sheetId="3" sqref="C133">
    <dxf>
      <numFmt numFmtId="166" formatCode="0.0"/>
    </dxf>
  </rfmt>
  <rfmt sheetId="3" sqref="D133">
    <dxf>
      <numFmt numFmtId="168" formatCode="0.00000"/>
    </dxf>
  </rfmt>
  <rfmt sheetId="3" sqref="D133">
    <dxf>
      <numFmt numFmtId="174" formatCode="0.0000"/>
    </dxf>
  </rfmt>
  <rfmt sheetId="3" sqref="D133">
    <dxf>
      <numFmt numFmtId="183" formatCode="0.000"/>
    </dxf>
  </rfmt>
  <rfmt sheetId="3" sqref="D133">
    <dxf>
      <numFmt numFmtId="2" formatCode="0.00"/>
    </dxf>
  </rfmt>
  <rfmt sheetId="3" sqref="D133">
    <dxf>
      <numFmt numFmtId="166" formatCode="0.0"/>
    </dxf>
  </rfmt>
  <rfmt sheetId="3" sqref="C60">
    <dxf>
      <numFmt numFmtId="174" formatCode="0.0000"/>
    </dxf>
  </rfmt>
  <rfmt sheetId="3" sqref="C60">
    <dxf>
      <numFmt numFmtId="183" formatCode="0.000"/>
    </dxf>
  </rfmt>
  <rfmt sheetId="3" sqref="C60">
    <dxf>
      <numFmt numFmtId="2" formatCode="0.00"/>
    </dxf>
  </rfmt>
  <rfmt sheetId="3" sqref="C60">
    <dxf>
      <numFmt numFmtId="166" formatCode="0.0"/>
    </dxf>
  </rfmt>
  <rfmt sheetId="3" sqref="D60">
    <dxf>
      <numFmt numFmtId="174" formatCode="0.0000"/>
    </dxf>
  </rfmt>
  <rfmt sheetId="3" sqref="D60">
    <dxf>
      <numFmt numFmtId="183" formatCode="0.000"/>
    </dxf>
  </rfmt>
  <rfmt sheetId="3" sqref="D60">
    <dxf>
      <numFmt numFmtId="2" formatCode="0.00"/>
    </dxf>
  </rfmt>
  <rfmt sheetId="3" sqref="D60">
    <dxf>
      <numFmt numFmtId="166" formatCode="0.0"/>
    </dxf>
  </rfmt>
  <rfmt sheetId="3" sqref="D46">
    <dxf>
      <numFmt numFmtId="174" formatCode="0.0000"/>
    </dxf>
  </rfmt>
  <rfmt sheetId="3" sqref="D46">
    <dxf>
      <numFmt numFmtId="183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C61">
    <dxf>
      <numFmt numFmtId="173" formatCode="0.000000"/>
    </dxf>
  </rfmt>
  <rfmt sheetId="3" sqref="C61">
    <dxf>
      <numFmt numFmtId="168" formatCode="0.00000"/>
    </dxf>
  </rfmt>
  <rfmt sheetId="3" sqref="C61">
    <dxf>
      <numFmt numFmtId="174" formatCode="0.0000"/>
    </dxf>
  </rfmt>
  <rfmt sheetId="3" sqref="C61">
    <dxf>
      <numFmt numFmtId="183" formatCode="0.000"/>
    </dxf>
  </rfmt>
  <rfmt sheetId="3" sqref="C61">
    <dxf>
      <numFmt numFmtId="2" formatCode="0.00"/>
    </dxf>
  </rfmt>
  <rfmt sheetId="3" sqref="C61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2" sqref="EX14:EX31">
    <dxf>
      <numFmt numFmtId="4" formatCode="#,##0.00"/>
    </dxf>
  </rfmt>
  <rfmt sheetId="2" sqref="EX14:EX31">
    <dxf>
      <numFmt numFmtId="187" formatCode="#,##0.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79" formatCode="#,##0.000000"/>
    </dxf>
  </rfmt>
  <rcc rId="19704" sId="2">
    <oc r="BF16">
      <f>Иль!D34</f>
    </oc>
    <nc r="BF16">
      <f>SUM(Иль!D32)</f>
    </nc>
  </rcc>
  <rcc rId="19705" sId="2" numFmtId="4">
    <oc r="BF32">
      <v>0</v>
    </oc>
    <nc r="BF32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7003" sId="4" numFmtId="4">
    <oc r="C10">
      <v>159.91</v>
    </oc>
    <nc r="C10">
      <v>155.59</v>
    </nc>
  </rcc>
  <rcc rId="17004" sId="4" numFmtId="4">
    <oc r="D10">
      <v>13.3348</v>
    </oc>
    <nc r="D10">
      <v>12.99539</v>
    </nc>
  </rcc>
  <rcc rId="17005" sId="4" numFmtId="4">
    <oc r="D11">
      <v>-1.78654</v>
    </oc>
    <nc r="D11">
      <v>-1.65055</v>
    </nc>
  </rcc>
  <rcc rId="17006" sId="4" numFmtId="4">
    <oc r="C13">
      <v>35</v>
    </oc>
    <nc r="C13">
      <v>25</v>
    </nc>
  </rcc>
  <rcc rId="17007" sId="4" numFmtId="4">
    <oc r="C15">
      <v>38</v>
    </oc>
    <nc r="C15">
      <v>50</v>
    </nc>
  </rcc>
  <rcc rId="17008" sId="4" numFmtId="4">
    <oc r="D15">
      <v>0.60509999999999997</v>
    </oc>
    <nc r="D15">
      <v>0.31758999999999998</v>
    </nc>
  </rcc>
  <rcc rId="17009" sId="4" numFmtId="4">
    <oc r="C16">
      <v>193</v>
    </oc>
    <nc r="C16">
      <v>195</v>
    </nc>
  </rcc>
  <rcc rId="17010" sId="4" numFmtId="4">
    <oc r="D16">
      <v>4.6512900000000004</v>
    </oc>
    <nc r="D16">
      <v>2.5846499999999999</v>
    </nc>
  </rcc>
  <rcc rId="17011" sId="4" numFmtId="4">
    <oc r="D18">
      <v>0.2</v>
    </oc>
    <nc r="D18">
      <v>0</v>
    </nc>
  </rcc>
  <rcc rId="17012" sId="4" numFmtId="34">
    <oc r="C39">
      <v>1194.4000000000001</v>
    </oc>
    <nc r="C39">
      <v>1901.5</v>
    </nc>
  </rcc>
  <rcc rId="17013" sId="4" numFmtId="4">
    <oc r="D39">
      <v>99.531999999999996</v>
    </oc>
    <nc r="D39">
      <v>158.46</v>
    </nc>
  </rcc>
  <rcc rId="17014" sId="4" numFmtId="34">
    <oc r="C40">
      <v>100</v>
    </oc>
    <nc r="C40">
      <v>0</v>
    </nc>
  </rcc>
  <rcc rId="17015" sId="4" numFmtId="34">
    <oc r="C41">
      <v>386.53</v>
    </oc>
    <nc r="C41">
      <v>366.14</v>
    </nc>
  </rcc>
  <rcc rId="17016" sId="4" numFmtId="34">
    <oc r="C42">
      <v>92.584999999999994</v>
    </oc>
    <nc r="C42">
      <v>107.643</v>
    </nc>
  </rcc>
  <rcc rId="17017" sId="4" numFmtId="4">
    <oc r="D42">
      <v>7.4667000000000003</v>
    </oc>
    <nc r="D42">
      <v>8.6165000000000003</v>
    </nc>
  </rcc>
  <rfmt sheetId="4" sqref="C47:C48">
    <dxf>
      <numFmt numFmtId="168" formatCode="0.00000"/>
    </dxf>
  </rfmt>
  <rfmt sheetId="4" sqref="C47:C48">
    <dxf>
      <numFmt numFmtId="174" formatCode="0.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6966" sId="4">
    <oc r="A1" t="inlineStr">
      <is>
        <t xml:space="preserve">                     Анализ исполнения бюджета Александровского сельского поселения на 01.02.2020 г.</t>
      </is>
    </oc>
    <nc r="A1" t="inlineStr">
      <is>
        <t xml:space="preserve">                     Анализ исполнения бюджета Александровского сельского поселения на 01.02.2021 г.</t>
      </is>
    </nc>
  </rcc>
  <rcc rId="16967" sId="4">
    <oc r="C3" t="inlineStr">
      <is>
        <t>назначено на 2020 г.</t>
      </is>
    </oc>
    <nc r="C3" t="inlineStr">
      <is>
        <t>назначено на 2021 г.</t>
      </is>
    </nc>
  </rcc>
  <rcc rId="16968" sId="4">
    <oc r="D3" t="inlineStr">
      <is>
        <t>исполнен на 01.02.2020 г.</t>
      </is>
    </oc>
    <nc r="D3" t="inlineStr">
      <is>
        <t>исполнен на 01.02.2021 г.</t>
      </is>
    </nc>
  </rcc>
  <rcc rId="16969" sId="4" numFmtId="4">
    <oc r="C6">
      <v>89.8</v>
    </oc>
    <nc r="C6">
      <v>62.67</v>
    </nc>
  </rcc>
  <rcc rId="16970" sId="4" numFmtId="4">
    <oc r="D6">
      <v>1.4789399999999999</v>
    </oc>
    <nc r="D6">
      <v>8.8133300000000006</v>
    </nc>
  </rcc>
  <rcc rId="16971" sId="4" numFmtId="4">
    <oc r="C8">
      <v>95.74</v>
    </oc>
    <nc r="C8">
      <v>93.16</v>
    </nc>
  </rcc>
  <rcc rId="16972" sId="4" numFmtId="4">
    <oc r="D8">
      <v>9.7181300000000004</v>
    </oc>
    <nc r="D8">
      <v>9.6852900000000002</v>
    </nc>
  </rcc>
  <rcc rId="16973" sId="4" numFmtId="4">
    <oc r="D9">
      <v>6.6140000000000004E-2</v>
    </oc>
    <nc r="D9">
      <v>5.7099999999999998E-2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6924" sId="3">
    <oc r="A2" t="inlineStr">
      <is>
        <t xml:space="preserve">                                                        Моргаушского района на 01.02.2020 г. </t>
      </is>
    </oc>
    <nc r="A2" t="inlineStr">
      <is>
        <t xml:space="preserve">                                                        Моргаушского района на 01.02.2021 г. </t>
      </is>
    </nc>
  </rcc>
  <rcc rId="16925" sId="3">
    <oc r="C3" t="inlineStr">
      <is>
        <t>назначено на 2020 г.</t>
      </is>
    </oc>
    <nc r="C3" t="inlineStr">
      <is>
        <t>назначено на 2021 г.</t>
      </is>
    </nc>
  </rcc>
  <rcc rId="16926" sId="3">
    <oc r="D3" t="inlineStr">
      <is>
        <t>исполнено на 01.02.2020 г.</t>
      </is>
    </oc>
    <nc r="D3" t="inlineStr">
      <is>
        <t>исполнено на 01.02.2021 г.</t>
      </is>
    </nc>
  </rcc>
  <rcc rId="16927" sId="3">
    <oc r="C74" t="inlineStr">
      <is>
        <t>назначено на 2020 г.</t>
      </is>
    </oc>
    <nc r="C74" t="inlineStr">
      <is>
        <t>назначено на 2021 г.</t>
      </is>
    </nc>
  </rcc>
  <rcc rId="16928" sId="3">
    <oc r="D74" t="inlineStr">
      <is>
        <t xml:space="preserve">исполнено на 01.02.2020 г. </t>
      </is>
    </oc>
    <nc r="D74" t="inlineStr">
      <is>
        <t xml:space="preserve">исполнено на 01.02.2021 г. </t>
      </is>
    </nc>
  </rcc>
  <rcc rId="16929" sId="2">
    <oc r="B5" t="inlineStr">
      <is>
        <t>об исполнении бюджетов поселений  Моргаушского района  на 1 февраля 2020 г.</t>
      </is>
    </oc>
    <nc r="B5" t="inlineStr">
      <is>
        <t>об исполнении бюджетов поселений  Моргаушского района  на 1 февраля 2021 г.</t>
      </is>
    </nc>
  </rcc>
  <rcc rId="16930" sId="1">
    <oc r="A1" t="inlineStr">
      <is>
        <t>Анализ исполнения консолидированного бюджета Моргаушского районана 01.02.2020 г.</t>
      </is>
    </oc>
    <nc r="A1" t="inlineStr">
      <is>
        <t>Анализ исполнения консолидированного бюджета Моргаушского районана 01.02.2021 г.</t>
      </is>
    </nc>
  </rcc>
  <rcc rId="16931" sId="1">
    <oc r="C3" t="inlineStr">
      <is>
        <t>план на 2020 г.</t>
      </is>
    </oc>
    <nc r="C3" t="inlineStr">
      <is>
        <t>план на 2021 г.</t>
      </is>
    </nc>
  </rcc>
  <rcc rId="16932" sId="1">
    <oc r="F3" t="inlineStr">
      <is>
        <t>план на 2020 г.</t>
      </is>
    </oc>
    <nc r="F3" t="inlineStr">
      <is>
        <t>план на 2021 г.</t>
      </is>
    </nc>
  </rcc>
  <rcc rId="16933" sId="1">
    <oc r="I3" t="inlineStr">
      <is>
        <t>план на 2020 г.</t>
      </is>
    </oc>
    <nc r="I3" t="inlineStr">
      <is>
        <t>план на 2021 г.</t>
      </is>
    </nc>
  </rcc>
  <rcc rId="16934" sId="1">
    <oc r="D3" t="inlineStr">
      <is>
        <t>исполнено на 01.02.2020 г.</t>
      </is>
    </oc>
    <nc r="D3" t="inlineStr">
      <is>
        <t>исполнено на 01.02.2021 г.</t>
      </is>
    </nc>
  </rcc>
  <rcc rId="16935" sId="1">
    <oc r="G3" t="inlineStr">
      <is>
        <t>исполнено на 01.02.2020 г.</t>
      </is>
    </oc>
    <nc r="G3" t="inlineStr">
      <is>
        <t>исполнено на 01.02.2021 г.</t>
      </is>
    </nc>
  </rcc>
  <rcc rId="16936" sId="1">
    <oc r="J3" t="inlineStr">
      <is>
        <t>исполнено на 01.02.2020 г.</t>
      </is>
    </oc>
    <nc r="J3" t="inlineStr">
      <is>
        <t>исполнено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J4:J27">
    <dxf>
      <numFmt numFmtId="174" formatCode="0.0000"/>
    </dxf>
  </rfmt>
  <rfmt sheetId="1" sqref="J4:J27">
    <dxf>
      <numFmt numFmtId="183" formatCode="0.000"/>
    </dxf>
  </rfmt>
  <rfmt sheetId="1" sqref="J4:J27">
    <dxf>
      <numFmt numFmtId="2" formatCode="0.00"/>
    </dxf>
  </rfmt>
  <rfmt sheetId="1" sqref="J4:J27">
    <dxf>
      <numFmt numFmtId="166" formatCode="0.0"/>
    </dxf>
  </rfmt>
  <rcc rId="19905" sId="1">
    <oc r="E25">
      <f>D25/C25*100</f>
    </oc>
    <nc r="E25"/>
  </rcc>
  <rcc rId="19906" sId="1">
    <oc r="K25">
      <f>J25/I25*100</f>
    </oc>
    <nc r="K25"/>
  </rcc>
  <rcc rId="19907" sId="1">
    <oc r="K17">
      <f>J17/I17*100</f>
    </oc>
    <nc r="K17"/>
  </rcc>
  <rcc rId="19908" sId="1">
    <oc r="K18">
      <f>J18/I18*100</f>
    </oc>
    <nc r="K18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J24">
    <dxf>
      <fill>
        <patternFill>
          <bgColor theme="0" tint="-0.14999847407452621"/>
        </patternFill>
      </fill>
    </dxf>
  </rfmt>
  <rcc rId="19844" sId="1" numFmtId="4">
    <oc r="J24">
      <f>Справка!CA31</f>
    </oc>
    <nc r="J24">
      <v>4668.116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340" sId="7" numFmtId="34">
    <oc r="C57">
      <v>1637</v>
    </oc>
    <nc r="C57">
      <v>1768.4</v>
    </nc>
  </rcc>
  <rcc rId="17341" sId="7" numFmtId="34">
    <oc r="D57">
      <v>33.744770000000003</v>
    </oc>
    <nc r="D57">
      <v>28.7</v>
    </nc>
  </rcc>
  <rcc rId="17342" sId="7" numFmtId="34">
    <oc r="C60">
      <v>44</v>
    </oc>
    <nc r="C60">
      <v>0</v>
    </nc>
  </rcc>
  <rcc rId="17343" sId="7" numFmtId="34">
    <oc r="C61">
      <v>5</v>
    </oc>
    <nc r="C61">
      <v>100</v>
    </nc>
  </rcc>
  <rcc rId="17344" sId="7" numFmtId="34">
    <oc r="C62">
      <v>4.9340000000000002</v>
    </oc>
    <nc r="C62">
      <v>24.869</v>
    </nc>
  </rcc>
  <rcc rId="17345" sId="7" numFmtId="34">
    <oc r="C64">
      <v>179.208</v>
    </oc>
    <nc r="C64">
      <v>206.767</v>
    </nc>
  </rcc>
  <rcc rId="17346" sId="7" numFmtId="34">
    <oc r="C68">
      <v>1.6</v>
    </oc>
    <nc r="C68">
      <v>3</v>
    </nc>
  </rcc>
  <rcc rId="17347" sId="7" numFmtId="34">
    <oc r="C69">
      <v>2.4</v>
    </oc>
    <nc r="C69">
      <v>10</v>
    </nc>
  </rcc>
  <rcc rId="17348" sId="7" numFmtId="34">
    <oc r="C72">
      <v>10.021000000000001</v>
    </oc>
    <nc r="C72">
      <v>4.26</v>
    </nc>
  </rcc>
  <rcc rId="17349" sId="7" numFmtId="34">
    <oc r="C74">
      <v>2084.4699999999998</v>
    </oc>
    <nc r="C74">
      <v>2145.69</v>
    </nc>
  </rcc>
  <rcc rId="17350" sId="7" numFmtId="34">
    <oc r="D74">
      <v>8.8559999999999999</v>
    </oc>
    <nc r="D74">
      <v>0</v>
    </nc>
  </rcc>
  <rcc rId="17351" sId="7" numFmtId="34">
    <oc r="C75">
      <v>50</v>
    </oc>
    <nc r="C75">
      <v>350</v>
    </nc>
  </rcc>
  <rcc rId="17352" sId="7" numFmtId="34">
    <oc r="D75">
      <v>7</v>
    </oc>
    <nc r="D75">
      <v>0</v>
    </nc>
  </rcc>
  <rcc rId="17353" sId="7" numFmtId="34">
    <oc r="C78">
      <v>0</v>
    </oc>
    <nc r="C78">
      <v>1192.3309999999999</v>
    </nc>
  </rcc>
  <rcc rId="17354" sId="7" numFmtId="34">
    <oc r="C79">
      <v>1189.325</v>
    </oc>
    <nc r="C79">
      <v>1384</v>
    </nc>
  </rcc>
  <rcc rId="17355" sId="7" numFmtId="34">
    <oc r="C81">
      <v>1975.2</v>
    </oc>
    <nc r="C81">
      <v>1995.2</v>
    </nc>
  </rcc>
  <rcc rId="17356" sId="7" numFmtId="34">
    <oc r="D81">
      <v>150</v>
    </oc>
    <nc r="D81">
      <v>0</v>
    </nc>
  </rcc>
  <rcc rId="17357" sId="7" numFmtId="34">
    <oc r="C88">
      <v>2</v>
    </oc>
    <nc r="C88">
      <v>50</v>
    </nc>
  </rcc>
  <rcc rId="17358" sId="7" numFmtId="34">
    <oc r="D64">
      <v>4</v>
    </oc>
    <nc r="D64">
      <v>4.8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417" sId="8">
    <oc r="C3" t="inlineStr">
      <is>
        <t>назначено на 2020 г.</t>
      </is>
    </oc>
    <nc r="C3" t="inlineStr">
      <is>
        <t>назначено на 2021 г.</t>
      </is>
    </nc>
  </rcc>
  <rcc rId="17418" sId="8">
    <oc r="D3" t="inlineStr">
      <is>
        <t>исполнен на 01.02.2020 г.</t>
      </is>
    </oc>
    <nc r="D3" t="inlineStr">
      <is>
        <t>исполнен на 01.02.2021 г.</t>
      </is>
    </nc>
  </rcc>
  <rcc rId="17419" sId="8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20" sId="8">
    <oc r="D54" t="inlineStr">
      <is>
        <t>исполнено на 01.02.2020 г.</t>
      </is>
    </oc>
    <nc r="D54" t="inlineStr">
      <is>
        <t>исполнен на 01.02.2021 г.</t>
      </is>
    </nc>
  </rcc>
  <rcc rId="17421" sId="9">
    <oc r="C3" t="inlineStr">
      <is>
        <t>назначено на 2020 г.</t>
      </is>
    </oc>
    <nc r="C3" t="inlineStr">
      <is>
        <t>назначено на 2021 г.</t>
      </is>
    </nc>
  </rcc>
  <rcc rId="17422" sId="9">
    <oc r="D3" t="inlineStr">
      <is>
        <t>исполнен на 01.02.2020 г.</t>
      </is>
    </oc>
    <nc r="D3" t="inlineStr">
      <is>
        <t>исполнен на 01.02.2021 г.</t>
      </is>
    </nc>
  </rcc>
  <rcc rId="17423" sId="9" odxf="1" dxf="1">
    <oc r="C55" t="inlineStr">
      <is>
        <t>назначено на 2020 г.</t>
      </is>
    </oc>
    <nc r="C55" t="inlineStr">
      <is>
        <t>назначено на 2021 г.</t>
      </is>
    </nc>
    <odxf>
      <numFmt numFmtId="1" formatCode="0"/>
    </odxf>
    <ndxf>
      <numFmt numFmtId="166" formatCode="0.0"/>
    </ndxf>
  </rcc>
  <rcc rId="17424" sId="9" odxf="1" dxf="1">
    <oc r="D55" t="inlineStr">
      <is>
        <t>исполнено на 01.02.2020 г.</t>
      </is>
    </oc>
    <nc r="D55" t="inlineStr">
      <is>
        <t>исполнен на 01.02.2021 г.</t>
      </is>
    </nc>
    <odxf>
      <numFmt numFmtId="1" formatCode="0"/>
    </odxf>
    <ndxf>
      <numFmt numFmtId="0" formatCode="General"/>
    </ndxf>
  </rcc>
  <rcc rId="17425" sId="10">
    <oc r="C54" t="inlineStr">
      <is>
        <t>назначено на 2020 г.</t>
      </is>
    </oc>
    <nc r="C54" t="inlineStr">
      <is>
        <t>назначено на 2021 г.</t>
      </is>
    </nc>
  </rcc>
  <rcc rId="17426" sId="10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66" formatCode="0.0"/>
    </odxf>
    <ndxf>
      <numFmt numFmtId="0" formatCode="General"/>
    </ndxf>
  </rcc>
  <rcc rId="17427" sId="10">
    <oc r="C3" t="inlineStr">
      <is>
        <t>назначено на 2020 г.</t>
      </is>
    </oc>
    <nc r="C3" t="inlineStr">
      <is>
        <t>назначено на 2021 г.</t>
      </is>
    </nc>
  </rcc>
  <rcc rId="17428" sId="10">
    <oc r="D3" t="inlineStr">
      <is>
        <t>исполнен на 01.02.2020 г.</t>
      </is>
    </oc>
    <nc r="D3" t="inlineStr">
      <is>
        <t>исполнен на 01.02.2021 г.</t>
      </is>
    </nc>
  </rcc>
  <rcc rId="17429" sId="11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0" sId="11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1" sId="11">
    <oc r="C3" t="inlineStr">
      <is>
        <t>назначено на 2020 г.</t>
      </is>
    </oc>
    <nc r="C3" t="inlineStr">
      <is>
        <t>назначено на 2021 г.</t>
      </is>
    </nc>
  </rcc>
  <rcc rId="17432" sId="11">
    <oc r="D3" t="inlineStr">
      <is>
        <t>исполнен на 01.02.2020 г.</t>
      </is>
    </oc>
    <nc r="D3" t="inlineStr">
      <is>
        <t>исполнен на 01.02.2021 г.</t>
      </is>
    </nc>
  </rcc>
  <rcc rId="17433" sId="12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4" sId="12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5" sId="12">
    <oc r="C3" t="inlineStr">
      <is>
        <t>назначено на 2020 г.</t>
      </is>
    </oc>
    <nc r="C3" t="inlineStr">
      <is>
        <t>назначено на 2021 г.</t>
      </is>
    </nc>
  </rcc>
  <rcc rId="17436" sId="12">
    <oc r="D3" t="inlineStr">
      <is>
        <t>исполнен на 01.02.2020 г.</t>
      </is>
    </oc>
    <nc r="D3" t="inlineStr">
      <is>
        <t>исполнен на 01.02.2021 г.</t>
      </is>
    </nc>
  </rcc>
  <rcc rId="17437" sId="13" odxf="1" dxf="1">
    <oc r="C52" t="inlineStr">
      <is>
        <t>назначено на 2020 г.</t>
      </is>
    </oc>
    <nc r="C52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38" sId="13">
    <oc r="D52" t="inlineStr">
      <is>
        <t>исполнено на 01.02.2020 г.</t>
      </is>
    </oc>
    <nc r="D52" t="inlineStr">
      <is>
        <t>исполнен на 01.02.2021 г.</t>
      </is>
    </nc>
  </rcc>
  <rcc rId="17439" sId="13">
    <oc r="C3" t="inlineStr">
      <is>
        <t>назначено на 2020 г.</t>
      </is>
    </oc>
    <nc r="C3" t="inlineStr">
      <is>
        <t>назначено на 2021 г.</t>
      </is>
    </nc>
  </rcc>
  <rcc rId="17440" sId="13">
    <oc r="D3" t="inlineStr">
      <is>
        <t>исполнен на 01.02.2020 г.</t>
      </is>
    </oc>
    <nc r="D3" t="inlineStr">
      <is>
        <t>исполнен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7637" sId="10" numFmtId="4">
    <oc r="C6">
      <v>187.5</v>
    </oc>
    <nc r="C6">
      <v>227.4</v>
    </nc>
  </rcc>
  <rcc rId="17638" sId="10" numFmtId="4">
    <oc r="D6">
      <v>13.768739999999999</v>
    </oc>
    <nc r="D6">
      <v>12.97113</v>
    </nc>
  </rcc>
  <rcc rId="17639" sId="10" numFmtId="4">
    <oc r="C8">
      <v>183.91</v>
    </oc>
    <nc r="C8">
      <v>178.94</v>
    </nc>
  </rcc>
  <rcc rId="17640" sId="10" numFmtId="4">
    <oc r="D8">
      <v>18.666550000000001</v>
    </oc>
    <nc r="D8">
      <v>18.603429999999999</v>
    </nc>
  </rcc>
  <rcc rId="17641" sId="10" numFmtId="4">
    <oc r="C9">
      <v>1.97</v>
    </oc>
    <nc r="C9">
      <v>1.92</v>
    </nc>
  </rcc>
  <rcc rId="17642" sId="10" numFmtId="4">
    <oc r="D9">
      <v>0.12701000000000001</v>
    </oc>
    <nc r="D9">
      <v>0.10965999999999999</v>
    </nc>
  </rcc>
  <rcc rId="17643" sId="10" numFmtId="4">
    <oc r="C10">
      <v>307.16000000000003</v>
    </oc>
    <nc r="C10">
      <v>298.86</v>
    </nc>
  </rcc>
  <rcc rId="17644" sId="10" numFmtId="4">
    <oc r="D10">
      <v>25.613409999999998</v>
    </oc>
    <nc r="D10">
      <v>24.961459999999999</v>
    </nc>
  </rcc>
  <rcc rId="17645" sId="10" numFmtId="4">
    <oc r="D11">
      <v>-3.4315799999999999</v>
    </oc>
    <nc r="D11">
      <v>-3.1703700000000001</v>
    </nc>
  </rcc>
  <rcc rId="17646" sId="10" numFmtId="4">
    <oc r="C13">
      <v>30</v>
    </oc>
    <nc r="C13">
      <v>15</v>
    </nc>
  </rcc>
  <rcc rId="17647" sId="10" numFmtId="4">
    <oc r="D13">
      <v>0</v>
    </oc>
    <nc r="D13">
      <v>1.4910000000000001</v>
    </nc>
  </rcc>
  <rcc rId="17648" sId="10" numFmtId="4">
    <oc r="C15">
      <v>290</v>
    </oc>
    <nc r="C15">
      <v>350</v>
    </nc>
  </rcc>
  <rcc rId="17649" sId="10" numFmtId="4">
    <oc r="D15">
      <v>3.1266099999999999</v>
    </oc>
    <nc r="D15">
      <v>3.2356400000000001</v>
    </nc>
  </rcc>
  <rcc rId="17650" sId="10" numFmtId="4">
    <oc r="C16">
      <v>1492</v>
    </oc>
    <nc r="C16">
      <v>1370</v>
    </nc>
  </rcc>
  <rcc rId="17651" sId="10" numFmtId="4">
    <oc r="D16">
      <v>29.829219999999999</v>
    </oc>
    <nc r="D16">
      <v>45.103909999999999</v>
    </nc>
  </rcc>
  <rcc rId="17652" sId="10" numFmtId="4">
    <oc r="C18">
      <v>6</v>
    </oc>
    <nc r="C18">
      <v>8</v>
    </nc>
  </rcc>
  <rcc rId="17653" sId="10" numFmtId="4">
    <oc r="D18">
      <v>0.7</v>
    </oc>
    <nc r="D18"/>
  </rcc>
  <rcc rId="17654" sId="10" numFmtId="4">
    <oc r="C27">
      <v>230.4</v>
    </oc>
    <nc r="C27">
      <v>270</v>
    </nc>
  </rcc>
  <rcc rId="17655" sId="10" numFmtId="4">
    <oc r="D27">
      <v>10.23612</v>
    </oc>
    <nc r="D27">
      <v>4.6500000000000004</v>
    </nc>
  </rcc>
  <rcc rId="17656" sId="10" numFmtId="4">
    <oc r="D28">
      <v>4.5</v>
    </oc>
    <nc r="D28"/>
  </rcc>
  <rcc rId="17657" sId="10" numFmtId="4">
    <oc r="D30">
      <v>0</v>
    </oc>
    <nc r="D30">
      <v>5.3297999999999996</v>
    </nc>
  </rcc>
  <rcc rId="17658" sId="10" numFmtId="4">
    <oc r="D37">
      <v>0</v>
    </oc>
    <nc r="D37">
      <v>-4.3925900000000002</v>
    </nc>
  </rcc>
  <rcc rId="17659" sId="10" numFmtId="4">
    <oc r="C41">
      <v>1597</v>
    </oc>
    <nc r="C41">
      <v>3226.8</v>
    </nc>
  </rcc>
  <rcc rId="17660" sId="10" numFmtId="4">
    <oc r="D41">
      <v>133.08099999999999</v>
    </oc>
    <nc r="D41">
      <v>268.90199999999999</v>
    </nc>
  </rcc>
  <rcc rId="17661" sId="10" numFmtId="4">
    <oc r="C42">
      <v>150</v>
    </oc>
    <nc r="C42"/>
  </rcc>
  <rcc rId="17662" sId="10" numFmtId="4">
    <oc r="C43">
      <v>831.26499999999999</v>
    </oc>
    <nc r="C43">
      <v>678.94</v>
    </nc>
  </rcc>
  <rcc rId="17663" sId="10" numFmtId="4">
    <oc r="C45">
      <v>183.38800000000001</v>
    </oc>
    <nc r="C45">
      <v>211.02699999999999</v>
    </nc>
  </rcc>
  <rcc rId="17664" sId="10" numFmtId="4">
    <oc r="D45">
      <v>14.933299999999999</v>
    </oc>
    <nc r="D45">
      <v>17.2334</v>
    </nc>
  </rcc>
  <rcc rId="17665" sId="10" numFmtId="4">
    <nc r="C46">
      <v>100</v>
    </nc>
  </rcc>
  <rfmt sheetId="10" sqref="C51">
    <dxf>
      <numFmt numFmtId="172" formatCode="#,##0.00000"/>
    </dxf>
  </rfmt>
  <rfmt sheetId="10" sqref="D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7568" sId="9">
    <oc r="A1" t="inlineStr">
      <is>
        <t xml:space="preserve">                     Анализ исполнения бюджета Москакасинского сельского поселения на 01.02.2020 г.</t>
      </is>
    </oc>
    <nc r="A1" t="inlineStr">
      <is>
        <t xml:space="preserve">                     Анализ исполнения бюджета Москакасинского сельского поселения на 01.02.2021 г.</t>
      </is>
    </nc>
  </rcc>
  <rcc rId="17569" sId="9" numFmtId="4">
    <oc r="C6">
      <v>1607.1</v>
    </oc>
    <nc r="C6">
      <v>1697.1</v>
    </nc>
  </rcc>
  <rcc rId="17570" sId="9" numFmtId="4">
    <oc r="D6">
      <v>152.35122999999999</v>
    </oc>
    <nc r="D6">
      <v>157.96709000000001</v>
    </nc>
  </rcc>
  <rcc rId="17571" sId="9" numFmtId="4">
    <oc r="C8">
      <v>288.18</v>
    </oc>
    <nc r="C8">
      <v>279.47000000000003</v>
    </nc>
  </rcc>
  <rcc rId="17572" sId="9" numFmtId="4">
    <oc r="D8">
      <v>29.250710000000002</v>
    </oc>
    <nc r="D8">
      <v>29.055869999999999</v>
    </nc>
  </rcc>
  <rcc rId="17573" sId="9" numFmtId="4">
    <oc r="C9">
      <v>3.09</v>
    </oc>
    <nc r="C9">
      <v>3</v>
    </nc>
  </rcc>
  <rcc rId="17574" sId="9" numFmtId="4">
    <oc r="D9">
      <v>0.19903000000000001</v>
    </oc>
    <nc r="D9">
      <v>0.17129</v>
    </nc>
  </rcc>
  <rcc rId="17575" sId="9" numFmtId="4">
    <oc r="C10">
      <v>481.32</v>
    </oc>
    <nc r="C10">
      <v>466.78</v>
    </nc>
  </rcc>
  <rcc rId="17576" sId="9" numFmtId="4">
    <oc r="D10">
      <v>40.13646</v>
    </oc>
    <nc r="D10">
      <v>38.986190000000001</v>
    </nc>
  </rcc>
  <rcc rId="17577" sId="9" numFmtId="4">
    <oc r="D11">
      <v>-5.3773400000000002</v>
    </oc>
    <nc r="D11">
      <v>-4.95167</v>
    </nc>
  </rcc>
  <rcc rId="17578" sId="9" numFmtId="4">
    <oc r="C13">
      <v>30</v>
    </oc>
    <nc r="C13">
      <v>20</v>
    </nc>
  </rcc>
  <rcc rId="17579" sId="9" numFmtId="4">
    <oc r="C15">
      <v>450</v>
    </oc>
    <nc r="C15">
      <v>1200</v>
    </nc>
  </rcc>
  <rcc rId="17580" sId="9" numFmtId="4">
    <oc r="D15">
      <v>2.3001999999999998</v>
    </oc>
    <nc r="D15">
      <v>3.5874799999999998</v>
    </nc>
  </rcc>
  <rcc rId="17581" sId="9" numFmtId="4">
    <oc r="C16">
      <v>2151</v>
    </oc>
    <nc r="C16">
      <v>2200</v>
    </nc>
  </rcc>
  <rcc rId="17582" sId="9" numFmtId="4">
    <oc r="D16">
      <v>120.22599</v>
    </oc>
    <nc r="D16">
      <v>52.06438</v>
    </nc>
  </rcc>
  <rcc rId="17583" sId="9" numFmtId="4">
    <oc r="D18">
      <v>0</v>
    </oc>
    <nc r="D18">
      <v>0.1</v>
    </nc>
  </rcc>
  <rcc rId="17584" sId="9" numFmtId="4">
    <oc r="D27">
      <v>1.78</v>
    </oc>
    <nc r="D27"/>
  </rcc>
  <rcc rId="17585" sId="9" numFmtId="4">
    <oc r="D37">
      <v>-1.78</v>
    </oc>
    <nc r="D37"/>
  </rcc>
  <rcc rId="17586" sId="9" numFmtId="4">
    <oc r="C42">
      <v>1300</v>
    </oc>
    <nc r="C42">
      <v>1250</v>
    </nc>
  </rcc>
  <rcc rId="17587" sId="9" numFmtId="4">
    <oc r="C41">
      <v>0</v>
    </oc>
    <nc r="C41">
      <v>942.5</v>
    </nc>
  </rcc>
  <rcc rId="17588" sId="9" numFmtId="4">
    <oc r="D41">
      <v>0</v>
    </oc>
    <nc r="D41">
      <v>78.542000000000002</v>
    </nc>
  </rcc>
  <rcc rId="17589" sId="9" numFmtId="4">
    <oc r="C43">
      <v>1124.1400000000001</v>
    </oc>
    <nc r="C43">
      <v>2097.6639399999999</v>
    </nc>
  </rcc>
  <rcc rId="17590" sId="9" numFmtId="4">
    <oc r="C45">
      <v>183.38800000000001</v>
    </oc>
    <nc r="C45">
      <v>3582.7330000000002</v>
    </nc>
  </rcc>
  <rcc rId="17591" sId="9" numFmtId="4">
    <oc r="D45">
      <v>14.933299999999999</v>
    </oc>
    <nc r="D45">
      <v>17.2334</v>
    </nc>
  </rcc>
  <rcc rId="17592" sId="9" numFmtId="34">
    <oc r="C59">
      <v>2193.3000000000002</v>
    </oc>
    <nc r="C59">
      <v>2174.6669999999999</v>
    </nc>
  </rcc>
  <rcc rId="17593" sId="9" numFmtId="34">
    <oc r="D59">
      <v>40.363869999999999</v>
    </oc>
    <nc r="D59">
      <v>46.3</v>
    </nc>
  </rcc>
  <rcc rId="17594" sId="9" numFmtId="34">
    <oc r="C62">
      <v>32</v>
    </oc>
    <nc r="C62"/>
  </rcc>
  <rcc rId="17595" sId="9" numFmtId="34">
    <oc r="C64">
      <v>4.4320000000000004</v>
    </oc>
    <nc r="C64"/>
  </rcc>
  <rcc rId="17596" sId="9" numFmtId="34">
    <oc r="C66">
      <v>179.208</v>
    </oc>
    <nc r="C66">
      <v>206.767</v>
    </nc>
  </rcc>
  <rcc rId="17597" sId="9" numFmtId="34">
    <oc r="C70">
      <v>1.6</v>
    </oc>
    <nc r="C70"/>
  </rcc>
  <rcc rId="17598" sId="9" numFmtId="34">
    <oc r="C71">
      <v>2.4</v>
    </oc>
    <nc r="C71">
      <v>5</v>
    </nc>
  </rcc>
  <rcc rId="17599" sId="9" numFmtId="34">
    <oc r="C74">
      <v>10.021000000000001</v>
    </oc>
    <nc r="C74">
      <v>4.26</v>
    </nc>
  </rcc>
  <rcc rId="17600" sId="9" numFmtId="34">
    <oc r="C75">
      <v>1579.519</v>
    </oc>
    <nc r="C75"/>
  </rcc>
  <rcc rId="17601" sId="9" numFmtId="34">
    <oc r="C76">
      <v>1896.73</v>
    </oc>
    <nc r="C76">
      <v>2746.22</v>
    </nc>
  </rcc>
  <rcc rId="17602" sId="9" numFmtId="34">
    <oc r="C77">
      <v>0</v>
    </oc>
    <nc r="C77">
      <v>120</v>
    </nc>
  </rcc>
  <rcc rId="17603" sId="9" numFmtId="34">
    <oc r="C79">
      <v>0</v>
    </oc>
    <nc r="C79">
      <v>3371.7060000000001</v>
    </nc>
  </rcc>
  <rcc rId="17604" sId="9" numFmtId="34">
    <oc r="C80">
      <v>0</v>
    </oc>
    <nc r="C80">
      <v>2938.3890000000001</v>
    </nc>
  </rcc>
  <rcc rId="17605" sId="9" numFmtId="34">
    <oc r="C81">
      <v>476.00799999999998</v>
    </oc>
    <nc r="C81">
      <v>926.23793999999998</v>
    </nc>
  </rcc>
  <rcc rId="17606" sId="9" numFmtId="34">
    <oc r="D81">
      <v>57.517620000000001</v>
    </oc>
    <nc r="D81">
      <v>29.516500000000001</v>
    </nc>
  </rcc>
  <rcc rId="17607" sId="9" numFmtId="34">
    <oc r="C94">
      <v>32</v>
    </oc>
    <nc r="C94">
      <v>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7520" sId="8" numFmtId="34">
    <oc r="C58">
      <v>1909.2</v>
    </oc>
    <nc r="C58">
      <v>2153.6999999999998</v>
    </nc>
  </rcc>
  <rcc rId="17521" sId="8" numFmtId="34">
    <oc r="D58">
      <v>107.17243000000001</v>
    </oc>
    <nc r="D58">
      <v>44.6</v>
    </nc>
  </rcc>
  <rcc rId="17522" sId="8" numFmtId="34">
    <oc r="C61">
      <v>90</v>
    </oc>
    <nc r="C61">
      <v>0</v>
    </nc>
  </rcc>
  <rcc rId="17523" sId="8" numFmtId="34">
    <oc r="C62">
      <v>55</v>
    </oc>
    <nc r="C62">
      <v>100</v>
    </nc>
  </rcc>
  <rcc rId="17524" sId="8" numFmtId="34">
    <oc r="C63">
      <v>31.864999999999998</v>
    </oc>
    <nc r="C63">
      <v>201.89400000000001</v>
    </nc>
  </rcc>
  <rcc rId="17525" sId="8" numFmtId="34">
    <oc r="D63">
      <v>0</v>
    </oc>
    <nc r="D63">
      <v>140</v>
    </nc>
  </rcc>
  <rcc rId="17526" sId="8" numFmtId="34">
    <oc r="C69">
      <v>10</v>
    </oc>
    <nc r="C69">
      <v>3</v>
    </nc>
  </rcc>
  <rcc rId="17527" sId="8" numFmtId="34">
    <oc r="C73">
      <v>28.632000000000001</v>
    </oc>
    <nc r="C73">
      <v>8.5399999999999991</v>
    </nc>
  </rcc>
  <rcc rId="17528" sId="8" numFmtId="34">
    <oc r="C74">
      <v>400</v>
    </oc>
    <nc r="C74"/>
  </rcc>
  <rcc rId="17529" sId="8" numFmtId="34">
    <oc r="D74">
      <v>68.609889999999993</v>
    </oc>
    <nc r="D74"/>
  </rcc>
  <rcc rId="17530" sId="8" numFmtId="34">
    <oc r="C75">
      <v>2264.0731500000002</v>
    </oc>
    <nc r="C75">
      <v>973.79</v>
    </nc>
  </rcc>
  <rcc rId="17531" sId="8" numFmtId="34">
    <oc r="D75">
      <v>4.3239999999999998</v>
    </oc>
    <nc r="D75">
      <v>1.865</v>
    </nc>
  </rcc>
  <rcc rId="17532" sId="8" numFmtId="34">
    <oc r="C76">
      <v>200</v>
    </oc>
    <nc r="C76">
      <v>300</v>
    </nc>
  </rcc>
  <rcc rId="17533" sId="8" numFmtId="34">
    <oc r="C79">
      <v>0</v>
    </oc>
    <nc r="C79">
      <v>700</v>
    </nc>
  </rcc>
  <rcc rId="17534" sId="8" numFmtId="34">
    <oc r="C80">
      <v>10372.5494</v>
    </oc>
    <nc r="C80">
      <v>9618.9495000000006</v>
    </nc>
  </rcc>
  <rcc rId="17535" sId="8" numFmtId="34">
    <oc r="D80">
      <v>38.148600000000002</v>
    </oc>
    <nc r="D80">
      <v>105.74177</v>
    </nc>
  </rcc>
  <rcc rId="17536" sId="8" numFmtId="34">
    <oc r="C82">
      <v>4457.2</v>
    </oc>
    <nc r="C82">
      <v>4885.8</v>
    </nc>
  </rcc>
  <rcc rId="17537" sId="8" numFmtId="34">
    <oc r="D82">
      <v>371.43299999999999</v>
    </oc>
    <nc r="D82"/>
  </rcc>
  <rcc rId="17538" sId="8" numFmtId="34">
    <oc r="C90">
      <v>24.613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7470" sId="8" numFmtId="4">
    <oc r="C6">
      <v>1917</v>
    </oc>
    <nc r="C6">
      <v>1988.4</v>
    </nc>
  </rcc>
  <rcc rId="17471" sId="8" numFmtId="4">
    <oc r="D6">
      <v>78.23724</v>
    </oc>
    <nc r="D6">
      <v>110.82531</v>
    </nc>
  </rcc>
  <rcc rId="17472" sId="8" numFmtId="4">
    <oc r="C8">
      <v>153.57</v>
    </oc>
    <nc r="C8">
      <v>148.5</v>
    </nc>
  </rcc>
  <rcc rId="17473" sId="8" numFmtId="4">
    <oc r="D8">
      <v>15.58752</v>
    </oc>
    <nc r="D8">
      <v>15.43891</v>
    </nc>
  </rcc>
  <rcc rId="17474" sId="8" numFmtId="4">
    <oc r="C9">
      <v>1.64</v>
    </oc>
    <nc r="C9">
      <v>1.59</v>
    </nc>
  </rcc>
  <rcc rId="17475" sId="8" numFmtId="4">
    <oc r="D9">
      <v>0.10606</v>
    </oc>
    <nc r="D9">
      <v>9.1009999999999994E-2</v>
    </nc>
  </rcc>
  <rcc rId="17476" sId="8" numFmtId="4">
    <oc r="C10">
      <v>256.5</v>
    </oc>
    <nc r="C10">
      <v>248.03</v>
    </nc>
  </rcc>
  <rcc rId="17477" sId="8" numFmtId="4">
    <oc r="D10">
      <v>21.388500000000001</v>
    </oc>
    <nc r="D10">
      <v>20.715420000000002</v>
    </nc>
  </rcc>
  <rcc rId="17478" sId="8" numFmtId="4">
    <oc r="D11">
      <v>-2.8655300000000001</v>
    </oc>
    <nc r="D11">
      <v>-2.63104</v>
    </nc>
  </rcc>
  <rcc rId="17479" sId="8" numFmtId="4">
    <oc r="C13">
      <v>75</v>
    </oc>
    <nc r="C13">
      <v>70</v>
    </nc>
  </rcc>
  <rcc rId="17480" sId="8" numFmtId="4">
    <oc r="C15">
      <v>980</v>
    </oc>
    <nc r="C15">
      <v>1000</v>
    </nc>
  </rcc>
  <rcc rId="17481" sId="8" numFmtId="4">
    <oc r="D15">
      <v>19.577870000000001</v>
    </oc>
    <nc r="D15">
      <v>22.36918</v>
    </nc>
  </rcc>
  <rcc rId="17482" sId="8" numFmtId="4">
    <oc r="C16">
      <v>1499</v>
    </oc>
    <nc r="C16">
      <v>1550</v>
    </nc>
  </rcc>
  <rcc rId="17483" sId="8" numFmtId="4">
    <oc r="D16">
      <v>108.80298999999999</v>
    </oc>
    <nc r="D16">
      <v>104.50297</v>
    </nc>
  </rcc>
  <rcc rId="17484" sId="8" numFmtId="4">
    <oc r="C41">
      <v>5155.8</v>
    </oc>
    <nc r="C41">
      <v>8831.9</v>
    </nc>
  </rcc>
  <rcc rId="17485" sId="8" numFmtId="4">
    <oc r="D41">
      <v>429.64299999999997</v>
    </oc>
    <nc r="D41">
      <v>735.99699999999996</v>
    </nc>
  </rcc>
  <rcc rId="17486" sId="8" numFmtId="4">
    <oc r="C43">
      <v>9320.3703999999998</v>
    </oc>
    <nc r="C43">
      <v>5150.7134999999998</v>
    </nc>
  </rcc>
  <rcc rId="17487" sId="8" numFmtId="4">
    <oc r="C45">
      <v>11.71</v>
    </oc>
    <nc r="C45">
      <v>8.5399999999999991</v>
    </nc>
  </rcc>
  <rcc rId="17488" sId="8" numFmtId="4">
    <oc r="C46">
      <v>0</v>
    </oc>
    <nc r="C46">
      <v>100</v>
    </nc>
  </rcc>
  <rcc rId="17489" sId="8" numFmtId="4">
    <oc r="C48">
      <v>462.18360999999999</v>
    </oc>
    <nc r="C48"/>
  </rcc>
  <rcc rId="17490" sId="8" numFmtId="4">
    <nc r="D49">
      <v>-467.79521999999997</v>
    </nc>
  </rcc>
  <rfmt sheetId="8" sqref="D51">
    <dxf>
      <numFmt numFmtId="172" formatCode="#,##0.00000"/>
    </dxf>
  </rfmt>
  <rfmt sheetId="8" sqref="C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17695" sId="10" numFmtId="34">
    <oc r="C58">
      <v>1441</v>
    </oc>
    <nc r="C58">
      <v>1471.7</v>
    </nc>
  </rcc>
  <rcc rId="17696" sId="10" numFmtId="34">
    <oc r="D58">
      <v>40.233980000000003</v>
    </oc>
    <nc r="D58">
      <v>27</v>
    </nc>
  </rcc>
  <rcc rId="17697" sId="10" numFmtId="34">
    <oc r="C61">
      <v>42</v>
    </oc>
    <nc r="C61"/>
  </rcc>
  <rcc rId="17698" sId="10" numFmtId="34">
    <oc r="C62">
      <v>5</v>
    </oc>
    <nc r="C62">
      <v>100</v>
    </nc>
  </rcc>
  <rcc rId="17699" sId="10" numFmtId="34">
    <oc r="C63">
      <v>3.9950000000000001</v>
    </oc>
    <nc r="C63">
      <v>3.99</v>
    </nc>
  </rcc>
  <rcc rId="17700" sId="10" numFmtId="34">
    <oc r="C65">
      <v>179.208</v>
    </oc>
    <nc r="C65">
      <v>206.767</v>
    </nc>
  </rcc>
  <rcc rId="17701" sId="10" numFmtId="34">
    <oc r="C69">
      <v>2</v>
    </oc>
    <nc r="C69">
      <v>3</v>
    </nc>
  </rcc>
  <rcc rId="17702" sId="10" numFmtId="34">
    <oc r="C70">
      <v>6</v>
    </oc>
    <nc r="C70">
      <v>10</v>
    </nc>
  </rcc>
  <rcc rId="17703" sId="10" numFmtId="34">
    <oc r="D70">
      <v>1.5</v>
    </oc>
    <nc r="D70"/>
  </rcc>
  <rcc rId="17704" sId="10" numFmtId="34">
    <oc r="C73">
      <v>10.021000000000001</v>
    </oc>
    <nc r="C73">
      <v>4.26</v>
    </nc>
  </rcc>
  <rcc rId="17705" sId="10" numFmtId="34">
    <oc r="C74">
      <v>334.79899999999998</v>
    </oc>
    <nc r="C74"/>
  </rcc>
  <rcc rId="17706" sId="10" numFmtId="34">
    <oc r="C75">
      <v>1324.3050000000001</v>
    </oc>
    <nc r="C75">
      <v>1428.66</v>
    </nc>
  </rcc>
  <rcc rId="17707" sId="10" numFmtId="34">
    <oc r="C76">
      <v>0</v>
    </oc>
    <nc r="C76">
      <v>150</v>
    </nc>
  </rcc>
  <rcc rId="17708" sId="10" numFmtId="34">
    <nc r="C79">
      <v>590</v>
    </nc>
  </rcc>
  <rcc rId="17709" sId="10" numFmtId="34">
    <oc r="C80">
      <v>517.96500000000003</v>
    </oc>
    <nc r="C80">
      <v>1036.75</v>
    </nc>
  </rcc>
  <rcc rId="17710" sId="10" numFmtId="34">
    <oc r="D80">
      <v>16.170000000000002</v>
    </oc>
    <nc r="D80"/>
  </rcc>
  <rcc rId="17711" sId="10" numFmtId="34">
    <oc r="C83">
      <v>1674.3</v>
    </oc>
    <nc r="C83">
      <v>1933.76</v>
    </nc>
  </rcc>
  <rcc rId="17712" sId="10" numFmtId="34">
    <oc r="D83">
      <v>100</v>
    </oc>
    <nc r="D83"/>
  </rcc>
  <rcc rId="17713" sId="10" numFmtId="34">
    <oc r="C90">
      <v>2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8166" sId="15" numFmtId="34">
    <oc r="C58">
      <v>1153.2</v>
    </oc>
    <nc r="C58">
      <v>1203.9000000000001</v>
    </nc>
  </rcc>
  <rcc rId="18167" sId="15" numFmtId="34">
    <oc r="D58">
      <v>26.741230000000002</v>
    </oc>
    <nc r="D58">
      <v>28.8172</v>
    </nc>
  </rcc>
  <rcc rId="18168" sId="15" numFmtId="34">
    <oc r="C61">
      <v>20.516999999999999</v>
    </oc>
    <nc r="C61"/>
  </rcc>
  <rcc rId="18169" sId="15" numFmtId="34">
    <oc r="C62">
      <v>5</v>
    </oc>
    <nc r="C62">
      <v>50</v>
    </nc>
  </rcc>
  <rcc rId="18170" sId="15" numFmtId="34">
    <oc r="C63">
      <v>2.5419999999999998</v>
    </oc>
    <nc r="C63">
      <v>22.532</v>
    </nc>
  </rcc>
  <rcc rId="18171" sId="15" numFmtId="34">
    <oc r="C65">
      <v>89.605000000000004</v>
    </oc>
    <nc r="C65">
      <v>103.383</v>
    </nc>
  </rcc>
  <rcc rId="18172" sId="15" numFmtId="34">
    <oc r="C69">
      <v>1</v>
    </oc>
    <nc r="C69">
      <v>3</v>
    </nc>
  </rcc>
  <rcc rId="18173" sId="15" numFmtId="34">
    <oc r="C70">
      <v>1</v>
    </oc>
    <nc r="C70">
      <v>10</v>
    </nc>
  </rcc>
  <rcc rId="18174" sId="15" numFmtId="34">
    <oc r="C73">
      <v>10.021000000000001</v>
    </oc>
    <nc r="C73">
      <v>4.26</v>
    </nc>
  </rcc>
  <rcc rId="18175" sId="15" numFmtId="34">
    <oc r="C75">
      <v>1454.9570000000001</v>
    </oc>
    <nc r="C75">
      <v>1103.6559999999999</v>
    </nc>
  </rcc>
  <rcc rId="18176" sId="15" numFmtId="34">
    <oc r="C76">
      <v>0</v>
    </oc>
    <nc r="C76">
      <v>80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8090" sId="14" numFmtId="34">
    <oc r="C58">
      <v>1320.9</v>
    </oc>
    <nc r="C58">
      <v>1423.8</v>
    </nc>
  </rcc>
  <rcc rId="18091" sId="14" numFmtId="34">
    <oc r="D58">
      <v>23.839120000000001</v>
    </oc>
    <nc r="D58">
      <v>28</v>
    </nc>
  </rcc>
  <rcc rId="18092" sId="14" numFmtId="34">
    <oc r="C61">
      <v>27</v>
    </oc>
    <nc r="C61"/>
  </rcc>
  <rcc rId="18093" sId="14" numFmtId="34">
    <oc r="C62">
      <v>5</v>
    </oc>
    <nc r="C62">
      <v>100</v>
    </nc>
  </rcc>
  <rcc rId="18094" sId="14" numFmtId="34">
    <oc r="C63">
      <v>3.22</v>
    </oc>
    <nc r="C63">
      <v>3.1859999999999999</v>
    </nc>
  </rcc>
  <rcc rId="18095" sId="14" numFmtId="34">
    <oc r="C65">
      <v>89.605000000000004</v>
    </oc>
    <nc r="C65">
      <v>103.383</v>
    </nc>
  </rcc>
  <rcc rId="18096" sId="14" numFmtId="34">
    <oc r="C69">
      <v>1.6</v>
    </oc>
    <nc r="C69">
      <v>3</v>
    </nc>
  </rcc>
  <rcc rId="18097" sId="14" numFmtId="34">
    <oc r="C70">
      <v>2.4</v>
    </oc>
    <nc r="C70">
      <v>10</v>
    </nc>
  </rcc>
  <rcc rId="18098" sId="14" numFmtId="34">
    <oc r="C73">
      <v>10.021000000000001</v>
    </oc>
    <nc r="C73">
      <v>4.26</v>
    </nc>
  </rcc>
  <rcc rId="18099" sId="14" numFmtId="34">
    <oc r="C74">
      <v>50</v>
    </oc>
    <nc r="C74"/>
  </rcc>
  <rcc rId="18100" sId="14" numFmtId="34">
    <oc r="D74">
      <v>18.47776</v>
    </oc>
    <nc r="D74"/>
  </rcc>
  <rcc rId="18101" sId="14" numFmtId="34">
    <oc r="C75">
      <v>1193.877</v>
    </oc>
    <nc r="C75">
      <v>814.06</v>
    </nc>
  </rcc>
  <rcc rId="18102" sId="14" numFmtId="34">
    <oc r="D75">
      <v>7.23</v>
    </oc>
    <nc r="D75"/>
  </rcc>
  <rcc rId="18103" sId="14" numFmtId="34">
    <oc r="C76">
      <v>52.9</v>
    </oc>
    <nc r="C76">
      <v>60</v>
    </nc>
  </rcc>
  <rcc rId="18104" sId="14" numFmtId="34">
    <oc r="C79">
      <v>0</v>
    </oc>
    <nc r="C79">
      <v>742.18399999999997</v>
    </nc>
  </rcc>
  <rcc rId="18105" sId="14" numFmtId="34">
    <oc r="C80">
      <v>374.23899999999998</v>
    </oc>
    <nc r="C80">
      <v>569.23</v>
    </nc>
  </rcc>
  <rcc rId="18106" sId="14" numFmtId="34">
    <oc r="D80">
      <v>13.5688</v>
    </oc>
    <nc r="D80"/>
  </rcc>
  <rcc rId="18107" sId="14" numFmtId="34">
    <oc r="C82">
      <v>1022.4</v>
    </oc>
    <nc r="C82">
      <v>1026.9000000000001</v>
    </nc>
  </rcc>
  <rcc rId="18108" sId="14" numFmtId="34">
    <oc r="D82">
      <v>85.2</v>
    </oc>
    <nc r="D82"/>
  </rcc>
  <rcc rId="18109" sId="14" numFmtId="34">
    <oc r="C89">
      <v>10</v>
    </oc>
    <nc r="C89">
      <v>30</v>
    </nc>
  </rcc>
  <rcc rId="18110" sId="14" numFmtId="34">
    <oc r="D89">
      <v>2.25</v>
    </oc>
    <nc r="D89"/>
  </rcc>
  <rfmt sheetId="14" sqref="D98">
    <dxf>
      <numFmt numFmtId="186" formatCode="#,##0.0000"/>
    </dxf>
  </rfmt>
  <rfmt sheetId="14" sqref="D98">
    <dxf>
      <numFmt numFmtId="187" formatCode="#,##0.000"/>
    </dxf>
  </rfmt>
  <rfmt sheetId="14" sqref="D98">
    <dxf>
      <numFmt numFmtId="4" formatCode="#,##0.00"/>
    </dxf>
  </rfmt>
  <rfmt sheetId="14" sqref="D98">
    <dxf>
      <numFmt numFmtId="167" formatCode="#,##0.0"/>
    </dxf>
  </rfmt>
  <rcc rId="18111" sId="15">
    <oc r="A1" t="inlineStr">
      <is>
        <t xml:space="preserve">                     Анализ исполнения бюджета Шатьмапосинского сельского поселения на 01.02.2020 г.</t>
      </is>
    </oc>
    <nc r="A1" t="inlineStr">
      <is>
        <t xml:space="preserve">                     Анализ исполнения бюджета Шатьмапосинского сельского поселения на 01.02.2021 г.</t>
      </is>
    </nc>
  </rcc>
  <rcc rId="18112" sId="15" numFmtId="4">
    <oc r="C6">
      <v>44.3</v>
    </oc>
    <nc r="C6">
      <v>59.1</v>
    </nc>
  </rcc>
  <rcc rId="18113" sId="15" numFmtId="4">
    <oc r="D6">
      <v>0.94494</v>
    </oc>
    <nc r="D6">
      <v>0.77736000000000005</v>
    </nc>
  </rcc>
  <rcc rId="18114" sId="15" numFmtId="4">
    <oc r="C8">
      <v>140.30000000000001</v>
    </oc>
    <nc r="C8">
      <v>136.51</v>
    </nc>
  </rcc>
  <rcc rId="18115" sId="15" numFmtId="4">
    <oc r="D8">
      <v>14.24047</v>
    </oc>
    <nc r="D8">
      <v>14.192299999999999</v>
    </nc>
  </rcc>
  <rcc rId="18116" sId="15" numFmtId="4">
    <oc r="C9">
      <v>1.5</v>
    </oc>
    <nc r="C9">
      <v>1.46</v>
    </nc>
  </rcc>
  <rcc rId="18117" sId="15" numFmtId="4">
    <oc r="D9">
      <v>9.6890000000000004E-2</v>
    </oc>
    <nc r="D9">
      <v>8.3650000000000002E-2</v>
    </nc>
  </rcc>
  <rcc rId="18118" sId="15" numFmtId="4">
    <oc r="C10">
      <v>234.33</v>
    </oc>
    <nc r="C10">
      <v>228</v>
    </nc>
  </rcc>
  <rcc rId="18119" sId="15" numFmtId="4">
    <oc r="D10">
      <v>19.540109999999999</v>
    </oc>
    <nc r="D10">
      <v>19.042770000000001</v>
    </nc>
  </rcc>
  <rcc rId="18120" sId="15" numFmtId="4">
    <oc r="D11">
      <v>-2.6179100000000002</v>
    </oc>
    <nc r="D11">
      <v>-2.4186299999999998</v>
    </nc>
  </rcc>
  <rcc rId="18121" sId="15" numFmtId="4">
    <oc r="C13">
      <v>50</v>
    </oc>
    <nc r="C13">
      <v>10</v>
    </nc>
  </rcc>
  <rcc rId="18122" sId="15" numFmtId="4">
    <oc r="C15">
      <v>65</v>
    </oc>
    <nc r="C15">
      <v>75</v>
    </nc>
  </rcc>
  <rcc rId="18123" sId="15" numFmtId="4">
    <oc r="D15">
      <v>3.8854000000000002</v>
    </oc>
    <nc r="D15">
      <v>1.57528</v>
    </nc>
  </rcc>
  <rcc rId="18124" sId="15" numFmtId="4">
    <oc r="C16">
      <v>274</v>
    </oc>
    <nc r="C16">
      <v>273</v>
    </nc>
  </rcc>
  <rcc rId="18125" sId="15" numFmtId="4">
    <oc r="D16">
      <v>6.5442</v>
    </oc>
    <nc r="D16">
      <v>13.35981</v>
    </nc>
  </rcc>
  <rcc rId="18126" sId="15" numFmtId="4">
    <oc r="D18">
      <v>0</v>
    </oc>
    <nc r="D18">
      <v>0.2</v>
    </nc>
  </rcc>
  <rcc rId="18127" sId="15" numFmtId="4">
    <oc r="C27">
      <v>153</v>
    </oc>
    <nc r="C27">
      <v>140</v>
    </nc>
  </rcc>
  <rcc rId="18128" sId="15" numFmtId="4">
    <oc r="D27">
      <v>49.196800000000003</v>
    </oc>
    <nc r="D27">
      <v>63.038800000000002</v>
    </nc>
  </rcc>
  <rcc rId="18129" sId="15" numFmtId="4">
    <oc r="D30">
      <v>6.2038700000000002</v>
    </oc>
    <nc r="D30"/>
  </rcc>
  <rcc rId="18130" sId="15" numFmtId="4">
    <oc r="C42">
      <v>1263.2</v>
    </oc>
    <nc r="C42">
      <v>2122.1999999999998</v>
    </nc>
  </rcc>
  <rcc rId="18131" sId="15" numFmtId="4">
    <oc r="D42">
      <v>105.265</v>
    </oc>
    <nc r="D42">
      <v>176.851</v>
    </nc>
  </rcc>
  <rcc rId="18132" sId="15" numFmtId="4">
    <oc r="C43">
      <v>300</v>
    </oc>
    <nc r="C43"/>
  </rcc>
  <rcc rId="18133" sId="15" numFmtId="4">
    <oc r="C44">
      <v>1078.827</v>
    </oc>
    <nc r="C44">
      <v>484.34</v>
    </nc>
  </rcc>
  <rcc rId="18134" sId="15" numFmtId="4">
    <oc r="C45">
      <v>93.784999999999997</v>
    </oc>
    <nc r="C45">
      <v>107.643</v>
    </nc>
  </rcc>
  <rcc rId="18135" sId="15" numFmtId="4">
    <oc r="D45">
      <v>7.4667000000000003</v>
    </oc>
    <nc r="D45">
      <v>8.6166</v>
    </nc>
  </rcc>
  <rcc rId="18136" sId="15" numFmtId="4">
    <nc r="C46">
      <v>113.346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7867" sId="12" numFmtId="34">
    <oc r="C58">
      <v>1145.7</v>
    </oc>
    <nc r="C58">
      <v>1205.7</v>
    </nc>
  </rcc>
  <rcc rId="17868" sId="12" numFmtId="34">
    <oc r="D58">
      <v>25.763010000000001</v>
    </oc>
    <nc r="D58">
      <v>25.2</v>
    </nc>
  </rcc>
  <rcc rId="17869" sId="12" numFmtId="34">
    <oc r="C61">
      <v>28</v>
    </oc>
    <nc r="C61"/>
  </rcc>
  <rcc rId="17870" sId="12" numFmtId="34">
    <oc r="C62">
      <v>5</v>
    </oc>
    <nc r="C62">
      <v>100</v>
    </nc>
  </rcc>
  <rcc rId="17871" sId="12" numFmtId="34">
    <oc r="C63">
      <v>3.3170000000000002</v>
    </oc>
    <nc r="C63">
      <v>3.2610000000000001</v>
    </nc>
  </rcc>
  <rcc rId="17872" sId="12" numFmtId="34">
    <oc r="C65">
      <v>179.208</v>
    </oc>
    <nc r="C65">
      <v>206.76599999999999</v>
    </nc>
  </rcc>
  <rcc rId="17873" sId="12" numFmtId="34">
    <oc r="C69">
      <v>2</v>
    </oc>
    <nc r="C69">
      <v>3</v>
    </nc>
  </rcc>
  <rcc rId="17874" sId="12" numFmtId="34">
    <oc r="C70">
      <v>2</v>
    </oc>
    <nc r="C70">
      <v>10</v>
    </nc>
  </rcc>
  <rcc rId="17875" sId="12" numFmtId="34">
    <oc r="C73">
      <v>7.1580000000000004</v>
    </oc>
    <nc r="C73">
      <v>4.26</v>
    </nc>
  </rcc>
  <rcc rId="17876" sId="12" numFmtId="34">
    <oc r="C76">
      <v>2342.7109999999998</v>
    </oc>
    <nc r="C76">
      <v>2270.87</v>
    </nc>
  </rcc>
  <rcc rId="17877" sId="12" numFmtId="34">
    <oc r="C77">
      <v>30</v>
    </oc>
    <nc r="C77">
      <v>230</v>
    </nc>
  </rcc>
  <rcc rId="17878" sId="12" numFmtId="34">
    <nc r="C80">
      <v>357.35700000000003</v>
    </nc>
  </rcc>
  <rcc rId="17879" sId="12" numFmtId="34">
    <nc r="D80">
      <v>2.8155800000000002</v>
    </nc>
  </rcc>
  <rcc rId="17880" sId="12" numFmtId="34">
    <oc r="C81">
      <v>267.90499999999997</v>
    </oc>
    <nc r="C81">
      <v>309.73200000000003</v>
    </nc>
  </rcc>
  <rcc rId="17881" sId="12" numFmtId="34">
    <oc r="D81">
      <v>0</v>
    </oc>
    <nc r="D81">
      <v>1.45478</v>
    </nc>
  </rcc>
  <rcc rId="17882" sId="12" numFmtId="34">
    <oc r="C83">
      <v>1150.0999999999999</v>
    </oc>
    <nc r="C83">
      <v>1328.1</v>
    </nc>
  </rcc>
  <rcc rId="17883" sId="12" numFmtId="34">
    <oc r="D83">
      <v>92.424999999999997</v>
    </oc>
    <nc r="D83"/>
  </rcc>
  <rcc rId="17884" sId="12" numFmtId="34">
    <oc r="C97">
      <v>2</v>
    </oc>
    <nc r="C97">
      <v>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813" sId="12">
    <oc r="A1" t="inlineStr">
      <is>
        <t xml:space="preserve">                     Анализ исполнения бюджета Тораевского сельского поселения на 01.02.2020 г.</t>
      </is>
    </oc>
    <nc r="A1" t="inlineStr">
      <is>
        <t xml:space="preserve">                     Анализ исполнения бюджета Тораевского сельского поселения на 01.02.2021 г.</t>
      </is>
    </nc>
  </rcc>
  <rcc rId="17814" sId="12" numFmtId="4">
    <oc r="C6">
      <v>117.6</v>
    </oc>
    <nc r="C6">
      <v>112.95</v>
    </nc>
  </rcc>
  <rcc rId="17815" sId="12" numFmtId="4">
    <oc r="D6">
      <v>5.21997</v>
    </oc>
    <nc r="D6">
      <v>5.1153199999999996</v>
    </nc>
  </rcc>
  <rcc rId="17816" sId="12" numFmtId="4">
    <oc r="C8">
      <v>315.67</v>
    </oc>
    <nc r="C8">
      <v>305.3</v>
    </nc>
  </rcc>
  <rcc rId="17817" sId="12" numFmtId="4">
    <oc r="D8">
      <v>32.041069999999998</v>
    </oc>
    <nc r="D8">
      <v>31.7409</v>
    </nc>
  </rcc>
  <rcc rId="17818" sId="12" numFmtId="4">
    <oc r="C9">
      <v>3.39</v>
    </oc>
    <nc r="C9">
      <v>3.27</v>
    </nc>
  </rcc>
  <rcc rId="17819" sId="12" numFmtId="4">
    <oc r="D9">
      <v>0.218</v>
    </oc>
    <nc r="D9">
      <v>0.18711</v>
    </nc>
  </rcc>
  <rcc rId="17820" sId="12" numFmtId="4">
    <oc r="C10">
      <v>527.24</v>
    </oc>
    <nc r="C10">
      <v>509.92</v>
    </nc>
  </rcc>
  <rcc rId="17821" sId="12" numFmtId="4">
    <oc r="D10">
      <v>43.965269999999997</v>
    </oc>
    <nc r="D10">
      <v>42.58887</v>
    </nc>
  </rcc>
  <rcc rId="17822" sId="12" numFmtId="4">
    <oc r="D11">
      <v>-5.8903100000000004</v>
    </oc>
    <nc r="D11">
      <v>-5.4092399999999996</v>
    </nc>
  </rcc>
  <rcc rId="17823" sId="12" numFmtId="4">
    <oc r="C13">
      <v>30</v>
    </oc>
    <nc r="C13">
      <v>35</v>
    </nc>
  </rcc>
  <rcc rId="17824" sId="12" numFmtId="4">
    <oc r="C15">
      <v>250</v>
    </oc>
    <nc r="C15">
      <v>160</v>
    </nc>
  </rcc>
  <rcc rId="17825" sId="12" numFmtId="4">
    <oc r="D15">
      <v>1.7590000000000001E-2</v>
    </oc>
    <nc r="D15">
      <v>1.16072</v>
    </nc>
  </rcc>
  <rcc rId="17826" sId="12" numFmtId="4">
    <oc r="C16">
      <v>388</v>
    </oc>
    <nc r="C16">
      <v>382</v>
    </nc>
  </rcc>
  <rcc rId="17827" sId="12" numFmtId="4">
    <oc r="D16">
      <v>2.5541900000000002</v>
    </oc>
    <nc r="D16">
      <v>11.48602</v>
    </nc>
  </rcc>
  <rcc rId="17828" sId="12" numFmtId="4">
    <oc r="D18">
      <v>0.2</v>
    </oc>
    <nc r="D18">
      <v>0.3</v>
    </nc>
  </rcc>
  <rcc rId="17829" sId="12" numFmtId="4">
    <oc r="C27">
      <v>592.1</v>
    </oc>
    <nc r="C27">
      <v>450</v>
    </nc>
  </rcc>
  <rcc rId="17830" sId="12" numFmtId="4">
    <oc r="D27">
      <v>117.92</v>
    </oc>
    <nc r="D27">
      <v>99.207800000000006</v>
    </nc>
  </rcc>
  <rcc rId="17831" sId="12" numFmtId="4">
    <oc r="C42">
      <v>1079.5</v>
    </oc>
    <nc r="C42">
      <v>2494.1999999999998</v>
    </nc>
  </rcc>
  <rcc rId="17832" sId="12" numFmtId="4">
    <oc r="D42">
      <v>89.956999999999994</v>
    </oc>
    <nc r="D42">
      <v>207.851</v>
    </nc>
  </rcc>
  <rcc rId="17833" sId="12" numFmtId="4">
    <oc r="C43">
      <v>100</v>
    </oc>
    <nc r="C43"/>
  </rcc>
  <rcc rId="17834" sId="12" numFmtId="4">
    <oc r="C44">
      <v>1350.4110000000001</v>
    </oc>
    <nc r="C44">
      <v>1227.3800000000001</v>
    </nc>
  </rcc>
  <rcc rId="17835" sId="12" numFmtId="4">
    <oc r="C45">
      <v>182.18799999999999</v>
    </oc>
    <nc r="C45">
      <v>211.02600000000001</v>
    </nc>
  </rcc>
  <rcc rId="17836" sId="12" numFmtId="4">
    <oc r="D45">
      <v>14.933299999999999</v>
    </oc>
    <nc r="D45">
      <v>17.2334</v>
    </nc>
  </rcc>
  <rcc rId="17837" sId="12" numFmtId="4">
    <nc r="C46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743" sId="11" numFmtId="4">
    <oc r="C6">
      <v>137.6</v>
    </oc>
    <nc r="C6">
      <v>127.65</v>
    </nc>
  </rcc>
  <rcc rId="17744" sId="11" numFmtId="4">
    <oc r="D6">
      <v>7.2460800000000001</v>
    </oc>
    <nc r="D6">
      <v>1.8184199999999999</v>
    </nc>
  </rcc>
  <rcc rId="17745" sId="11" numFmtId="4">
    <oc r="C8">
      <v>227.51</v>
    </oc>
    <nc r="C8">
      <v>220.44</v>
    </nc>
  </rcc>
  <rcc rId="17746" sId="11" numFmtId="4">
    <oc r="D8">
      <v>23.092639999999999</v>
    </oc>
    <nc r="D8">
      <v>22.91864</v>
    </nc>
  </rcc>
  <rcc rId="17747" sId="11" numFmtId="4">
    <oc r="C9">
      <v>2.44</v>
    </oc>
    <nc r="C9">
      <v>2.36</v>
    </nc>
  </rcc>
  <rcc rId="17748" sId="11" numFmtId="4">
    <oc r="D9">
      <v>0.15712999999999999</v>
    </oc>
    <nc r="D9">
      <v>0.13508999999999999</v>
    </nc>
  </rcc>
  <rcc rId="17749" sId="11" numFmtId="4">
    <oc r="C10">
      <v>379.99</v>
    </oc>
    <nc r="C10">
      <v>368.2</v>
    </nc>
  </rcc>
  <rcc rId="17750" sId="11" numFmtId="4">
    <oc r="D10">
      <v>31.686679999999999</v>
    </oc>
    <nc r="D10">
      <v>30.751480000000001</v>
    </nc>
  </rcc>
  <rcc rId="17751" sId="11" numFmtId="4">
    <oc r="D11">
      <v>-4.2452399999999999</v>
    </oc>
    <nc r="D11">
      <v>-3.9057300000000001</v>
    </nc>
  </rcc>
  <rcc rId="17752" sId="11" numFmtId="4">
    <oc r="C13">
      <v>50</v>
    </oc>
    <nc r="C13">
      <v>90</v>
    </nc>
  </rcc>
  <rcc rId="17753" sId="11" numFmtId="4">
    <oc r="D13">
      <v>0</v>
    </oc>
    <nc r="D13">
      <v>17.828099999999999</v>
    </nc>
  </rcc>
  <rcc rId="17754" sId="11" numFmtId="4">
    <oc r="C15">
      <v>150</v>
    </oc>
    <nc r="C15">
      <v>180</v>
    </nc>
  </rcc>
  <rcc rId="17755" sId="11" numFmtId="4">
    <oc r="D15">
      <v>1.8404700000000001</v>
    </oc>
    <nc r="D15">
      <v>2.3117899999999998</v>
    </nc>
  </rcc>
  <rcc rId="17756" sId="11" numFmtId="4">
    <oc r="C16">
      <v>905</v>
    </oc>
    <nc r="C16">
      <v>919</v>
    </nc>
  </rcc>
  <rcc rId="17757" sId="11" numFmtId="4">
    <oc r="D16">
      <v>14.608919999999999</v>
    </oc>
    <nc r="D16">
      <v>17.7973</v>
    </nc>
  </rcc>
  <rcc rId="17758" sId="11" numFmtId="4">
    <oc r="D18">
      <v>0</v>
    </oc>
    <nc r="D18">
      <v>0.2</v>
    </nc>
  </rcc>
  <rcc rId="17759" sId="11" numFmtId="4">
    <oc r="C27">
      <v>146.69999999999999</v>
    </oc>
    <nc r="C27">
      <v>242.8</v>
    </nc>
  </rcc>
  <rcc rId="17760" sId="11" numFmtId="4">
    <oc r="C41">
      <v>3036.7</v>
    </oc>
    <nc r="C41">
      <v>4637.7</v>
    </nc>
  </rcc>
  <rcc rId="17761" sId="11" numFmtId="4">
    <oc r="D41">
      <v>253.054</v>
    </oc>
    <nc r="D41">
      <v>386.47800000000001</v>
    </nc>
  </rcc>
  <rcc rId="17762" sId="11" numFmtId="4">
    <oc r="C43">
      <v>1072.838</v>
    </oc>
    <nc r="C43">
      <v>827.25</v>
    </nc>
  </rcc>
  <rcc rId="17763" sId="11" numFmtId="4">
    <oc r="C44">
      <v>182.18799999999999</v>
    </oc>
    <nc r="C44">
      <v>211.02699999999999</v>
    </nc>
  </rcc>
  <rcc rId="17764" sId="11" numFmtId="4">
    <oc r="D44">
      <v>14.933299999999999</v>
    </oc>
    <nc r="D44">
      <v>17.2334</v>
    </nc>
  </rcc>
  <rcc rId="17765" sId="11" numFmtId="4">
    <nc r="C48">
      <v>75</v>
    </nc>
  </rcc>
  <rcc rId="17766" sId="11" numFmtId="34">
    <oc r="C58">
      <v>1396.2</v>
    </oc>
    <nc r="C58">
      <v>1506.5</v>
    </nc>
  </rcc>
  <rcc rId="17767" sId="11" numFmtId="34">
    <oc r="D58">
      <v>20.3</v>
    </oc>
    <nc r="D58">
      <v>69.527320000000003</v>
    </nc>
  </rcc>
  <rcc rId="17768" sId="11" numFmtId="34">
    <oc r="C61">
      <v>42</v>
    </oc>
    <nc r="C61"/>
  </rcc>
  <rcc rId="17769" sId="11" numFmtId="34">
    <oc r="C62">
      <v>5</v>
    </oc>
    <nc r="C62">
      <v>100</v>
    </nc>
  </rcc>
  <rcc rId="17770" sId="11" numFmtId="34">
    <oc r="C63">
      <v>4.4509999999999996</v>
    </oc>
    <nc r="C63">
      <v>39.387</v>
    </nc>
  </rcc>
  <rcc rId="17771" sId="11" numFmtId="34">
    <oc r="C65">
      <v>179.208</v>
    </oc>
    <nc r="C65">
      <v>206.767</v>
    </nc>
  </rcc>
  <rcc rId="17772" sId="11" numFmtId="34">
    <oc r="C69">
      <v>2</v>
    </oc>
    <nc r="C69">
      <v>3</v>
    </nc>
  </rcc>
  <rcc rId="17773" sId="11" numFmtId="34">
    <oc r="C70">
      <v>2</v>
    </oc>
    <nc r="C70">
      <v>110</v>
    </nc>
  </rcc>
  <rcc rId="17774" sId="11" numFmtId="34">
    <oc r="C73">
      <v>7.1580000000000004</v>
    </oc>
    <nc r="C73">
      <v>4.26</v>
    </nc>
  </rcc>
  <rcc rId="17775" sId="11" numFmtId="34">
    <oc r="C74">
      <v>50</v>
    </oc>
    <nc r="C74"/>
  </rcc>
  <rcc rId="17776" sId="11" numFmtId="34">
    <oc r="D74">
      <v>47.1</v>
    </oc>
    <nc r="D74"/>
  </rcc>
  <rcc rId="17777" sId="11" numFmtId="34">
    <oc r="C75">
      <v>1787.778</v>
    </oc>
    <nc r="C75">
      <v>1661.05</v>
    </nc>
  </rcc>
  <rcc rId="17778" sId="11" numFmtId="34">
    <oc r="C76">
      <v>139.571</v>
    </oc>
    <nc r="C76">
      <v>300</v>
    </nc>
  </rcc>
  <rcc rId="17779" sId="11" numFmtId="34">
    <oc r="C79">
      <v>0</v>
    </oc>
    <nc r="C79">
      <v>200</v>
    </nc>
  </rcc>
  <rcc rId="17780" sId="11" numFmtId="34">
    <oc r="C80">
      <v>653</v>
    </oc>
    <nc r="C80">
      <v>1128.5899999999999</v>
    </nc>
  </rcc>
  <rcc rId="17781" sId="11" numFmtId="34">
    <oc r="C82">
      <v>2134.3000000000002</v>
    </oc>
    <nc r="C82">
      <v>2600.5729999999999</v>
    </nc>
  </rcc>
  <rcc rId="17782" sId="11" numFmtId="34">
    <oc r="D82">
      <v>158.78299999999999</v>
    </oc>
    <nc r="D82"/>
  </rcc>
  <rcc rId="17783" sId="11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7914" sId="13">
    <oc r="A1" t="inlineStr">
      <is>
        <t xml:space="preserve">                     Анализ исполнения бюджета Хорнойского сельского поселения на 01.02.2020 г.</t>
      </is>
    </oc>
    <nc r="A1" t="inlineStr">
      <is>
        <t xml:space="preserve">                     Анализ исполнения бюджета Хорнойского сельского поселения на 01.02.2021 г.</t>
      </is>
    </nc>
  </rcc>
  <rcc rId="17915" sId="13" numFmtId="4">
    <oc r="C6">
      <v>74.3</v>
    </oc>
    <nc r="C6">
      <v>55.5</v>
    </nc>
  </rcc>
  <rcc rId="17916" sId="13" numFmtId="4">
    <oc r="D6">
      <v>0.33015</v>
    </oc>
    <nc r="D6">
      <v>10.00691</v>
    </nc>
  </rcc>
  <rcc rId="17917" sId="13" numFmtId="4">
    <oc r="C8">
      <v>144.09</v>
    </oc>
    <nc r="C8">
      <v>140.19999999999999</v>
    </nc>
  </rcc>
  <rcc rId="17918" sId="13" numFmtId="4">
    <oc r="D8">
      <v>14.62534</v>
    </oc>
    <nc r="D8">
      <v>14.57587</v>
    </nc>
  </rcc>
  <rcc rId="17919" sId="13" numFmtId="4">
    <oc r="C9">
      <v>1.55</v>
    </oc>
    <nc r="C9">
      <v>1.5</v>
    </nc>
  </rcc>
  <rcc rId="17920" sId="13" numFmtId="4">
    <oc r="D9">
      <v>9.9510000000000001E-2</v>
    </oc>
    <nc r="D9">
      <v>8.591E-2</v>
    </nc>
  </rcc>
  <rcc rId="17921" sId="13" numFmtId="4">
    <oc r="C10">
      <v>240.66</v>
    </oc>
    <nc r="C10">
      <v>234.16</v>
    </nc>
  </rcc>
  <rcc rId="17922" sId="13" numFmtId="4">
    <oc r="D10">
      <v>20.06823</v>
    </oc>
    <nc r="D10">
      <v>19.55742</v>
    </nc>
  </rcc>
  <rcc rId="17923" sId="13" numFmtId="4">
    <oc r="D11">
      <v>-2.6886399999999999</v>
    </oc>
    <nc r="D11">
      <v>-2.4839799999999999</v>
    </nc>
  </rcc>
  <rcc rId="17924" sId="13" numFmtId="4">
    <oc r="C13">
      <v>5</v>
    </oc>
    <nc r="C13">
      <v>10</v>
    </nc>
  </rcc>
  <rcc rId="17925" sId="13" numFmtId="4">
    <oc r="C15">
      <v>190</v>
    </oc>
    <nc r="C15">
      <v>230</v>
    </nc>
  </rcc>
  <rcc rId="17926" sId="13" numFmtId="4">
    <oc r="D15">
      <v>0.17971999999999999</v>
    </oc>
    <nc r="D15">
      <v>0.17846000000000001</v>
    </nc>
  </rcc>
  <rcc rId="17927" sId="13" numFmtId="4">
    <oc r="C16">
      <v>380</v>
    </oc>
    <nc r="C16">
      <v>390</v>
    </nc>
  </rcc>
  <rcc rId="17928" sId="13" numFmtId="4">
    <oc r="D16">
      <v>9.0491100000000007</v>
    </oc>
    <nc r="D16">
      <v>5.7888700000000002</v>
    </nc>
  </rcc>
  <rcc rId="17929" sId="13" numFmtId="4">
    <oc r="D18">
      <v>0.75</v>
    </oc>
    <nc r="D18">
      <v>0.4</v>
    </nc>
  </rcc>
  <rcc rId="17930" sId="13" numFmtId="4">
    <oc r="C27">
      <v>77</v>
    </oc>
    <nc r="C27">
      <v>51.5</v>
    </nc>
  </rcc>
  <rcc rId="17931" sId="13" numFmtId="4">
    <oc r="D27">
      <v>0</v>
    </oc>
    <nc r="D27">
      <v>2.2000000000000002</v>
    </nc>
  </rcc>
  <rcc rId="17932" sId="13" numFmtId="4">
    <oc r="C39">
      <v>1358.5</v>
    </oc>
    <nc r="C39">
      <v>2155.1</v>
    </nc>
  </rcc>
  <rcc rId="17933" sId="13" numFmtId="4">
    <oc r="D39">
      <v>113.206</v>
    </oc>
    <nc r="D39">
      <v>179.59299999999999</v>
    </nc>
  </rcc>
  <rcc rId="17934" sId="13" numFmtId="4">
    <oc r="C41">
      <v>466</v>
    </oc>
    <nc r="C41"/>
  </rcc>
  <rcc rId="17935" sId="13" numFmtId="4">
    <oc r="C42">
      <v>499.47</v>
    </oc>
    <nc r="C42">
      <v>532.69000000000005</v>
    </nc>
  </rcc>
  <rcc rId="17936" sId="13" numFmtId="4">
    <oc r="C43">
      <v>92.584999999999994</v>
    </oc>
    <nc r="C43">
      <v>107.643</v>
    </nc>
  </rcc>
  <rcc rId="17937" sId="13" numFmtId="4">
    <oc r="D43">
      <v>7.4668000000000001</v>
    </oc>
    <nc r="D43">
      <v>8.6166</v>
    </nc>
  </rcc>
  <rcc rId="17938" sId="13" numFmtId="4">
    <nc r="C44">
      <v>81.828000000000003</v>
    </nc>
  </rcc>
  <rcc rId="17939" sId="13" numFmtId="4">
    <nc r="D45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8398" sId="17" numFmtId="34">
    <oc r="C58">
      <v>1339.662</v>
    </oc>
    <nc r="C58">
      <v>1462.068</v>
    </nc>
  </rcc>
  <rcc rId="18399" sId="17" numFmtId="34">
    <oc r="D58">
      <v>31.869700000000002</v>
    </oc>
    <nc r="D58">
      <v>30</v>
    </nc>
  </rcc>
  <rcc rId="18400" sId="17" numFmtId="34">
    <oc r="C61">
      <v>34</v>
    </oc>
    <nc r="C61"/>
  </rcc>
  <rcc rId="18401" sId="17" numFmtId="34">
    <oc r="C62">
      <v>5</v>
    </oc>
    <nc r="C62">
      <v>100</v>
    </nc>
  </rcc>
  <rcc rId="18402" sId="17" numFmtId="34">
    <oc r="C63">
      <v>4.2</v>
    </oc>
    <nc r="C63">
      <v>4.1310000000000002</v>
    </nc>
  </rcc>
  <rcc rId="18403" sId="17" numFmtId="34">
    <oc r="C65">
      <v>179.208</v>
    </oc>
    <nc r="C65">
      <v>206.767</v>
    </nc>
  </rcc>
  <rcc rId="18404" sId="17" numFmtId="34">
    <oc r="C69">
      <v>2</v>
    </oc>
    <nc r="C69">
      <v>3</v>
    </nc>
  </rcc>
  <rcc rId="18405" sId="17" numFmtId="34">
    <oc r="C70">
      <v>8</v>
    </oc>
    <nc r="C70">
      <v>10</v>
    </nc>
  </rcc>
  <rcc rId="18406" sId="17" numFmtId="34">
    <oc r="D70">
      <v>1.5</v>
    </oc>
    <nc r="D70"/>
  </rcc>
  <rcc rId="18407" sId="17" numFmtId="34">
    <oc r="C73">
      <v>10.021000000000001</v>
    </oc>
    <nc r="C73">
      <v>4.26</v>
    </nc>
  </rcc>
  <rcc rId="18408" sId="17" numFmtId="34">
    <oc r="C74">
      <v>100</v>
    </oc>
    <nc r="C74"/>
  </rcc>
  <rcc rId="18409" sId="17" numFmtId="34">
    <oc r="C75">
      <v>1388.54</v>
    </oc>
    <nc r="C75">
      <v>1308.8599999999999</v>
    </nc>
  </rcc>
  <rcc rId="18410" sId="17" numFmtId="34">
    <oc r="C76">
      <v>0</v>
    </oc>
    <nc r="C76">
      <v>100</v>
    </nc>
  </rcc>
  <rcc rId="18411" sId="17" numFmtId="34">
    <nc r="C78">
      <v>2358.2730000000001</v>
    </nc>
  </rcc>
  <rcc rId="18412" sId="17" numFmtId="34">
    <nc r="C79">
      <v>750</v>
    </nc>
  </rcc>
  <rcc rId="18413" sId="17" numFmtId="34">
    <oc r="C80">
      <v>464.697</v>
    </oc>
    <nc r="C80">
      <v>873.50099999999998</v>
    </nc>
  </rcc>
  <rcc rId="18414" sId="17" numFmtId="34">
    <oc r="C82">
      <v>2102</v>
    </oc>
    <nc r="C82">
      <v>2467.6</v>
    </nc>
  </rcc>
  <rcc rId="18415" sId="17" numFmtId="34">
    <oc r="D82">
      <v>113.18692</v>
    </oc>
    <nc r="D82"/>
  </rcc>
  <rcc rId="18416" sId="17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8856" sId="2" numFmtId="4">
    <oc r="F32">
      <v>40911</v>
    </oc>
    <nc r="F32">
      <v>41735.339999999997</v>
    </nc>
  </rcc>
  <rcc rId="18857" sId="2" numFmtId="4">
    <oc r="G32">
      <v>1951.83959</v>
    </oc>
    <nc r="G32">
      <v>1903.13077</v>
    </nc>
  </rcc>
  <rcc rId="18858" sId="2" numFmtId="4">
    <oc r="I32">
      <v>5728.5</v>
    </oc>
    <nc r="I32">
      <v>5950.44</v>
    </nc>
  </rcc>
  <rcc rId="18859" sId="2" numFmtId="4">
    <oc r="J32">
      <v>318.45472999999998</v>
    </oc>
    <nc r="J32">
      <v>360.32661000000002</v>
    </nc>
  </rcc>
  <rcc rId="18860" sId="2" numFmtId="4">
    <oc r="L32">
      <v>3471.43</v>
    </oc>
    <nc r="L32">
      <v>3364.74</v>
    </nc>
  </rcc>
  <rcc rId="18861" sId="2" numFmtId="4">
    <oc r="M32">
      <v>352.35536000000002</v>
    </oc>
    <nc r="M32">
      <v>349.82114999999999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8547" sId="19" numFmtId="4">
    <oc r="C6">
      <v>111</v>
    </oc>
    <nc r="C6">
      <v>117.6</v>
    </nc>
  </rcc>
  <rcc rId="18548" sId="19" numFmtId="4">
    <oc r="D6">
      <v>5.0952900000000003</v>
    </oc>
    <nc r="D6">
      <v>1.98201</v>
    </nc>
  </rcc>
  <rcc rId="18549" sId="19" numFmtId="4">
    <oc r="C8">
      <v>183.91</v>
    </oc>
    <nc r="C8">
      <v>178.01</v>
    </nc>
  </rcc>
  <rcc rId="18550" sId="19" numFmtId="4">
    <oc r="D8">
      <v>18.66656</v>
    </oc>
    <nc r="D8">
      <v>18.507539999999999</v>
    </nc>
  </rcc>
  <rcc rId="18551" sId="19" numFmtId="4">
    <oc r="C9">
      <v>1.97</v>
    </oc>
    <nc r="C9">
      <v>1.91</v>
    </nc>
  </rcc>
  <rcc rId="18552" sId="19" numFmtId="4">
    <oc r="D9">
      <v>0.12701999999999999</v>
    </oc>
    <nc r="D9">
      <v>0.1091</v>
    </nc>
  </rcc>
  <rcc rId="18553" sId="19" numFmtId="4">
    <oc r="C10">
      <v>307.16000000000003</v>
    </oc>
    <nc r="C10">
      <v>297.33</v>
    </nc>
  </rcc>
  <rcc rId="18554" sId="19" numFmtId="4">
    <oc r="D10">
      <v>25.613409999999998</v>
    </oc>
    <nc r="D10">
      <v>24.83278</v>
    </nc>
  </rcc>
  <rcc rId="18555" sId="19" numFmtId="4">
    <oc r="D11">
      <v>-3.4316</v>
    </oc>
    <nc r="D11">
      <v>-3.1540300000000001</v>
    </nc>
  </rcc>
  <rcc rId="18556" sId="19" numFmtId="4">
    <oc r="C13">
      <v>5</v>
    </oc>
    <nc r="C13">
      <v>10</v>
    </nc>
  </rcc>
  <rcc rId="18557" sId="19" numFmtId="4">
    <oc r="C15">
      <v>470</v>
    </oc>
    <nc r="C15">
      <v>380</v>
    </nc>
  </rcc>
  <rcc rId="18558" sId="19" numFmtId="4">
    <oc r="D15">
      <v>0.40275</v>
    </oc>
    <nc r="D15">
      <v>1.6005499999999999</v>
    </nc>
  </rcc>
  <rcc rId="18559" sId="19" numFmtId="4">
    <oc r="C16">
      <v>914</v>
    </oc>
    <nc r="C16">
      <v>920</v>
    </nc>
  </rcc>
  <rcc rId="18560" sId="19" numFmtId="4">
    <oc r="D16">
      <v>16.76437</v>
    </oc>
    <nc r="D16">
      <v>24.69276</v>
    </nc>
  </rcc>
  <rcc rId="18561" sId="19" numFmtId="4">
    <oc r="D18">
      <v>1</v>
    </oc>
    <nc r="D18"/>
  </rcc>
  <rcc rId="18562" sId="19" numFmtId="4">
    <oc r="C27">
      <v>230.6</v>
    </oc>
    <nc r="C27">
      <v>400</v>
    </nc>
  </rcc>
  <rcc rId="18563" sId="19" numFmtId="4">
    <oc r="D27">
      <v>12.44459</v>
    </oc>
    <nc r="D27">
      <v>22.946000000000002</v>
    </nc>
  </rcc>
  <rcc rId="18564" sId="19" numFmtId="4">
    <oc r="C39">
      <v>730.1</v>
    </oc>
    <nc r="C39">
      <v>1658.6</v>
    </nc>
  </rcc>
  <rcc rId="18565" sId="19" numFmtId="4">
    <oc r="D39">
      <v>60.841000000000001</v>
    </oc>
    <nc r="D39">
      <v>138.21799999999999</v>
    </nc>
  </rcc>
  <rcc rId="18566" sId="19" numFmtId="4">
    <oc r="C40">
      <v>1220</v>
    </oc>
    <nc r="C40"/>
  </rcc>
  <rcc rId="18567" sId="19" numFmtId="4">
    <oc r="C41">
      <v>1145.971</v>
    </oc>
    <nc r="C41">
      <v>637.37</v>
    </nc>
  </rcc>
  <rcc rId="18568" sId="19" numFmtId="4">
    <oc r="C42">
      <v>95.573999999999998</v>
    </oc>
    <nc r="C42">
      <v>107.643</v>
    </nc>
  </rcc>
  <rcc rId="18569" sId="19" numFmtId="4">
    <oc r="D42">
      <v>7.4667000000000003</v>
    </oc>
    <nc r="D42">
      <v>8.6165000000000003</v>
    </nc>
  </rcc>
  <rcc rId="18570" sId="19" numFmtId="4">
    <oc r="C44">
      <v>0</v>
    </oc>
    <nc r="C44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8295" sId="16" numFmtId="34">
    <oc r="C57">
      <v>1474.8</v>
    </oc>
    <nc r="C57">
      <v>1476.4</v>
    </nc>
  </rcc>
  <rcc rId="18296" sId="16" numFmtId="34">
    <oc r="D57">
      <v>28.145029999999998</v>
    </oc>
    <nc r="D57">
      <v>20</v>
    </nc>
  </rcc>
  <rcc rId="18297" sId="16" numFmtId="34">
    <oc r="C60">
      <v>30</v>
    </oc>
    <nc r="C60"/>
  </rcc>
  <rcc rId="18298" sId="16" numFmtId="34">
    <oc r="C61">
      <v>5</v>
    </oc>
    <nc r="C61">
      <v>39.476999999999997</v>
    </nc>
  </rcc>
  <rcc rId="18299" sId="16" numFmtId="34">
    <oc r="C62">
      <v>3.6280000000000001</v>
    </oc>
    <nc r="C62">
      <v>3.5230000000000001</v>
    </nc>
  </rcc>
  <rcc rId="18300" sId="16" numFmtId="34">
    <oc r="C64">
      <v>89.605000000000004</v>
    </oc>
    <nc r="C64">
      <v>103.383</v>
    </nc>
  </rcc>
  <rcc rId="18301" sId="16" numFmtId="34">
    <oc r="C68">
      <v>2</v>
    </oc>
    <nc r="C68">
      <v>3</v>
    </nc>
  </rcc>
  <rcc rId="18302" sId="16" numFmtId="34">
    <oc r="C69">
      <v>18</v>
    </oc>
    <nc r="C69">
      <v>10</v>
    </nc>
  </rcc>
  <rcc rId="18303" sId="16" numFmtId="34">
    <oc r="D69">
      <v>1.5</v>
    </oc>
    <nc r="D69"/>
  </rcc>
  <rcc rId="18304" sId="16" numFmtId="34">
    <oc r="C72">
      <v>7.1580000000000004</v>
    </oc>
    <nc r="C72">
      <v>4.26</v>
    </nc>
  </rcc>
  <rcc rId="18305" sId="16" numFmtId="34">
    <oc r="C73">
      <v>170</v>
    </oc>
    <nc r="C73"/>
  </rcc>
  <rcc rId="18306" sId="16" numFmtId="34">
    <oc r="D73">
      <v>35</v>
    </oc>
    <nc r="D73"/>
  </rcc>
  <rcc rId="18307" sId="16" numFmtId="34">
    <oc r="C74">
      <v>1471.38</v>
    </oc>
    <nc r="C74">
      <v>1859.49</v>
    </nc>
  </rcc>
  <rcc rId="18308" sId="16" numFmtId="34">
    <oc r="D74">
      <v>14.851000000000001</v>
    </oc>
    <nc r="D74"/>
  </rcc>
  <rcc rId="18309" sId="16" numFmtId="34">
    <oc r="C75">
      <v>60</v>
    </oc>
    <nc r="C75">
      <v>121</v>
    </nc>
  </rcc>
  <rcc rId="18310" sId="16" numFmtId="34">
    <oc r="D75">
      <v>8.9</v>
    </oc>
    <nc r="D75"/>
  </rcc>
  <rcc rId="18311" sId="16" numFmtId="34">
    <oc r="C78">
      <v>0</v>
    </oc>
    <nc r="C78">
      <v>720</v>
    </nc>
  </rcc>
  <rcc rId="18312" sId="16" numFmtId="34">
    <oc r="C79">
      <v>395.49400000000003</v>
    </oc>
    <nc r="C79">
      <v>392.6</v>
    </nc>
  </rcc>
  <rcc rId="18313" sId="16" numFmtId="34">
    <oc r="D79">
      <v>3</v>
    </oc>
    <nc r="D79"/>
  </rcc>
  <rcc rId="18314" sId="16" numFmtId="34">
    <oc r="C81">
      <v>1065.5</v>
    </oc>
    <nc r="C81">
      <v>1275.5</v>
    </nc>
  </rcc>
  <rcc rId="18315" sId="16" numFmtId="34">
    <oc r="D81">
      <v>88.26</v>
    </oc>
    <nc r="D81"/>
  </rcc>
  <rcc rId="18316" sId="16" numFmtId="34">
    <oc r="C88">
      <v>2</v>
    </oc>
    <nc r="C88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18015" sId="14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8016" sId="14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8017" sId="14">
    <oc r="C3" t="inlineStr">
      <is>
        <t>назначено на 2020 г.</t>
      </is>
    </oc>
    <nc r="C3" t="inlineStr">
      <is>
        <t>назначено на 2021 г.</t>
      </is>
    </nc>
  </rcc>
  <rcc rId="18018" sId="14">
    <oc r="D3" t="inlineStr">
      <is>
        <t>исполнен на 01.02.2020 г.</t>
      </is>
    </oc>
    <nc r="D3" t="inlineStr">
      <is>
        <t>исполнен на 01.02.2021 г.</t>
      </is>
    </nc>
  </rcc>
  <rcc rId="18019" sId="15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8020" sId="15">
    <oc r="D54" t="inlineStr">
      <is>
        <t>исполнено на 01.02.2020 г.</t>
      </is>
    </oc>
    <nc r="D54" t="inlineStr">
      <is>
        <t>исполнен на 01.02.2021 г.</t>
      </is>
    </nc>
  </rcc>
  <rcc rId="18021" sId="15">
    <oc r="C3" t="inlineStr">
      <is>
        <t>назначено на 2020 г.</t>
      </is>
    </oc>
    <nc r="C3" t="inlineStr">
      <is>
        <t>назначено на 2021 г.</t>
      </is>
    </nc>
  </rcc>
  <rcc rId="18022" sId="15">
    <oc r="D3" t="inlineStr">
      <is>
        <t>исполнен на 01.02.2020 г.</t>
      </is>
    </oc>
    <nc r="D3" t="inlineStr">
      <is>
        <t>исполнен на 01.02.2021 г.</t>
      </is>
    </nc>
  </rcc>
  <rcc rId="18023" sId="16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8024" sId="16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8025" sId="16">
    <oc r="C3" t="inlineStr">
      <is>
        <t>назначено на 2020 г.</t>
      </is>
    </oc>
    <nc r="C3" t="inlineStr">
      <is>
        <t>назначено на 2021 г.</t>
      </is>
    </nc>
  </rcc>
  <rcc rId="18026" sId="16">
    <oc r="D3" t="inlineStr">
      <is>
        <t>исполнен на 01.02.2020 г.</t>
      </is>
    </oc>
    <nc r="D3" t="inlineStr">
      <is>
        <t>исполнен на 01.02.2021 г.</t>
      </is>
    </nc>
  </rcc>
  <rcc rId="18027" sId="17">
    <oc r="C55" t="inlineStr">
      <is>
        <t>назначено на 2020 г.</t>
      </is>
    </oc>
    <nc r="C55" t="inlineStr">
      <is>
        <t>назначено на 2021 г.</t>
      </is>
    </nc>
  </rcc>
  <rcc rId="18028" sId="17">
    <oc r="D55" t="inlineStr">
      <is>
        <t>исполнено на 01.02.2020г.</t>
      </is>
    </oc>
    <nc r="D55" t="inlineStr">
      <is>
        <t>исполнен на 01.02.2021 г.</t>
      </is>
    </nc>
  </rcc>
  <rcc rId="18029" sId="17">
    <oc r="C3" t="inlineStr">
      <is>
        <t>назначено на 2020 г.</t>
      </is>
    </oc>
    <nc r="C3" t="inlineStr">
      <is>
        <t>назначено на 2021 г.</t>
      </is>
    </nc>
  </rcc>
  <rcc rId="18030" sId="17">
    <oc r="D3" t="inlineStr">
      <is>
        <t>исполнен на 01.02.2020 г.</t>
      </is>
    </oc>
    <nc r="D3" t="inlineStr">
      <is>
        <t>исполнен на 01.02.2021 г.</t>
      </is>
    </nc>
  </rcc>
  <rcc rId="18031" sId="18">
    <oc r="C55" t="inlineStr">
      <is>
        <t>назначено на 2020 г.</t>
      </is>
    </oc>
    <nc r="C55" t="inlineStr">
      <is>
        <t>назначено на 2021 г.</t>
      </is>
    </nc>
  </rcc>
  <rcc rId="18032" sId="18">
    <oc r="D55" t="inlineStr">
      <is>
        <t>исполнено на 01.02.2020 г.</t>
      </is>
    </oc>
    <nc r="D55" t="inlineStr">
      <is>
        <t>исполнен на 01.02.2021 г.</t>
      </is>
    </nc>
  </rcc>
  <rcc rId="18033" sId="18">
    <oc r="C3" t="inlineStr">
      <is>
        <t>назначено на 2020 г.</t>
      </is>
    </oc>
    <nc r="C3" t="inlineStr">
      <is>
        <t>назначено на 2021 г.</t>
      </is>
    </nc>
  </rcc>
  <rcc rId="18034" sId="18">
    <oc r="D3" t="inlineStr">
      <is>
        <t>исполнен на 01.02.2020 г.</t>
      </is>
    </oc>
    <nc r="D3" t="inlineStr">
      <is>
        <t>исполнен на 01.02.2021 г.</t>
      </is>
    </nc>
  </rcc>
  <rcc rId="18035" sId="19">
    <oc r="C51" t="inlineStr">
      <is>
        <t>назначено на 2020 г.</t>
      </is>
    </oc>
    <nc r="C51" t="inlineStr">
      <is>
        <t>назначено на 2021 г.</t>
      </is>
    </nc>
  </rcc>
  <rcc rId="18036" sId="19">
    <oc r="D51" t="inlineStr">
      <is>
        <t>исполнено на 01.02.2020 г.</t>
      </is>
    </oc>
    <nc r="D51" t="inlineStr">
      <is>
        <t>исполнен на 01.02.2021 г.</t>
      </is>
    </nc>
  </rcc>
  <rcc rId="18037" sId="19">
    <oc r="C3" t="inlineStr">
      <is>
        <t>назначено на 2020 г.</t>
      </is>
    </oc>
    <nc r="C3" t="inlineStr">
      <is>
        <t>назначено на 2021 г.</t>
      </is>
    </nc>
  </rcc>
  <rcc rId="18038" sId="19">
    <oc r="D3" t="inlineStr">
      <is>
        <t>исполнен на 01.02.2020 г.</t>
      </is>
    </oc>
    <nc r="D3" t="inlineStr">
      <is>
        <t>исполнен на 01.02.2021 г.</t>
      </is>
    </nc>
  </rcc>
  <rcc rId="18039" sId="14">
    <oc r="A1" t="inlineStr">
      <is>
        <t xml:space="preserve">                     Анализ исполнения бюджета Чуманкасинского сельского поселения на 01.02.2020 г.</t>
      </is>
    </oc>
    <nc r="A1" t="inlineStr">
      <is>
        <t xml:space="preserve">                     Анализ исполнения бюджета Чуманкасинского сельского поселения на 01.02.2021 г.</t>
      </is>
    </nc>
  </rcc>
  <rcc rId="18040" sId="14" numFmtId="4">
    <oc r="C6">
      <v>106.5</v>
    </oc>
    <nc r="C6">
      <v>102</v>
    </nc>
  </rcc>
  <rcc rId="18041" sId="14" numFmtId="4">
    <oc r="D6">
      <v>2.00969</v>
    </oc>
    <nc r="D6">
      <v>2.6382300000000001</v>
    </nc>
  </rcc>
  <rcc rId="18042" sId="14" numFmtId="4">
    <oc r="C8">
      <v>137.44999999999999</v>
    </oc>
    <nc r="C8">
      <v>132.82</v>
    </nc>
  </rcc>
  <rcc rId="18043" sId="14" numFmtId="4">
    <oc r="D8">
      <v>13.95181</v>
    </oc>
    <nc r="D8">
      <v>13.80874</v>
    </nc>
  </rcc>
  <rcc rId="18044" sId="14" numFmtId="4">
    <oc r="C9">
      <v>1.47</v>
    </oc>
    <nc r="C9">
      <v>1.42</v>
    </nc>
  </rcc>
  <rcc rId="18045" sId="14" numFmtId="4">
    <oc r="D9">
      <v>9.493E-2</v>
    </oc>
    <nc r="D9">
      <v>8.1379999999999994E-2</v>
    </nc>
  </rcc>
  <rcc rId="18046" sId="14" numFmtId="4">
    <oc r="C10">
      <v>229.58</v>
    </oc>
    <nc r="C10">
      <v>221.84</v>
    </nc>
  </rcc>
  <rcc rId="18047" sId="14" numFmtId="4">
    <oc r="D10">
      <v>19.14404</v>
    </oc>
    <nc r="D10">
      <v>18.528089999999999</v>
    </nc>
  </rcc>
  <rcc rId="18048" sId="14" numFmtId="4">
    <oc r="D11">
      <v>-2.5648599999999999</v>
    </oc>
    <nc r="D11">
      <v>-2.3532600000000001</v>
    </nc>
  </rcc>
  <rcc rId="18049" sId="14" numFmtId="4">
    <oc r="C13">
      <v>70</v>
    </oc>
    <nc r="C13">
      <v>40</v>
    </nc>
  </rcc>
  <rcc rId="18050" sId="14" numFmtId="4">
    <oc r="C15">
      <v>95</v>
    </oc>
    <nc r="C15">
      <v>91</v>
    </nc>
  </rcc>
  <rcc rId="18051" sId="14" numFmtId="4">
    <oc r="D15">
      <v>0.36249999999999999</v>
    </oc>
    <nc r="D15">
      <v>1.4034500000000001</v>
    </nc>
  </rcc>
  <rcc rId="18052" sId="14" numFmtId="4">
    <oc r="C16">
      <v>451</v>
    </oc>
    <nc r="C16">
      <v>460</v>
    </nc>
  </rcc>
  <rcc rId="18053" sId="14" numFmtId="4">
    <oc r="D16">
      <v>7.0626800000000003</v>
    </oc>
    <nc r="D16">
      <v>5.3811499999999999</v>
    </nc>
  </rcc>
  <rcc rId="18054" sId="14" numFmtId="4">
    <oc r="C27">
      <v>85.6</v>
    </oc>
    <nc r="C27">
      <v>85.7</v>
    </nc>
  </rcc>
  <rcc rId="18055" sId="14" numFmtId="4">
    <oc r="C42">
      <v>2064.4</v>
    </oc>
    <nc r="C42">
      <v>3247.3</v>
    </nc>
  </rcc>
  <rcc rId="18056" sId="14" numFmtId="4">
    <oc r="D42">
      <v>172.03039999999999</v>
    </oc>
    <nc r="D42">
      <v>270.61099999999999</v>
    </nc>
  </rcc>
  <rcc rId="18057" sId="14" numFmtId="4">
    <oc r="C44">
      <v>825.37699999999995</v>
    </oc>
    <nc r="C44">
      <v>372.28</v>
    </nc>
  </rcc>
  <rcc rId="18058" sId="14" numFmtId="4">
    <oc r="C45">
      <v>93.784999999999997</v>
    </oc>
    <nc r="C45">
      <v>107.643</v>
    </nc>
  </rcc>
  <rcc rId="18059" sId="14" numFmtId="4">
    <oc r="D45">
      <v>7.4667000000000003</v>
    </oc>
    <nc r="D45">
      <v>8.6166</v>
    </nc>
  </rcc>
  <rcc rId="18060" sId="14" numFmtId="4">
    <nc r="C46">
      <v>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17969" sId="13" numFmtId="34">
    <oc r="C56">
      <v>1019.8</v>
    </oc>
    <nc r="C56">
      <v>1150</v>
    </nc>
  </rcc>
  <rcc rId="17970" sId="13" numFmtId="34">
    <oc r="C59">
      <v>19</v>
    </oc>
    <nc r="C59"/>
  </rcc>
  <rcc rId="17971" sId="13" numFmtId="34">
    <oc r="C60">
      <v>5</v>
    </oc>
    <nc r="C60">
      <v>48.5</v>
    </nc>
  </rcc>
  <rcc rId="17972" sId="13" numFmtId="34">
    <oc r="C61">
      <v>2.6930000000000001</v>
    </oc>
    <nc r="C61">
      <v>2.6309999999999998</v>
    </nc>
  </rcc>
  <rcc rId="17973" sId="13" numFmtId="34">
    <oc r="C63">
      <v>89.605000000000004</v>
    </oc>
    <nc r="C63">
      <v>103.383</v>
    </nc>
  </rcc>
  <rcc rId="17974" sId="13" numFmtId="34">
    <oc r="C67">
      <v>2</v>
    </oc>
    <nc r="C67">
      <v>3</v>
    </nc>
  </rcc>
  <rcc rId="17975" sId="13" numFmtId="34">
    <oc r="C68">
      <v>2</v>
    </oc>
    <nc r="C68">
      <v>10</v>
    </nc>
  </rcc>
  <rcc rId="17976" sId="13" numFmtId="34">
    <oc r="C71">
      <v>7.1580000000000004</v>
    </oc>
    <nc r="C71">
      <v>4.26</v>
    </nc>
  </rcc>
  <rcc rId="17977" sId="13" numFmtId="34">
    <oc r="C72">
      <v>360</v>
    </oc>
    <nc r="C72">
      <v>25</v>
    </nc>
  </rcc>
  <rcc rId="17978" sId="13" numFmtId="34">
    <oc r="C73">
      <v>951.77</v>
    </oc>
    <nc r="C73">
      <v>1041.8779999999999</v>
    </nc>
  </rcc>
  <rcc rId="17979" sId="13" numFmtId="34">
    <oc r="D73">
      <v>9.1999999999999993</v>
    </oc>
    <nc r="D73"/>
  </rcc>
  <rcc rId="17980" sId="13" numFmtId="34">
    <oc r="C74">
      <v>0</v>
    </oc>
    <nc r="C74">
      <v>150</v>
    </nc>
  </rcc>
  <rcc rId="17981" sId="13" numFmtId="34">
    <oc r="C77">
      <v>0</v>
    </oc>
    <nc r="C77">
      <v>350</v>
    </nc>
  </rcc>
  <rcc rId="17982" sId="13" numFmtId="34">
    <oc r="C78">
      <v>289.32900000000001</v>
    </oc>
    <nc r="C78">
      <v>221.66900000000001</v>
    </nc>
  </rcc>
  <rcc rId="17983" sId="13" numFmtId="34">
    <oc r="C80">
      <v>947.8</v>
    </oc>
    <nc r="C80">
      <v>852.8</v>
    </nc>
  </rcc>
  <rcc rId="17984" sId="13" numFmtId="34">
    <oc r="C87">
      <v>2</v>
    </oc>
    <nc r="C87">
      <v>30</v>
    </nc>
  </rcc>
  <rcc rId="17985" sId="13" numFmtId="34">
    <oc r="D80">
      <v>75</v>
    </oc>
    <nc r="D8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8446" sId="18" numFmtId="4">
    <oc r="C6">
      <v>114.5</v>
    </oc>
    <nc r="C6">
      <v>211.2</v>
    </nc>
  </rcc>
  <rcc rId="18447" sId="18" numFmtId="4">
    <oc r="D6">
      <v>18.425709999999999</v>
    </oc>
    <nc r="D6">
      <v>3.2048800000000002</v>
    </nc>
  </rcc>
  <rcc rId="18448" sId="18" numFmtId="4">
    <oc r="C8">
      <v>319.45999999999998</v>
    </oc>
    <nc r="C8">
      <v>309.91000000000003</v>
    </nc>
  </rcc>
  <rcc rId="18449" sId="18" numFmtId="4">
    <oc r="D8">
      <v>32.425939999999997</v>
    </oc>
    <nc r="D8">
      <v>32.220370000000003</v>
    </nc>
  </rcc>
  <rcc rId="18450" sId="18" numFmtId="4">
    <oc r="C9">
      <v>3.43</v>
    </oc>
    <nc r="C9">
      <v>3.32</v>
    </nc>
  </rcc>
  <rcc rId="18451" sId="18" numFmtId="4">
    <oc r="D9">
      <v>0.22064</v>
    </oc>
    <nc r="D9">
      <v>0.18994</v>
    </nc>
  </rcc>
  <rcc rId="18452" sId="18" numFmtId="4">
    <oc r="C10">
      <v>533.57000000000005</v>
    </oc>
    <nc r="C10">
      <v>517.62</v>
    </nc>
  </rcc>
  <rcc rId="18453" sId="18" numFmtId="4">
    <oc r="D10">
      <v>44.493380000000002</v>
    </oc>
    <nc r="D10">
      <v>43.232210000000002</v>
    </nc>
  </rcc>
  <rcc rId="18454" sId="18" numFmtId="4">
    <oc r="D11">
      <v>-5.9610399999999997</v>
    </oc>
    <nc r="D11">
      <v>-5.4909600000000003</v>
    </nc>
  </rcc>
  <rcc rId="18455" sId="18" numFmtId="4">
    <oc r="D13">
      <v>2.8584000000000001</v>
    </oc>
    <nc r="D13"/>
  </rcc>
  <rcc rId="18456" sId="18" numFmtId="4">
    <oc r="C15">
      <v>245</v>
    </oc>
    <nc r="C15">
      <v>300</v>
    </nc>
  </rcc>
  <rcc rId="18457" sId="18" numFmtId="4">
    <oc r="D15">
      <v>10.518549999999999</v>
    </oc>
    <nc r="D15">
      <v>8.9469999999999992</v>
    </nc>
  </rcc>
  <rcc rId="18458" sId="18" numFmtId="4">
    <oc r="C16">
      <v>1250</v>
    </oc>
    <nc r="C16">
      <v>1200</v>
    </nc>
  </rcc>
  <rcc rId="18459" sId="18" numFmtId="4">
    <oc r="D16">
      <v>36.364559999999997</v>
    </oc>
    <nc r="D16">
      <v>17.336449999999999</v>
    </nc>
  </rcc>
  <rcc rId="18460" sId="18" numFmtId="4">
    <oc r="D18">
      <v>0</v>
    </oc>
    <nc r="D18">
      <v>0.5</v>
    </nc>
  </rcc>
  <rcc rId="18461" sId="18" numFmtId="4">
    <oc r="C27">
      <v>30</v>
    </oc>
    <nc r="C27">
      <v>20.7</v>
    </nc>
  </rcc>
  <rcc rId="18462" sId="18" numFmtId="4">
    <oc r="D27">
      <v>0.13100000000000001</v>
    </oc>
    <nc r="D27">
      <v>0.52400000000000002</v>
    </nc>
  </rcc>
  <rcc rId="18463" sId="18" numFmtId="4">
    <oc r="C42">
      <v>2004.7</v>
    </oc>
    <nc r="C42">
      <v>3577.8</v>
    </nc>
  </rcc>
  <rcc rId="18464" sId="18" numFmtId="4">
    <oc r="D42">
      <v>167.05500000000001</v>
    </oc>
    <nc r="D42">
      <v>298.15199999999999</v>
    </nc>
  </rcc>
  <rcc rId="18465" sId="18" numFmtId="4">
    <oc r="C43">
      <v>414</v>
    </oc>
    <nc r="C43">
      <v>225</v>
    </nc>
  </rcc>
  <rcc rId="18466" sId="18" numFmtId="4">
    <oc r="C44">
      <v>1320</v>
    </oc>
    <nc r="C44">
      <v>1293.71</v>
    </nc>
  </rcc>
  <rcc rId="18467" sId="18" numFmtId="4">
    <oc r="D45">
      <v>14.933299999999999</v>
    </oc>
    <nc r="D45">
      <v>17.2334</v>
    </nc>
  </rcc>
  <rcc rId="18468" sId="18" numFmtId="4">
    <oc r="C45">
      <v>183.387</v>
    </oc>
    <nc r="C45">
      <v>786.02700000000004</v>
    </nc>
  </rcc>
  <rcc rId="18469" sId="18" numFmtId="4">
    <oc r="D38">
      <v>0</v>
    </oc>
    <nc r="D38">
      <v>-0.26200000000000001</v>
    </nc>
  </rcc>
  <rcc rId="18470" sId="18" numFmtId="34">
    <oc r="C59">
      <v>1526.1</v>
    </oc>
    <nc r="C59">
      <v>1601.2</v>
    </nc>
  </rcc>
  <rcc rId="18471" sId="18" numFmtId="34">
    <oc r="D59">
      <v>80.442170000000004</v>
    </oc>
    <nc r="D59">
      <v>30.4</v>
    </nc>
  </rcc>
  <rcc rId="18472" sId="18" numFmtId="34">
    <oc r="C62">
      <v>39</v>
    </oc>
    <nc r="C62"/>
  </rcc>
  <rcc rId="18473" sId="18" numFmtId="34">
    <oc r="C63">
      <v>5</v>
    </oc>
    <nc r="C63">
      <v>10</v>
    </nc>
  </rcc>
  <rcc rId="18474" sId="18" numFmtId="34">
    <oc r="C64">
      <v>4.1020000000000003</v>
    </oc>
    <nc r="C64">
      <v>19.077000000000002</v>
    </nc>
  </rcc>
  <rcc rId="18475" sId="18" numFmtId="34">
    <oc r="C66">
      <v>179.20699999999999</v>
    </oc>
    <nc r="C66">
      <v>206.767</v>
    </nc>
  </rcc>
  <rcc rId="18476" sId="18" numFmtId="34">
    <oc r="C70">
      <v>2</v>
    </oc>
    <nc r="C70">
      <v>3</v>
    </nc>
  </rcc>
  <rcc rId="18477" sId="18" numFmtId="34">
    <oc r="C71">
      <v>8</v>
    </oc>
    <nc r="C71">
      <v>110</v>
    </nc>
  </rcc>
  <rcc rId="18478" sId="18" numFmtId="34">
    <oc r="D71">
      <v>1</v>
    </oc>
    <nc r="D71"/>
  </rcc>
  <rcc rId="18479" sId="18" numFmtId="34">
    <oc r="C74">
      <v>10.021000000000001</v>
    </oc>
    <nc r="C74">
      <v>4.26</v>
    </nc>
  </rcc>
  <rcc rId="18480" sId="18" numFmtId="34">
    <oc r="C75">
      <v>224</v>
    </oc>
    <nc r="C75"/>
  </rcc>
  <rcc rId="18481" sId="18" numFmtId="34">
    <oc r="C76">
      <v>2176.46</v>
    </oc>
    <nc r="C76">
      <v>2145.2600000000002</v>
    </nc>
  </rcc>
  <rcc rId="18482" sId="18" numFmtId="34">
    <oc r="C77">
      <v>30</v>
    </oc>
    <nc r="C77">
      <v>420</v>
    </nc>
  </rcc>
  <rcc rId="18483" sId="18" numFmtId="34">
    <oc r="C80">
      <v>0</v>
    </oc>
    <nc r="C80">
      <v>10</v>
    </nc>
  </rcc>
  <rcc rId="18484" sId="18" numFmtId="34">
    <oc r="C81">
      <v>415.75700000000001</v>
    </oc>
    <nc r="C81">
      <v>1985.9</v>
    </nc>
  </rcc>
  <rcc rId="18485" sId="18" numFmtId="34">
    <oc r="D81">
      <v>11.85478</v>
    </oc>
    <nc r="D81"/>
  </rcc>
  <rcc rId="18486" sId="18" numFmtId="34">
    <oc r="C83">
      <v>1809.4</v>
    </oc>
    <nc r="C83">
      <v>1950.8230000000001</v>
    </nc>
  </rcc>
  <rcc rId="18487" sId="18" numFmtId="34">
    <oc r="D83">
      <v>149.191</v>
    </oc>
    <nc r="D83"/>
  </rcc>
  <rcc rId="18488" sId="18" numFmtId="34">
    <oc r="C90">
      <v>22</v>
    </oc>
    <nc r="C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8346" sId="17" numFmtId="4">
    <oc r="C6">
      <v>146.4</v>
    </oc>
    <nc r="C6">
      <v>155.1</v>
    </nc>
  </rcc>
  <rcc rId="18347" sId="17" numFmtId="4">
    <oc r="D6">
      <v>3.9199899999999999</v>
    </oc>
    <nc r="D6">
      <v>6.6763500000000002</v>
    </nc>
  </rcc>
  <rcc rId="18348" sId="17" numFmtId="4">
    <oc r="C8">
      <v>206.65</v>
    </oc>
    <nc r="C8">
      <v>200.15</v>
    </nc>
  </rcc>
  <rcc rId="18349" sId="17" numFmtId="4">
    <oc r="D8">
      <v>20.975840000000002</v>
    </oc>
    <nc r="D8">
      <v>20.809010000000001</v>
    </nc>
  </rcc>
  <rcc rId="18350" sId="17" numFmtId="4">
    <oc r="C9">
      <v>2.2200000000000002</v>
    </oc>
    <nc r="C9">
      <v>2.15</v>
    </nc>
  </rcc>
  <rcc rId="18351" sId="17" numFmtId="4">
    <oc r="D9">
      <v>0.14274000000000001</v>
    </oc>
    <nc r="D9">
      <v>0.12266000000000001</v>
    </nc>
  </rcc>
  <rcc rId="18352" sId="17" numFmtId="4">
    <oc r="C10">
      <v>345.16</v>
    </oc>
    <nc r="C10">
      <v>334.29</v>
    </nc>
  </rcc>
  <rcc rId="18353" sId="17" numFmtId="4">
    <oc r="D10">
      <v>28.782060000000001</v>
    </oc>
    <nc r="D10">
      <v>27.92079</v>
    </nc>
  </rcc>
  <rcc rId="18354" sId="17" numFmtId="4">
    <oc r="D11">
      <v>-3.8561200000000002</v>
    </oc>
    <nc r="D11">
      <v>-3.5462600000000002</v>
    </nc>
  </rcc>
  <rcc rId="18355" sId="17" numFmtId="4">
    <oc r="C13">
      <v>5</v>
    </oc>
    <nc r="C13">
      <v>10</v>
    </nc>
  </rcc>
  <rcc rId="18356" sId="17" numFmtId="4">
    <oc r="C15">
      <v>120</v>
    </oc>
    <nc r="C15">
      <v>117</v>
    </nc>
  </rcc>
  <rcc rId="18357" sId="17" numFmtId="4">
    <oc r="D15">
      <v>0.77456000000000003</v>
    </oc>
    <nc r="D15">
      <v>3.7299999999999998E-3</v>
    </nc>
  </rcc>
  <rcc rId="18358" sId="17" numFmtId="4">
    <oc r="C16">
      <v>312</v>
    </oc>
    <nc r="C16">
      <v>313</v>
    </nc>
  </rcc>
  <rcc rId="18359" sId="17" numFmtId="4">
    <oc r="D16">
      <v>1.6183799999999999</v>
    </oc>
    <nc r="D16">
      <v>6.4486299999999996</v>
    </nc>
  </rcc>
  <rcc rId="18360" sId="17" numFmtId="4">
    <oc r="D35">
      <v>0</v>
    </oc>
    <nc r="D35">
      <v>5.9443900000000003</v>
    </nc>
  </rcc>
  <rcc rId="18361" sId="17" numFmtId="4">
    <oc r="C39">
      <v>3421</v>
    </oc>
    <nc r="C39">
      <v>5087.2</v>
    </nc>
  </rcc>
  <rcc rId="18362" sId="17" numFmtId="4">
    <oc r="D39">
      <v>285.07799999999997</v>
    </oc>
    <nc r="D39">
      <v>423.93599999999998</v>
    </nc>
  </rcc>
  <rrc rId="18363" sId="17" ref="A40:XFD40" action="deleteRow">
    <undo index="18" exp="area" ref3D="1" dr="$A$142:$XFD$142" dn="Z_61528DAC_5C4C_48F4_ADE2_8A724B05A086_.wvu.Rows" sId="17"/>
    <undo index="16" exp="area" ref3D="1" dr="$A$91:$XFD$98" dn="Z_61528DAC_5C4C_48F4_ADE2_8A724B05A086_.wvu.Rows" sId="17"/>
    <undo index="14" exp="area" ref3D="1" dr="$A$84:$XFD$88" dn="Z_61528DAC_5C4C_48F4_ADE2_8A724B05A086_.wvu.Rows" sId="17"/>
    <undo index="12" exp="area" ref3D="1" dr="$A$79:$XFD$80" dn="Z_61528DAC_5C4C_48F4_ADE2_8A724B05A086_.wvu.Rows" sId="17"/>
    <undo index="10" exp="area" ref3D="1" dr="$A$68:$XFD$69" dn="Z_61528DAC_5C4C_48F4_ADE2_8A724B05A086_.wvu.Rows" sId="17"/>
    <undo index="8" exp="area" ref3D="1" dr="$A$60:$XFD$61" dn="Z_61528DAC_5C4C_48F4_ADE2_8A724B05A086_.wvu.Rows" sId="17"/>
    <undo index="6" exp="area" ref3D="1" dr="$A$58:$XFD$58" dn="Z_61528DAC_5C4C_48F4_ADE2_8A724B05A086_.wvu.Rows" sId="17"/>
    <undo index="4" exp="area" ref3D="1" dr="$A$44:$XFD$49" dn="Z_61528DAC_5C4C_48F4_ADE2_8A724B05A086_.wvu.Rows" sId="17"/>
    <undo index="10" exp="area" ref3D="1" dr="$A$91:$XFD$98" dn="Z_B31C8DB7_3E78_4144_A6B5_8DE36DE63F0E_.wvu.Rows" sId="17"/>
    <undo index="8" exp="area" ref3D="1" dr="$A$84:$XFD$88" dn="Z_B31C8DB7_3E78_4144_A6B5_8DE36DE63F0E_.wvu.Rows" sId="17"/>
    <undo index="6" exp="area" ref3D="1" dr="$A$68:$XFD$69" dn="Z_B31C8DB7_3E78_4144_A6B5_8DE36DE63F0E_.wvu.Rows" sId="17"/>
    <undo index="4" exp="area" ref3D="1" dr="$A$44:$XFD$49" dn="Z_B31C8DB7_3E78_4144_A6B5_8DE36DE63F0E_.wvu.Rows" sId="17"/>
    <undo index="2" exp="area" ref3D="1" dr="$A$40:$XFD$40" dn="Z_B31C8DB7_3E78_4144_A6B5_8DE36DE63F0E_.wvu.Rows" sId="17"/>
    <undo index="20" exp="area" ref3D="1" dr="$A$142:$XFD$142" dn="Z_B30CE22D_C12F_4E12_8BB9_3AAE0A6991CC_.wvu.Rows" sId="17"/>
    <undo index="18" exp="area" ref3D="1" dr="$A$91:$XFD$98" dn="Z_B30CE22D_C12F_4E12_8BB9_3AAE0A6991CC_.wvu.Rows" sId="17"/>
    <undo index="16" exp="area" ref3D="1" dr="$A$84:$XFD$88" dn="Z_B30CE22D_C12F_4E12_8BB9_3AAE0A6991CC_.wvu.Rows" sId="17"/>
    <undo index="14" exp="area" ref3D="1" dr="$A$79:$XFD$80" dn="Z_B30CE22D_C12F_4E12_8BB9_3AAE0A6991CC_.wvu.Rows" sId="17"/>
    <undo index="12" exp="area" ref3D="1" dr="$A$68:$XFD$69" dn="Z_B30CE22D_C12F_4E12_8BB9_3AAE0A6991CC_.wvu.Rows" sId="17"/>
    <undo index="10" exp="area" ref3D="1" dr="$A$60:$XFD$61" dn="Z_B30CE22D_C12F_4E12_8BB9_3AAE0A6991CC_.wvu.Rows" sId="17"/>
    <undo index="8" exp="area" ref3D="1" dr="$A$58:$XFD$58" dn="Z_B30CE22D_C12F_4E12_8BB9_3AAE0A6991CC_.wvu.Rows" sId="17"/>
    <undo index="6" exp="area" ref3D="1" dr="$A$44:$XFD$49" dn="Z_B30CE22D_C12F_4E12_8BB9_3AAE0A6991CC_.wvu.Rows" sId="17"/>
    <undo index="22" exp="area" ref3D="1" dr="$A$142:$XFD$142" dn="Z_A54C432C_6C68_4B53_A75C_446EB3A61B2B_.wvu.Rows" sId="17"/>
    <undo index="20" exp="area" ref3D="1" dr="$A$91:$XFD$98" dn="Z_A54C432C_6C68_4B53_A75C_446EB3A61B2B_.wvu.Rows" sId="17"/>
    <undo index="18" exp="area" ref3D="1" dr="$A$84:$XFD$88" dn="Z_A54C432C_6C68_4B53_A75C_446EB3A61B2B_.wvu.Rows" sId="17"/>
    <undo index="16" exp="area" ref3D="1" dr="$A$79:$XFD$80" dn="Z_A54C432C_6C68_4B53_A75C_446EB3A61B2B_.wvu.Rows" sId="17"/>
    <undo index="14" exp="area" ref3D="1" dr="$A$68:$XFD$69" dn="Z_A54C432C_6C68_4B53_A75C_446EB3A61B2B_.wvu.Rows" sId="17"/>
    <undo index="12" exp="area" ref3D="1" dr="$A$60:$XFD$61" dn="Z_A54C432C_6C68_4B53_A75C_446EB3A61B2B_.wvu.Rows" sId="17"/>
    <undo index="10" exp="area" ref3D="1" dr="$A$58:$XFD$58" dn="Z_A54C432C_6C68_4B53_A75C_446EB3A61B2B_.wvu.Rows" sId="17"/>
    <undo index="8" exp="area" ref3D="1" dr="$A$44:$XFD$50" dn="Z_A54C432C_6C68_4B53_A75C_446EB3A61B2B_.wvu.Rows" sId="17"/>
    <undo index="6" exp="area" ref3D="1" dr="$A$40:$XFD$40" dn="Z_A54C432C_6C68_4B53_A75C_446EB3A61B2B_.wvu.Rows" sId="17"/>
    <undo index="16" exp="area" ref3D="1" dr="$A$91:$XFD$98" dn="Z_5BFCA170_DEAE_4D2C_98A0_1E68B427AC01_.wvu.Rows" sId="17"/>
    <undo index="14" exp="area" ref3D="1" dr="$A$83:$XFD$88" dn="Z_5BFCA170_DEAE_4D2C_98A0_1E68B427AC01_.wvu.Rows" sId="17"/>
    <undo index="12" exp="area" ref3D="1" dr="$A$79:$XFD$80" dn="Z_5BFCA170_DEAE_4D2C_98A0_1E68B427AC01_.wvu.Rows" sId="17"/>
    <undo index="10" exp="area" ref3D="1" dr="$A$68:$XFD$69" dn="Z_5BFCA170_DEAE_4D2C_98A0_1E68B427AC01_.wvu.Rows" sId="17"/>
    <undo index="8" exp="area" ref3D="1" dr="$A$60:$XFD$61" dn="Z_5BFCA170_DEAE_4D2C_98A0_1E68B427AC01_.wvu.Rows" sId="17"/>
    <undo index="6" exp="area" ref3D="1" dr="$A$58:$XFD$58" dn="Z_5BFCA170_DEAE_4D2C_98A0_1E68B427AC01_.wvu.Rows" sId="17"/>
    <undo index="4" exp="area" ref3D="1" dr="$A$44:$XFD$49" dn="Z_5BFCA170_DEAE_4D2C_98A0_1E68B427AC01_.wvu.Rows" sId="17"/>
    <undo index="2" exp="area" ref3D="1" dr="$A$40:$XFD$40" dn="Z_5BFCA170_DEAE_4D2C_98A0_1E68B427AC01_.wvu.Rows" sId="17"/>
    <undo index="20" exp="area" ref3D="1" dr="$A$91:$XFD$98" dn="Z_42584DC0_1D41_4C93_9B38_C388E7B8DAC4_.wvu.Rows" sId="17"/>
    <undo index="18" exp="area" ref3D="1" dr="$A$84:$XFD$88" dn="Z_42584DC0_1D41_4C93_9B38_C388E7B8DAC4_.wvu.Rows" sId="17"/>
    <undo index="16" exp="area" ref3D="1" dr="$A$79:$XFD$80" dn="Z_42584DC0_1D41_4C93_9B38_C388E7B8DAC4_.wvu.Rows" sId="17"/>
    <undo index="14" exp="area" ref3D="1" dr="$A$68:$XFD$69" dn="Z_42584DC0_1D41_4C93_9B38_C388E7B8DAC4_.wvu.Rows" sId="17"/>
    <undo index="12" exp="area" ref3D="1" dr="$A$60:$XFD$62" dn="Z_42584DC0_1D41_4C93_9B38_C388E7B8DAC4_.wvu.Rows" sId="17"/>
    <undo index="10" exp="area" ref3D="1" dr="$A$58:$XFD$58" dn="Z_42584DC0_1D41_4C93_9B38_C388E7B8DAC4_.wvu.Rows" sId="17"/>
    <undo index="8" exp="area" ref3D="1" dr="$A$44:$XFD$49" dn="Z_42584DC0_1D41_4C93_9B38_C388E7B8DAC4_.wvu.Rows" sId="17"/>
    <undo index="6" exp="area" ref3D="1" dr="$A$40:$XFD$40" dn="Z_42584DC0_1D41_4C93_9B38_C388E7B8DAC4_.wvu.Rows" sId="17"/>
    <undo index="16" exp="area" ref3D="1" dr="$A$91:$XFD$98" dn="Z_3DCB9AAA_F09C_4EA6_B992_F93E466D374A_.wvu.Rows" sId="17"/>
    <undo index="14" exp="area" ref3D="1" dr="$A$83:$XFD$88" dn="Z_3DCB9AAA_F09C_4EA6_B992_F93E466D374A_.wvu.Rows" sId="17"/>
    <undo index="12" exp="area" ref3D="1" dr="$A$79:$XFD$80" dn="Z_3DCB9AAA_F09C_4EA6_B992_F93E466D374A_.wvu.Rows" sId="17"/>
    <undo index="10" exp="area" ref3D="1" dr="$A$68:$XFD$69" dn="Z_3DCB9AAA_F09C_4EA6_B992_F93E466D374A_.wvu.Rows" sId="17"/>
    <undo index="8" exp="area" ref3D="1" dr="$A$60:$XFD$61" dn="Z_3DCB9AAA_F09C_4EA6_B992_F93E466D374A_.wvu.Rows" sId="17"/>
    <undo index="6" exp="area" ref3D="1" dr="$A$58:$XFD$58" dn="Z_3DCB9AAA_F09C_4EA6_B992_F93E466D374A_.wvu.Rows" sId="17"/>
    <undo index="4" exp="area" ref3D="1" dr="$A$44:$XFD$49" dn="Z_3DCB9AAA_F09C_4EA6_B992_F93E466D374A_.wvu.Rows" sId="17"/>
    <undo index="2" exp="area" ref3D="1" dr="$A$40:$XFD$40" dn="Z_3DCB9AAA_F09C_4EA6_B992_F93E466D374A_.wvu.Rows" sId="17"/>
    <undo index="18" exp="area" ref3D="1" dr="$A$91:$XFD$98" dn="Z_1A52382B_3765_4E8C_903F_6B8919B7242E_.wvu.Rows" sId="17"/>
    <undo index="16" exp="area" ref3D="1" dr="$A$84:$XFD$88" dn="Z_1A52382B_3765_4E8C_903F_6B8919B7242E_.wvu.Rows" sId="17"/>
    <undo index="14" exp="area" ref3D="1" dr="$A$79:$XFD$80" dn="Z_1A52382B_3765_4E8C_903F_6B8919B7242E_.wvu.Rows" sId="17"/>
    <undo index="12" exp="area" ref3D="1" dr="$A$68:$XFD$69" dn="Z_1A52382B_3765_4E8C_903F_6B8919B7242E_.wvu.Rows" sId="17"/>
    <undo index="10" exp="area" ref3D="1" dr="$A$60:$XFD$61" dn="Z_1A52382B_3765_4E8C_903F_6B8919B7242E_.wvu.Rows" sId="17"/>
    <undo index="8" exp="area" ref3D="1" dr="$A$58:$XFD$58" dn="Z_1A52382B_3765_4E8C_903F_6B8919B7242E_.wvu.Rows" sId="17"/>
    <undo index="6" exp="area" ref3D="1" dr="$A$44:$XFD$49" dn="Z_1A52382B_3765_4E8C_903F_6B8919B7242E_.wvu.Rows" sId="17"/>
    <undo index="4" exp="area" ref3D="1" dr="$A$40:$XFD$40" dn="Z_1A52382B_3765_4E8C_903F_6B8919B7242E_.wvu.Rows" sId="17"/>
    <undo index="20" exp="area" ref3D="1" dr="$A$142:$XFD$142" dn="Z_1718F1EE_9F48_4DBE_9531_3B70F9C4A5DD_.wvu.Rows" sId="17"/>
    <undo index="18" exp="area" ref3D="1" dr="$A$91:$XFD$98" dn="Z_1718F1EE_9F48_4DBE_9531_3B70F9C4A5DD_.wvu.Rows" sId="17"/>
    <undo index="16" exp="area" ref3D="1" dr="$A$84:$XFD$88" dn="Z_1718F1EE_9F48_4DBE_9531_3B70F9C4A5DD_.wvu.Rows" sId="17"/>
    <undo index="14" exp="area" ref3D="1" dr="$A$79:$XFD$80" dn="Z_1718F1EE_9F48_4DBE_9531_3B70F9C4A5DD_.wvu.Rows" sId="17"/>
    <undo index="12" exp="area" ref3D="1" dr="$A$68:$XFD$69" dn="Z_1718F1EE_9F48_4DBE_9531_3B70F9C4A5DD_.wvu.Rows" sId="17"/>
    <undo index="10" exp="area" ref3D="1" dr="$A$60:$XFD$62" dn="Z_1718F1EE_9F48_4DBE_9531_3B70F9C4A5DD_.wvu.Rows" sId="17"/>
    <undo index="8" exp="area" ref3D="1" dr="$A$58:$XFD$58" dn="Z_1718F1EE_9F48_4DBE_9531_3B70F9C4A5DD_.wvu.Rows" sId="17"/>
    <undo index="6" exp="area" ref3D="1" dr="$A$44:$XFD$50" dn="Z_1718F1EE_9F48_4DBE_9531_3B70F9C4A5DD_.wvu.Rows" sId="17"/>
    <rfmt sheetId="17" xfDxf="1" s="1" sqref="A40:XFD4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7" s="1" dxf="1">
      <nc r="A40">
        <v>2020100310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B40" t="inlineStr">
        <is>
          <t>Сбалансированность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C40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D40">
        <v>0</v>
      </nc>
      <ndxf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E40">
        <f>SUM(D40/C40*100)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F40">
        <f>SUM(D40-C40)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8364" sId="17" numFmtId="4">
    <oc r="C41">
      <v>834.51</v>
    </oc>
    <nc r="C41">
      <v>772.27</v>
    </nc>
  </rcc>
  <rcc rId="18365" sId="17" numFmtId="4">
    <oc r="C42">
      <v>183.38800000000001</v>
    </oc>
    <nc r="C42">
      <v>2569.3000000000002</v>
    </nc>
  </rcc>
  <rcc rId="18366" sId="17" numFmtId="4">
    <oc r="D42">
      <v>14.933299999999999</v>
    </oc>
    <nc r="D42">
      <v>17.2334</v>
    </nc>
  </rcc>
  <rcc rId="18367" sId="17" numFmtId="4">
    <nc r="C49">
      <v>75</v>
    </nc>
  </rcc>
  <rcc rId="18368" sId="17" numFmtId="4">
    <oc r="D30">
      <v>26.302569999999999</v>
    </oc>
    <nc r="D3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Юсь!$19:$24,Юсь!$36:$36,Юсь!$43:$48,Юсь!$57:$57,Юсь!$59:$60,Юсь!$67:$68,Юсь!$78:$79,Юсь!$83:$87,Юсь!$90:$97,Юсь!$141:$141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9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  <userInfo guid="{2DE631F7-786A-4EFF-B5F8-F79E35321049}" name="morgau_fin3" id="-534249898" dateTime="2020-02-07T16:12:20"/>
  <userInfo guid="{2DE631F7-786A-4EFF-B5F8-F79E35321049}" name="morgau_fin5" id="-802691765" dateTime="2020-03-11T11:05:55"/>
  <userInfo guid="{5A5E38A7-7876-4028-9C96-A40FF60EED52}" name="morgau_fin3" id="-534271457" dateTime="2021-02-04T08:30:19"/>
  <userInfo guid="{CE2F72A9-E546-4EF4-BA70-EF52C145AE23}" name="morgau_fin3" id="-534255891" dateTime="2021-02-08T10:51:26"/>
  <userInfo guid="{CE2F72A9-E546-4EF4-BA70-EF52C145AE23}" name="morgau_fin2" id="-400088502" dateTime="2021-02-08T10:53:0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F11" sqref="F11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7" t="s">
        <v>422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122"/>
      <c r="M1" s="122"/>
      <c r="N1" s="122"/>
      <c r="O1" s="122"/>
    </row>
    <row r="2" spans="1:15" ht="33.75" customHeight="1">
      <c r="A2" s="485" t="s">
        <v>177</v>
      </c>
      <c r="B2" s="486" t="s">
        <v>178</v>
      </c>
      <c r="C2" s="482" t="s">
        <v>179</v>
      </c>
      <c r="D2" s="483"/>
      <c r="E2" s="483"/>
      <c r="F2" s="482" t="s">
        <v>180</v>
      </c>
      <c r="G2" s="483"/>
      <c r="H2" s="483"/>
      <c r="I2" s="482" t="s">
        <v>181</v>
      </c>
      <c r="J2" s="483"/>
      <c r="K2" s="488"/>
    </row>
    <row r="3" spans="1:15" ht="53.25" customHeight="1">
      <c r="A3" s="485"/>
      <c r="B3" s="486"/>
      <c r="C3" s="78" t="s">
        <v>423</v>
      </c>
      <c r="D3" s="78" t="s">
        <v>419</v>
      </c>
      <c r="E3" s="137" t="s">
        <v>317</v>
      </c>
      <c r="F3" s="78" t="s">
        <v>423</v>
      </c>
      <c r="G3" s="78" t="s">
        <v>419</v>
      </c>
      <c r="H3" s="137" t="s">
        <v>317</v>
      </c>
      <c r="I3" s="78" t="s">
        <v>423</v>
      </c>
      <c r="J3" s="78" t="s">
        <v>419</v>
      </c>
      <c r="K3" s="78" t="s">
        <v>317</v>
      </c>
    </row>
    <row r="4" spans="1:15" s="80" customFormat="1" ht="30.75" customHeight="1">
      <c r="A4" s="79" t="s">
        <v>4</v>
      </c>
      <c r="B4" s="76"/>
      <c r="C4" s="199">
        <f>SUM(C5:C13)</f>
        <v>187328.13999999998</v>
      </c>
      <c r="D4" s="199">
        <f>SUM(D5:D13)</f>
        <v>11468.826539999998</v>
      </c>
      <c r="E4" s="199">
        <f>D4/C4*100</f>
        <v>6.1223191240782082</v>
      </c>
      <c r="F4" s="199">
        <f>SUM(F5:F13)</f>
        <v>148717</v>
      </c>
      <c r="G4" s="199">
        <f>SUM(G5:G13)</f>
        <v>9805.8143799999998</v>
      </c>
      <c r="H4" s="199">
        <f>G4/F4*100</f>
        <v>6.5936069043888725</v>
      </c>
      <c r="I4" s="199">
        <f>I5+I7+I6+I8+I10+I11+I12+I13</f>
        <v>38611.14</v>
      </c>
      <c r="J4" s="199">
        <f>J5+J6+J7+J8+J10+J11+J12+J13</f>
        <v>1663.0121600000002</v>
      </c>
      <c r="K4" s="199">
        <f>J4/I4*100</f>
        <v>4.3070786306749822</v>
      </c>
    </row>
    <row r="5" spans="1:15" ht="27" customHeight="1">
      <c r="A5" s="81" t="s">
        <v>182</v>
      </c>
      <c r="B5" s="77">
        <v>10102</v>
      </c>
      <c r="C5" s="200">
        <f t="shared" ref="C5:C13" si="0">F5+I5</f>
        <v>130271.44</v>
      </c>
      <c r="D5" s="200">
        <f t="shared" ref="D5:D13" si="1">G5+J5</f>
        <v>7906.7803899999999</v>
      </c>
      <c r="E5" s="201">
        <f t="shared" ref="E5:E12" si="2">D5/C5*100</f>
        <v>6.0694657171211128</v>
      </c>
      <c r="F5" s="200">
        <f>район!C5</f>
        <v>124321</v>
      </c>
      <c r="G5" s="200">
        <f>район!D5</f>
        <v>7546.4537799999998</v>
      </c>
      <c r="H5" s="201">
        <f t="shared" ref="H5:H41" si="3">G5/F5*100</f>
        <v>6.0701360027670308</v>
      </c>
      <c r="I5" s="200">
        <f>Справка!I31</f>
        <v>5950.44</v>
      </c>
      <c r="J5" s="200">
        <f>Справка!J31</f>
        <v>360.32661000000002</v>
      </c>
      <c r="K5" s="201">
        <f t="shared" ref="K5:K12" si="4">J5/I5*100</f>
        <v>6.055461612922743</v>
      </c>
    </row>
    <row r="6" spans="1:15" ht="41.25" customHeight="1">
      <c r="A6" s="81" t="s">
        <v>270</v>
      </c>
      <c r="B6" s="77">
        <v>10300</v>
      </c>
      <c r="C6" s="200">
        <f t="shared" si="0"/>
        <v>14188.8</v>
      </c>
      <c r="D6" s="200">
        <f t="shared" si="1"/>
        <v>1198.00496</v>
      </c>
      <c r="E6" s="201">
        <f t="shared" si="2"/>
        <v>8.4433141632837181</v>
      </c>
      <c r="F6" s="200">
        <f>район!C7</f>
        <v>5168.1000000000004</v>
      </c>
      <c r="G6" s="200">
        <f>район!D7</f>
        <v>436.35942000000006</v>
      </c>
      <c r="H6" s="201">
        <f t="shared" si="3"/>
        <v>8.4433238520926466</v>
      </c>
      <c r="I6" s="200">
        <f>Справка!L31+Справка!R31+Справка!O31</f>
        <v>9020.6999999999989</v>
      </c>
      <c r="J6" s="200">
        <f>Справка!M31+Справка!S31+Справка!P31+Справка!V31</f>
        <v>761.64553999999998</v>
      </c>
      <c r="K6" s="201">
        <f t="shared" si="4"/>
        <v>8.4433086124136718</v>
      </c>
    </row>
    <row r="7" spans="1:15" ht="19.5" customHeight="1">
      <c r="A7" s="81" t="s">
        <v>183</v>
      </c>
      <c r="B7" s="77">
        <v>10500</v>
      </c>
      <c r="C7" s="200">
        <f t="shared" si="0"/>
        <v>12477.9</v>
      </c>
      <c r="D7" s="200">
        <f t="shared" si="1"/>
        <v>1662.9931800000002</v>
      </c>
      <c r="E7" s="201">
        <f t="shared" si="2"/>
        <v>13.327508474983773</v>
      </c>
      <c r="F7" s="200">
        <f>район!C12</f>
        <v>11927.9</v>
      </c>
      <c r="G7" s="200">
        <f>район!D12</f>
        <v>1642.8653000000002</v>
      </c>
      <c r="H7" s="201">
        <f t="shared" si="3"/>
        <v>13.773298736575592</v>
      </c>
      <c r="I7" s="200">
        <f>Справка!X31</f>
        <v>550</v>
      </c>
      <c r="J7" s="200">
        <f>Справка!Y31</f>
        <v>20.127879999999998</v>
      </c>
      <c r="K7" s="201">
        <f t="shared" si="4"/>
        <v>3.6596145454545455</v>
      </c>
    </row>
    <row r="8" spans="1:15" ht="19.5" customHeight="1">
      <c r="A8" s="81" t="s">
        <v>184</v>
      </c>
      <c r="B8" s="77">
        <v>10601</v>
      </c>
      <c r="C8" s="200">
        <f t="shared" si="0"/>
        <v>6050</v>
      </c>
      <c r="D8" s="200">
        <f t="shared" si="1"/>
        <v>54.868659999999991</v>
      </c>
      <c r="E8" s="201">
        <f t="shared" si="2"/>
        <v>0.90691999999999973</v>
      </c>
      <c r="F8" s="200"/>
      <c r="G8" s="200"/>
      <c r="H8" s="201"/>
      <c r="I8" s="200">
        <f>Справка!AA31</f>
        <v>6050</v>
      </c>
      <c r="J8" s="200">
        <f>Справка!AB31</f>
        <v>54.868659999999991</v>
      </c>
      <c r="K8" s="201">
        <f t="shared" si="4"/>
        <v>0.90691999999999973</v>
      </c>
    </row>
    <row r="9" spans="1:15" ht="19.5" customHeight="1">
      <c r="A9" s="81" t="s">
        <v>271</v>
      </c>
      <c r="B9" s="77">
        <v>10604</v>
      </c>
      <c r="C9" s="200">
        <f t="shared" si="0"/>
        <v>2400</v>
      </c>
      <c r="D9" s="200">
        <f t="shared" si="1"/>
        <v>62.655839999999998</v>
      </c>
      <c r="E9" s="201">
        <f t="shared" si="2"/>
        <v>2.6106600000000002</v>
      </c>
      <c r="F9" s="200">
        <f>район!C17</f>
        <v>2400</v>
      </c>
      <c r="G9" s="200">
        <f>район!D20</f>
        <v>62.655839999999998</v>
      </c>
      <c r="H9" s="201">
        <f t="shared" si="3"/>
        <v>2.6106600000000002</v>
      </c>
      <c r="I9" s="200"/>
      <c r="J9" s="200"/>
      <c r="K9" s="201"/>
    </row>
    <row r="10" spans="1:15" ht="19.5" customHeight="1">
      <c r="A10" s="81" t="s">
        <v>185</v>
      </c>
      <c r="B10" s="77">
        <v>10606</v>
      </c>
      <c r="C10" s="200">
        <f t="shared" si="0"/>
        <v>16922</v>
      </c>
      <c r="D10" s="200">
        <f t="shared" si="1"/>
        <v>462.64346999999992</v>
      </c>
      <c r="E10" s="201">
        <f t="shared" si="2"/>
        <v>2.7339763030374655</v>
      </c>
      <c r="F10" s="200"/>
      <c r="G10" s="200"/>
      <c r="H10" s="201">
        <v>0</v>
      </c>
      <c r="I10" s="200">
        <f>Справка!AD31</f>
        <v>16922</v>
      </c>
      <c r="J10" s="200">
        <f>Справка!AE31</f>
        <v>462.64346999999992</v>
      </c>
      <c r="K10" s="201">
        <f t="shared" si="4"/>
        <v>2.7339763030374655</v>
      </c>
    </row>
    <row r="11" spans="1:15" ht="33.75" customHeight="1">
      <c r="A11" s="81" t="s">
        <v>186</v>
      </c>
      <c r="B11" s="77">
        <v>10701</v>
      </c>
      <c r="C11" s="200">
        <f t="shared" si="0"/>
        <v>1900</v>
      </c>
      <c r="D11" s="200">
        <f t="shared" si="1"/>
        <v>15.34722</v>
      </c>
      <c r="E11" s="201">
        <f t="shared" si="2"/>
        <v>0.80774842105263167</v>
      </c>
      <c r="F11" s="200">
        <f>район!C22</f>
        <v>1900</v>
      </c>
      <c r="G11" s="200">
        <f>район!D22</f>
        <v>15.34722</v>
      </c>
      <c r="H11" s="201">
        <f t="shared" si="3"/>
        <v>0.80774842105263167</v>
      </c>
      <c r="I11" s="200"/>
      <c r="J11" s="200"/>
      <c r="K11" s="201">
        <v>0</v>
      </c>
    </row>
    <row r="12" spans="1:15" ht="19.5" customHeight="1">
      <c r="A12" s="81" t="s">
        <v>187</v>
      </c>
      <c r="B12" s="77">
        <v>10800</v>
      </c>
      <c r="C12" s="200">
        <f t="shared" si="0"/>
        <v>3118</v>
      </c>
      <c r="D12" s="200">
        <f t="shared" si="1"/>
        <v>105.53282</v>
      </c>
      <c r="E12" s="201">
        <f t="shared" si="2"/>
        <v>3.3846318152661961</v>
      </c>
      <c r="F12" s="200">
        <f>район!C24</f>
        <v>3000</v>
      </c>
      <c r="G12" s="200">
        <f>район!D24</f>
        <v>102.13282</v>
      </c>
      <c r="H12" s="201">
        <f t="shared" si="3"/>
        <v>3.4044273333333335</v>
      </c>
      <c r="I12" s="200">
        <f>Справка!AG31</f>
        <v>118</v>
      </c>
      <c r="J12" s="200">
        <f>Справка!AH31</f>
        <v>3.4000000000000004</v>
      </c>
      <c r="K12" s="201">
        <f t="shared" si="4"/>
        <v>2.8813559322033901</v>
      </c>
    </row>
    <row r="13" spans="1:15" ht="19.5" customHeight="1">
      <c r="A13" s="81" t="s">
        <v>188</v>
      </c>
      <c r="B13" s="77">
        <v>10900</v>
      </c>
      <c r="C13" s="200">
        <f t="shared" si="0"/>
        <v>0</v>
      </c>
      <c r="D13" s="200">
        <f t="shared" si="1"/>
        <v>0</v>
      </c>
      <c r="E13" s="201"/>
      <c r="F13" s="200">
        <f>район!C28</f>
        <v>0</v>
      </c>
      <c r="G13" s="200">
        <f>район!D28</f>
        <v>0</v>
      </c>
      <c r="H13" s="201"/>
      <c r="I13" s="200">
        <f>Справка!AJ31</f>
        <v>0</v>
      </c>
      <c r="J13" s="200">
        <f>Справка!AK31</f>
        <v>0</v>
      </c>
      <c r="K13" s="201"/>
    </row>
    <row r="14" spans="1:15" s="80" customFormat="1" ht="20.25" customHeight="1">
      <c r="A14" s="79" t="s">
        <v>12</v>
      </c>
      <c r="B14" s="76"/>
      <c r="C14" s="199">
        <f>SUM(C15:C21)</f>
        <v>18250.2</v>
      </c>
      <c r="D14" s="199">
        <f>SUM(D15:D21)</f>
        <v>2565.2217800000003</v>
      </c>
      <c r="E14" s="199">
        <f t="shared" ref="E14:E39" si="5">D14/C14*100</f>
        <v>14.055855716649681</v>
      </c>
      <c r="F14" s="199">
        <f>F15+F16+F17+F18+F20+F21+F19</f>
        <v>15126</v>
      </c>
      <c r="G14" s="199">
        <f>G15+G16+G17+G18+G20+G21+G19</f>
        <v>2325.1031700000003</v>
      </c>
      <c r="H14" s="199">
        <f t="shared" si="3"/>
        <v>15.371566640222136</v>
      </c>
      <c r="I14" s="202">
        <f>I15+I16+I17+I18+I20+I21+I26</f>
        <v>3124.2</v>
      </c>
      <c r="J14" s="202">
        <f>J15+J16+J17+J18+J20+J21</f>
        <v>240.11861000000002</v>
      </c>
      <c r="K14" s="199">
        <f>J14/I14*100</f>
        <v>7.6857630753472908</v>
      </c>
    </row>
    <row r="15" spans="1:15" ht="52.5" customHeight="1">
      <c r="A15" s="81" t="s">
        <v>189</v>
      </c>
      <c r="B15" s="77">
        <v>11100</v>
      </c>
      <c r="C15" s="200">
        <f t="shared" ref="C15:D21" si="6">F15+I15</f>
        <v>12720.2</v>
      </c>
      <c r="D15" s="200">
        <f t="shared" si="6"/>
        <v>594.49040000000002</v>
      </c>
      <c r="E15" s="200">
        <f t="shared" si="5"/>
        <v>4.6735931824971306</v>
      </c>
      <c r="F15" s="200">
        <f>район!C34</f>
        <v>9596</v>
      </c>
      <c r="G15" s="200">
        <f>район!D34</f>
        <v>380.12164000000001</v>
      </c>
      <c r="H15" s="200">
        <f t="shared" si="3"/>
        <v>3.9612509378907883</v>
      </c>
      <c r="I15" s="200">
        <f>Справка!AP31+Справка!AS31+Справка!AM31</f>
        <v>3124.2</v>
      </c>
      <c r="J15" s="200">
        <f>Справка!AQ31+Справка!AT31+Справка!AN31</f>
        <v>214.36876000000001</v>
      </c>
      <c r="K15" s="201">
        <f>J15/I15*100</f>
        <v>6.8615568785609122</v>
      </c>
    </row>
    <row r="16" spans="1:15" ht="33" customHeight="1">
      <c r="A16" s="81" t="s">
        <v>190</v>
      </c>
      <c r="B16" s="77">
        <v>11200</v>
      </c>
      <c r="C16" s="200">
        <f t="shared" si="6"/>
        <v>530</v>
      </c>
      <c r="D16" s="200">
        <f t="shared" si="6"/>
        <v>1.84E-2</v>
      </c>
      <c r="E16" s="200">
        <f t="shared" si="5"/>
        <v>3.4716981132075471E-3</v>
      </c>
      <c r="F16" s="200">
        <f>район!C43</f>
        <v>530</v>
      </c>
      <c r="G16" s="200">
        <f>район!D43</f>
        <v>1.84E-2</v>
      </c>
      <c r="H16" s="200">
        <f t="shared" si="3"/>
        <v>3.4716981132075471E-3</v>
      </c>
      <c r="I16" s="200">
        <v>0</v>
      </c>
      <c r="J16" s="200">
        <v>0</v>
      </c>
      <c r="K16" s="201">
        <v>0</v>
      </c>
    </row>
    <row r="17" spans="1:13" ht="33" customHeight="1">
      <c r="A17" s="81" t="s">
        <v>191</v>
      </c>
      <c r="B17" s="77">
        <v>11300</v>
      </c>
      <c r="C17" s="200">
        <f t="shared" si="6"/>
        <v>100</v>
      </c>
      <c r="D17" s="200">
        <f t="shared" si="6"/>
        <v>5.3297999999999996</v>
      </c>
      <c r="E17" s="200">
        <f>D17/C17*100</f>
        <v>5.3297999999999996</v>
      </c>
      <c r="F17" s="200">
        <f>район!C45</f>
        <v>100</v>
      </c>
      <c r="G17" s="200">
        <f>район!D45</f>
        <v>0</v>
      </c>
      <c r="H17" s="200">
        <f t="shared" si="3"/>
        <v>0</v>
      </c>
      <c r="I17" s="200">
        <f>Справка!AY31</f>
        <v>0</v>
      </c>
      <c r="J17" s="200">
        <f>Справка!AZ31</f>
        <v>5.3297999999999996</v>
      </c>
      <c r="K17" s="201"/>
    </row>
    <row r="18" spans="1:13" ht="33" customHeight="1">
      <c r="A18" s="81" t="s">
        <v>192</v>
      </c>
      <c r="B18" s="77">
        <v>11400</v>
      </c>
      <c r="C18" s="200">
        <f t="shared" si="6"/>
        <v>2600</v>
      </c>
      <c r="D18" s="200">
        <f t="shared" si="6"/>
        <v>1878.6182900000001</v>
      </c>
      <c r="E18" s="200">
        <f t="shared" si="5"/>
        <v>72.254549615384619</v>
      </c>
      <c r="F18" s="200">
        <f>район!C48</f>
        <v>2600</v>
      </c>
      <c r="G18" s="200">
        <f>район!D48</f>
        <v>1857.0632900000001</v>
      </c>
      <c r="H18" s="200">
        <f t="shared" si="3"/>
        <v>71.425511153846159</v>
      </c>
      <c r="I18" s="200">
        <f>Справка!BE31</f>
        <v>0</v>
      </c>
      <c r="J18" s="200">
        <f>Справка!BF31</f>
        <v>21.555</v>
      </c>
      <c r="K18" s="201"/>
    </row>
    <row r="19" spans="1:13" ht="23.25" customHeight="1">
      <c r="A19" s="81" t="s">
        <v>240</v>
      </c>
      <c r="B19" s="77">
        <v>11500</v>
      </c>
      <c r="C19" s="200">
        <f t="shared" si="6"/>
        <v>0</v>
      </c>
      <c r="D19" s="200">
        <f t="shared" si="6"/>
        <v>0</v>
      </c>
      <c r="E19" s="200"/>
      <c r="F19" s="200">
        <f>район!C51</f>
        <v>0</v>
      </c>
      <c r="G19" s="200">
        <f>район!D51</f>
        <v>0</v>
      </c>
      <c r="H19" s="200"/>
      <c r="I19" s="200"/>
      <c r="J19" s="200"/>
      <c r="K19" s="201"/>
    </row>
    <row r="20" spans="1:13" ht="22.5" customHeight="1">
      <c r="A20" s="81" t="s">
        <v>193</v>
      </c>
      <c r="B20" s="77">
        <v>11600</v>
      </c>
      <c r="C20" s="200">
        <f t="shared" si="6"/>
        <v>2300</v>
      </c>
      <c r="D20" s="200">
        <f t="shared" si="6"/>
        <v>88.048239999999993</v>
      </c>
      <c r="E20" s="200">
        <f t="shared" si="5"/>
        <v>3.8281843478260864</v>
      </c>
      <c r="F20" s="200">
        <f>район!C53</f>
        <v>2300</v>
      </c>
      <c r="G20" s="200">
        <f>район!D53</f>
        <v>87.899839999999998</v>
      </c>
      <c r="H20" s="200">
        <f t="shared" si="3"/>
        <v>3.8217321739130434</v>
      </c>
      <c r="I20" s="200">
        <f>Справка!BN31</f>
        <v>0</v>
      </c>
      <c r="J20" s="200">
        <f>Справка!BO31</f>
        <v>0.1484</v>
      </c>
      <c r="K20" s="201">
        <v>0</v>
      </c>
    </row>
    <row r="21" spans="1:13" ht="49.5" customHeight="1">
      <c r="A21" s="81" t="s">
        <v>194</v>
      </c>
      <c r="B21" s="77">
        <v>11700</v>
      </c>
      <c r="C21" s="200">
        <f t="shared" si="6"/>
        <v>0</v>
      </c>
      <c r="D21" s="200">
        <f t="shared" si="6"/>
        <v>-1.28335</v>
      </c>
      <c r="E21" s="200"/>
      <c r="F21" s="200">
        <f>район!C58</f>
        <v>0</v>
      </c>
      <c r="G21" s="200">
        <f>район!D58</f>
        <v>0</v>
      </c>
      <c r="H21" s="200"/>
      <c r="I21" s="200">
        <f>Справка!BQ31</f>
        <v>0</v>
      </c>
      <c r="J21" s="200">
        <f>Справка!BR31</f>
        <v>-1.28335</v>
      </c>
      <c r="K21" s="201">
        <v>0</v>
      </c>
    </row>
    <row r="22" spans="1:13" ht="0.75" customHeight="1">
      <c r="A22" s="79" t="s">
        <v>195</v>
      </c>
      <c r="B22" s="76">
        <v>30000</v>
      </c>
      <c r="C22" s="474">
        <f>F22+I22</f>
        <v>0</v>
      </c>
      <c r="D22" s="199">
        <f t="shared" ref="D22" si="7">G22+J22</f>
        <v>0</v>
      </c>
      <c r="E22" s="199"/>
      <c r="F22" s="199">
        <v>0</v>
      </c>
      <c r="G22" s="199">
        <v>0</v>
      </c>
      <c r="H22" s="199"/>
      <c r="I22" s="199">
        <v>0</v>
      </c>
      <c r="J22" s="199">
        <v>0</v>
      </c>
      <c r="K22" s="199"/>
    </row>
    <row r="23" spans="1:13" ht="29.25" customHeight="1">
      <c r="A23" s="79" t="s">
        <v>16</v>
      </c>
      <c r="B23" s="76">
        <v>10000</v>
      </c>
      <c r="C23" s="202">
        <f>SUM(C4,C14,C22,)</f>
        <v>205578.34</v>
      </c>
      <c r="D23" s="202">
        <f>SUM(D4,D14,)</f>
        <v>14034.048319999998</v>
      </c>
      <c r="E23" s="199">
        <f t="shared" si="5"/>
        <v>6.8266181738796021</v>
      </c>
      <c r="F23" s="202">
        <f>SUM(F4,F14,)</f>
        <v>163843</v>
      </c>
      <c r="G23" s="202">
        <f>SUM(G4,G14,G22)</f>
        <v>12130.91755</v>
      </c>
      <c r="H23" s="199">
        <f t="shared" si="3"/>
        <v>7.4039889101151708</v>
      </c>
      <c r="I23" s="202">
        <f>I4+I14</f>
        <v>41735.339999999997</v>
      </c>
      <c r="J23" s="202">
        <f>J4+J14</f>
        <v>1903.1307700000002</v>
      </c>
      <c r="K23" s="199">
        <f>J23/I23*100</f>
        <v>4.5599982412986222</v>
      </c>
    </row>
    <row r="24" spans="1:13" ht="32.25" customHeight="1">
      <c r="A24" s="79" t="s">
        <v>196</v>
      </c>
      <c r="B24" s="76">
        <v>20200</v>
      </c>
      <c r="C24" s="203">
        <v>678601.33418000001</v>
      </c>
      <c r="D24" s="203">
        <v>18979.400000000001</v>
      </c>
      <c r="E24" s="202">
        <f t="shared" si="5"/>
        <v>2.7968409497653135</v>
      </c>
      <c r="F24" s="202">
        <f>район!C62</f>
        <v>705371.53417999996</v>
      </c>
      <c r="G24" s="202">
        <f>район!D62</f>
        <v>-88.19662000000244</v>
      </c>
      <c r="H24" s="199">
        <f t="shared" si="3"/>
        <v>-1.2503569498665936E-2</v>
      </c>
      <c r="I24" s="202">
        <f>Справка!BZ31</f>
        <v>85866.371469999998</v>
      </c>
      <c r="J24" s="203">
        <v>4668.116</v>
      </c>
      <c r="K24" s="199">
        <f t="shared" ref="K24:K38" si="8">J24/I24*100</f>
        <v>5.4364891867253835</v>
      </c>
    </row>
    <row r="25" spans="1:13" ht="33" customHeight="1">
      <c r="A25" s="79" t="s">
        <v>289</v>
      </c>
      <c r="B25" s="76">
        <v>20700</v>
      </c>
      <c r="C25" s="204">
        <f>F25+I25</f>
        <v>0</v>
      </c>
      <c r="D25" s="204">
        <f>SUM(J25+G25)</f>
        <v>249.5</v>
      </c>
      <c r="E25" s="202"/>
      <c r="F25" s="202"/>
      <c r="G25" s="202"/>
      <c r="H25" s="199"/>
      <c r="I25" s="202">
        <f>Справка!CR31</f>
        <v>0</v>
      </c>
      <c r="J25" s="202">
        <f>Справка!CS31</f>
        <v>249.5</v>
      </c>
      <c r="K25" s="199"/>
    </row>
    <row r="26" spans="1:13" ht="33" customHeight="1">
      <c r="A26" s="79" t="s">
        <v>251</v>
      </c>
      <c r="B26" s="77">
        <v>21900</v>
      </c>
      <c r="C26" s="204">
        <f>F26+I26</f>
        <v>0</v>
      </c>
      <c r="D26" s="204">
        <v>-19535.39184</v>
      </c>
      <c r="E26" s="202"/>
      <c r="F26" s="201">
        <f>район!C70</f>
        <v>0</v>
      </c>
      <c r="G26" s="201">
        <f>район!D70</f>
        <v>-19535.39184</v>
      </c>
      <c r="H26" s="199"/>
      <c r="I26" s="201">
        <v>0</v>
      </c>
      <c r="J26" s="201">
        <f>SUM(Справка!CV18)</f>
        <v>-467.79521999999997</v>
      </c>
      <c r="K26" s="201">
        <v>0</v>
      </c>
      <c r="L26" s="83"/>
    </row>
    <row r="27" spans="1:13" ht="29.25" customHeight="1">
      <c r="A27" s="76" t="s">
        <v>197</v>
      </c>
      <c r="B27" s="76"/>
      <c r="C27" s="206">
        <f>C24+C23+C26+C25</f>
        <v>884179.67417999997</v>
      </c>
      <c r="D27" s="206">
        <f>D24+D23+D26+D25</f>
        <v>13727.556479999996</v>
      </c>
      <c r="E27" s="206">
        <f t="shared" si="5"/>
        <v>1.5525754414939605</v>
      </c>
      <c r="F27" s="206">
        <f>F24+F23</f>
        <v>869214.53417999996</v>
      </c>
      <c r="G27" s="206">
        <f>G24+G23</f>
        <v>12042.720929999998</v>
      </c>
      <c r="H27" s="206">
        <f t="shared" si="3"/>
        <v>1.3854716478436324</v>
      </c>
      <c r="I27" s="206">
        <f>I24+I23</f>
        <v>127601.71146999999</v>
      </c>
      <c r="J27" s="206">
        <f>J24+J23+J25+J26</f>
        <v>6352.9515499999998</v>
      </c>
      <c r="K27" s="205">
        <f t="shared" si="8"/>
        <v>4.9787353765185358</v>
      </c>
      <c r="L27" s="95"/>
      <c r="M27" s="83"/>
    </row>
    <row r="28" spans="1:13" ht="29.25" customHeight="1">
      <c r="A28" s="76" t="s">
        <v>198</v>
      </c>
      <c r="B28" s="76"/>
      <c r="C28" s="206">
        <f>C29+C30+C31+C32+C33+C34+C35+C36+C37+C41+C38+C39+C40</f>
        <v>884179.67418000009</v>
      </c>
      <c r="D28" s="206">
        <f>SUM(D29:D41)</f>
        <v>20177.622050000002</v>
      </c>
      <c r="E28" s="206">
        <f t="shared" si="5"/>
        <v>2.2820725966939914</v>
      </c>
      <c r="F28" s="206">
        <f>SUM(F29+F30+F31+F32+F33+F34+F35+F36+F37+F38+F39+F40+F41)</f>
        <v>869214.53418000008</v>
      </c>
      <c r="G28" s="206">
        <f>SUM(G29:G41)</f>
        <v>23953.807809999998</v>
      </c>
      <c r="H28" s="206">
        <f t="shared" si="3"/>
        <v>2.7557992725694067</v>
      </c>
      <c r="I28" s="206">
        <f>I29+I30+I31+I32+I33+I34+I35+I36+I37+I38+I39+I40+I41</f>
        <v>127601.71146999999</v>
      </c>
      <c r="J28" s="206">
        <f>J29+J30+J31+J32+J33+J34+J35+J36+J37+J38+J39+J40+J41</f>
        <v>891.93023999999991</v>
      </c>
      <c r="K28" s="205">
        <f t="shared" si="8"/>
        <v>0.69899551481305844</v>
      </c>
      <c r="L28" s="95"/>
    </row>
    <row r="29" spans="1:13" ht="30.75" customHeight="1">
      <c r="A29" s="81" t="s">
        <v>199</v>
      </c>
      <c r="B29" s="82" t="s">
        <v>27</v>
      </c>
      <c r="C29" s="265">
        <f>F29+I29</f>
        <v>74462.72834999999</v>
      </c>
      <c r="D29" s="265">
        <f>G29+J29</f>
        <v>1904.2615299999998</v>
      </c>
      <c r="E29" s="208">
        <f t="shared" si="5"/>
        <v>2.5573351557161952</v>
      </c>
      <c r="F29" s="200">
        <f>район!C77</f>
        <v>48468.446349999998</v>
      </c>
      <c r="G29" s="208">
        <f>район!D77</f>
        <v>1222.7886599999999</v>
      </c>
      <c r="H29" s="209">
        <f t="shared" si="3"/>
        <v>2.5228550780646177</v>
      </c>
      <c r="I29" s="209">
        <f>Справка!DJ31</f>
        <v>25994.281999999999</v>
      </c>
      <c r="J29" s="209">
        <f>Справка!DK31</f>
        <v>681.47286999999994</v>
      </c>
      <c r="K29" s="209">
        <f t="shared" si="8"/>
        <v>2.6216260560687923</v>
      </c>
    </row>
    <row r="30" spans="1:13" ht="30.75" customHeight="1">
      <c r="A30" s="81" t="s">
        <v>200</v>
      </c>
      <c r="B30" s="82" t="s">
        <v>43</v>
      </c>
      <c r="C30" s="204">
        <f>I30</f>
        <v>2481.1999999999998</v>
      </c>
      <c r="D30" s="204">
        <f>J30</f>
        <v>50</v>
      </c>
      <c r="E30" s="208">
        <f t="shared" si="5"/>
        <v>2.0151539577623732</v>
      </c>
      <c r="F30" s="200">
        <f>район!C85</f>
        <v>2481.1999999999998</v>
      </c>
      <c r="G30" s="208">
        <f>район!D85</f>
        <v>206.8</v>
      </c>
      <c r="H30" s="209">
        <f t="shared" si="3"/>
        <v>8.334676769305176</v>
      </c>
      <c r="I30" s="209">
        <f>Справка!DY31</f>
        <v>2481.1999999999998</v>
      </c>
      <c r="J30" s="209">
        <f>Справка!DZ31</f>
        <v>50</v>
      </c>
      <c r="K30" s="209">
        <f t="shared" si="8"/>
        <v>2.0151539577623732</v>
      </c>
    </row>
    <row r="31" spans="1:13" ht="33" customHeight="1">
      <c r="A31" s="81" t="s">
        <v>201</v>
      </c>
      <c r="B31" s="82" t="s">
        <v>47</v>
      </c>
      <c r="C31" s="265">
        <f>F31+I31</f>
        <v>4742.8</v>
      </c>
      <c r="D31" s="265">
        <f>G31+J31</f>
        <v>82.659099999999995</v>
      </c>
      <c r="E31" s="208">
        <f t="shared" si="5"/>
        <v>1.7428333473897273</v>
      </c>
      <c r="F31" s="200">
        <f>район!C87</f>
        <v>3910.8</v>
      </c>
      <c r="G31" s="208">
        <f>район!D87</f>
        <v>82.659099999999995</v>
      </c>
      <c r="H31" s="209">
        <f t="shared" si="3"/>
        <v>2.113611025877058</v>
      </c>
      <c r="I31" s="209">
        <f>Справка!EB31</f>
        <v>832</v>
      </c>
      <c r="J31" s="209">
        <f>Справка!EC31</f>
        <v>0</v>
      </c>
      <c r="K31" s="209">
        <f t="shared" si="8"/>
        <v>0</v>
      </c>
    </row>
    <row r="32" spans="1:13" ht="30" customHeight="1">
      <c r="A32" s="81" t="s">
        <v>202</v>
      </c>
      <c r="B32" s="82" t="s">
        <v>55</v>
      </c>
      <c r="C32" s="207">
        <v>83262.89</v>
      </c>
      <c r="D32" s="207">
        <v>1.865</v>
      </c>
      <c r="E32" s="208">
        <f t="shared" si="5"/>
        <v>2.239893426711468E-3</v>
      </c>
      <c r="F32" s="200">
        <f>район!C93</f>
        <v>69291.939999999988</v>
      </c>
      <c r="G32" s="208">
        <f>район!D93</f>
        <v>0</v>
      </c>
      <c r="H32" s="209">
        <f t="shared" si="3"/>
        <v>0</v>
      </c>
      <c r="I32" s="209">
        <f>Справка!EE31</f>
        <v>28237.824000000001</v>
      </c>
      <c r="J32" s="209">
        <f>Справка!EF31</f>
        <v>1.865</v>
      </c>
      <c r="K32" s="209">
        <f t="shared" si="8"/>
        <v>6.6046165596895853E-3</v>
      </c>
    </row>
    <row r="33" spans="1:12" ht="30" customHeight="1">
      <c r="A33" s="81" t="s">
        <v>203</v>
      </c>
      <c r="B33" s="82" t="s">
        <v>65</v>
      </c>
      <c r="C33" s="207">
        <v>51602.645470000003</v>
      </c>
      <c r="D33" s="207">
        <v>143.39032</v>
      </c>
      <c r="E33" s="208">
        <f t="shared" si="5"/>
        <v>0.27787397078966075</v>
      </c>
      <c r="F33" s="200">
        <f>район!C100</f>
        <v>24695.997469999998</v>
      </c>
      <c r="G33" s="208">
        <f>район!D100</f>
        <v>0</v>
      </c>
      <c r="H33" s="209">
        <f t="shared" si="3"/>
        <v>0</v>
      </c>
      <c r="I33" s="209">
        <f>Справка!EH31</f>
        <v>40539.545470000005</v>
      </c>
      <c r="J33" s="209">
        <f>Справка!EI31</f>
        <v>143.39032</v>
      </c>
      <c r="K33" s="209">
        <f t="shared" si="8"/>
        <v>0.35370480437702845</v>
      </c>
    </row>
    <row r="34" spans="1:12" ht="30" customHeight="1">
      <c r="A34" s="81" t="s">
        <v>204</v>
      </c>
      <c r="B34" s="82" t="s">
        <v>73</v>
      </c>
      <c r="C34" s="204">
        <f>F34</f>
        <v>50</v>
      </c>
      <c r="D34" s="204">
        <f>G34</f>
        <v>0</v>
      </c>
      <c r="E34" s="208">
        <f t="shared" si="5"/>
        <v>0</v>
      </c>
      <c r="F34" s="200">
        <f>район!C104</f>
        <v>50</v>
      </c>
      <c r="G34" s="208">
        <f>район!D104</f>
        <v>0</v>
      </c>
      <c r="H34" s="209">
        <f t="shared" si="3"/>
        <v>0</v>
      </c>
      <c r="I34" s="208"/>
      <c r="J34" s="208"/>
      <c r="K34" s="209">
        <v>0</v>
      </c>
    </row>
    <row r="35" spans="1:12" ht="30" customHeight="1">
      <c r="A35" s="81" t="s">
        <v>205</v>
      </c>
      <c r="B35" s="82" t="s">
        <v>77</v>
      </c>
      <c r="C35" s="204">
        <f>F35</f>
        <v>572594.18200000003</v>
      </c>
      <c r="D35" s="204">
        <f>G35</f>
        <v>16751.056049999999</v>
      </c>
      <c r="E35" s="208">
        <f t="shared" si="5"/>
        <v>2.9254673862543714</v>
      </c>
      <c r="F35" s="200">
        <f>район!C106</f>
        <v>572594.18200000003</v>
      </c>
      <c r="G35" s="208">
        <f>район!D106</f>
        <v>16751.056049999999</v>
      </c>
      <c r="H35" s="209">
        <f t="shared" si="3"/>
        <v>2.9254673862543714</v>
      </c>
      <c r="I35" s="208"/>
      <c r="J35" s="208"/>
      <c r="K35" s="209">
        <v>0</v>
      </c>
    </row>
    <row r="36" spans="1:12" ht="30" customHeight="1">
      <c r="A36" s="81" t="s">
        <v>206</v>
      </c>
      <c r="B36" s="82" t="s">
        <v>83</v>
      </c>
      <c r="C36" s="207">
        <v>47035.228999999999</v>
      </c>
      <c r="D36" s="207">
        <v>883.20204999999999</v>
      </c>
      <c r="E36" s="208">
        <f t="shared" si="5"/>
        <v>1.8777458274945362</v>
      </c>
      <c r="F36" s="200">
        <f>район!C112</f>
        <v>44105.569000000003</v>
      </c>
      <c r="G36" s="208">
        <f>район!D112</f>
        <v>868</v>
      </c>
      <c r="H36" s="209">
        <f t="shared" si="3"/>
        <v>1.9680054462056709</v>
      </c>
      <c r="I36" s="209">
        <f>Справка!EK31</f>
        <v>28999.859999999997</v>
      </c>
      <c r="J36" s="209">
        <f>Справка!EL31</f>
        <v>15.20205</v>
      </c>
      <c r="K36" s="209">
        <f t="shared" si="8"/>
        <v>5.2421115136417902E-2</v>
      </c>
      <c r="L36" s="83"/>
    </row>
    <row r="37" spans="1:12" ht="30" customHeight="1">
      <c r="A37" s="81" t="s">
        <v>207</v>
      </c>
      <c r="B37" s="82" t="s">
        <v>208</v>
      </c>
      <c r="C37" s="207">
        <v>41628.59936</v>
      </c>
      <c r="D37" s="207">
        <v>1.2</v>
      </c>
      <c r="E37" s="208">
        <f t="shared" si="5"/>
        <v>2.8826336183509775E-3</v>
      </c>
      <c r="F37" s="200">
        <f>район!C115</f>
        <v>41628.59936</v>
      </c>
      <c r="G37" s="208">
        <f>район!D115</f>
        <v>1.2</v>
      </c>
      <c r="H37" s="209">
        <f t="shared" si="3"/>
        <v>2.8826336183509775E-3</v>
      </c>
      <c r="I37" s="209">
        <f>Справка!EN31</f>
        <v>0</v>
      </c>
      <c r="J37" s="209">
        <f>Справка!EO31</f>
        <v>0</v>
      </c>
      <c r="K37" s="209"/>
    </row>
    <row r="38" spans="1:12" ht="30" customHeight="1">
      <c r="A38" s="81" t="s">
        <v>209</v>
      </c>
      <c r="B38" s="82" t="s">
        <v>92</v>
      </c>
      <c r="C38" s="207">
        <v>6274.4</v>
      </c>
      <c r="D38" s="207">
        <v>359.988</v>
      </c>
      <c r="E38" s="208">
        <f t="shared" si="5"/>
        <v>5.7374091546602068</v>
      </c>
      <c r="F38" s="200">
        <f>район!C120</f>
        <v>5757.4</v>
      </c>
      <c r="G38" s="208">
        <f>район!D120</f>
        <v>359.988</v>
      </c>
      <c r="H38" s="209">
        <f t="shared" si="3"/>
        <v>6.2526140271650403</v>
      </c>
      <c r="I38" s="209">
        <f>Справка!EQ31</f>
        <v>517</v>
      </c>
      <c r="J38" s="209">
        <f>Справка!ER31</f>
        <v>0</v>
      </c>
      <c r="K38" s="209">
        <f t="shared" si="8"/>
        <v>0</v>
      </c>
    </row>
    <row r="39" spans="1:12" ht="30" customHeight="1">
      <c r="A39" s="81" t="s">
        <v>210</v>
      </c>
      <c r="B39" s="82" t="s">
        <v>104</v>
      </c>
      <c r="C39" s="200">
        <f>F39</f>
        <v>45</v>
      </c>
      <c r="D39" s="210">
        <f>G39</f>
        <v>0</v>
      </c>
      <c r="E39" s="208">
        <f t="shared" si="5"/>
        <v>0</v>
      </c>
      <c r="F39" s="200">
        <f>район!C126</f>
        <v>45</v>
      </c>
      <c r="G39" s="208">
        <f>район!D126</f>
        <v>0</v>
      </c>
      <c r="H39" s="209">
        <f t="shared" si="3"/>
        <v>0</v>
      </c>
      <c r="I39" s="209"/>
      <c r="J39" s="209"/>
      <c r="K39" s="209">
        <v>0</v>
      </c>
    </row>
    <row r="40" spans="1:12" ht="34.5" customHeight="1">
      <c r="A40" s="81" t="s">
        <v>211</v>
      </c>
      <c r="B40" s="82" t="s">
        <v>108</v>
      </c>
      <c r="C40" s="200">
        <f>F40</f>
        <v>0</v>
      </c>
      <c r="D40" s="210">
        <f>G40</f>
        <v>0</v>
      </c>
      <c r="E40" s="208"/>
      <c r="F40" s="200">
        <f>район!C128</f>
        <v>0</v>
      </c>
      <c r="G40" s="208">
        <f>район!D128</f>
        <v>0</v>
      </c>
      <c r="H40" s="209">
        <v>0</v>
      </c>
      <c r="I40" s="209"/>
      <c r="J40" s="211"/>
      <c r="K40" s="209">
        <v>0</v>
      </c>
    </row>
    <row r="41" spans="1:12" ht="30" customHeight="1">
      <c r="A41" s="81" t="s">
        <v>212</v>
      </c>
      <c r="B41" s="82" t="s">
        <v>213</v>
      </c>
      <c r="C41" s="200">
        <v>0</v>
      </c>
      <c r="D41" s="210"/>
      <c r="E41" s="208">
        <v>0</v>
      </c>
      <c r="F41" s="200">
        <f>район!C130</f>
        <v>56185.4</v>
      </c>
      <c r="G41" s="208">
        <f>район!D130</f>
        <v>4461.3159999999998</v>
      </c>
      <c r="H41" s="209">
        <f t="shared" si="3"/>
        <v>7.9403474924090593</v>
      </c>
      <c r="I41" s="209">
        <f>Справка!ET31</f>
        <v>0</v>
      </c>
      <c r="J41" s="211">
        <f>Справка!EU31</f>
        <v>0</v>
      </c>
      <c r="K41" s="209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0</v>
      </c>
      <c r="D43" s="138">
        <f>D27-D28</f>
        <v>-6450.0655700000061</v>
      </c>
      <c r="E43" s="138"/>
      <c r="F43" s="138">
        <f>F27-F28</f>
        <v>0</v>
      </c>
      <c r="G43" s="138">
        <f>G27-G28</f>
        <v>-11911.086880000001</v>
      </c>
      <c r="H43" s="138"/>
      <c r="I43" s="138">
        <f>I27-I28</f>
        <v>0</v>
      </c>
      <c r="J43" s="138">
        <f>J27-J28</f>
        <v>5461.0213100000001</v>
      </c>
      <c r="K43" s="138"/>
    </row>
    <row r="44" spans="1:12" hidden="1">
      <c r="A44" s="139"/>
      <c r="B44" s="140"/>
      <c r="C44" s="138">
        <f>C43-F44</f>
        <v>0</v>
      </c>
      <c r="D44" s="138">
        <f>D43-G44</f>
        <v>0</v>
      </c>
      <c r="E44" s="138"/>
      <c r="F44" s="138">
        <f>F43+I43</f>
        <v>0</v>
      </c>
      <c r="G44" s="138">
        <f>G43+J43</f>
        <v>-6450.0655700000007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678601.33418000012</v>
      </c>
      <c r="G45" s="142">
        <f>D28+G44-D23-D26</f>
        <v>19228.900000000001</v>
      </c>
      <c r="H45" s="136"/>
      <c r="I45" s="136"/>
      <c r="J45" s="136"/>
      <c r="K45" s="138"/>
    </row>
    <row r="46" spans="1:12">
      <c r="A46" s="139"/>
      <c r="B46" s="140"/>
      <c r="C46" s="214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117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>
      <c r="A50" s="139" t="s">
        <v>214</v>
      </c>
      <c r="B50" s="140"/>
      <c r="C50" s="143" t="s">
        <v>255</v>
      </c>
      <c r="D50" s="484"/>
      <c r="E50" s="484"/>
      <c r="F50" s="144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F11" sqref="F11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Normal="100" zoomScaleSheetLayoutView="70" workbookViewId="0">
      <selection activeCell="C99" sqref="C9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407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6.75" customHeight="1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103.30586</v>
      </c>
      <c r="E4" s="5">
        <f>SUM(D4/C4*100)</f>
        <v>4.216359198733123</v>
      </c>
      <c r="F4" s="5">
        <f>SUM(D4-C4)</f>
        <v>-2346.81414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12.97113</v>
      </c>
      <c r="E5" s="5">
        <f t="shared" ref="E5:E51" si="0">SUM(D5/C5*100)</f>
        <v>5.7041029023746708</v>
      </c>
      <c r="F5" s="5">
        <f t="shared" ref="F5:F51" si="1">SUM(D5-C5)</f>
        <v>-214.42887000000002</v>
      </c>
    </row>
    <row r="6" spans="1:6">
      <c r="A6" s="7">
        <v>1010200001</v>
      </c>
      <c r="B6" s="8" t="s">
        <v>225</v>
      </c>
      <c r="C6" s="9">
        <v>227.4</v>
      </c>
      <c r="D6" s="10">
        <v>12.97113</v>
      </c>
      <c r="E6" s="9">
        <f t="shared" ref="E6:E11" si="2">SUM(D6/C6*100)</f>
        <v>5.7041029023746708</v>
      </c>
      <c r="F6" s="9">
        <f t="shared" si="1"/>
        <v>-214.42887000000002</v>
      </c>
    </row>
    <row r="7" spans="1:6" ht="31.5">
      <c r="A7" s="3">
        <v>1030000000</v>
      </c>
      <c r="B7" s="13" t="s">
        <v>267</v>
      </c>
      <c r="C7" s="5">
        <f>C8+C10+C9</f>
        <v>479.72</v>
      </c>
      <c r="D7" s="5">
        <f>D8+D9+D10+D11</f>
        <v>40.504179999999998</v>
      </c>
      <c r="E7" s="9">
        <f t="shared" si="2"/>
        <v>8.4432960893854734</v>
      </c>
      <c r="F7" s="9">
        <f t="shared" si="1"/>
        <v>-439.21582000000001</v>
      </c>
    </row>
    <row r="8" spans="1:6">
      <c r="A8" s="7">
        <v>1030223001</v>
      </c>
      <c r="B8" s="8" t="s">
        <v>269</v>
      </c>
      <c r="C8" s="9">
        <v>178.94</v>
      </c>
      <c r="D8" s="10">
        <v>18.603429999999999</v>
      </c>
      <c r="E8" s="9">
        <f t="shared" si="2"/>
        <v>10.396462501397115</v>
      </c>
      <c r="F8" s="9">
        <f t="shared" si="1"/>
        <v>-160.33656999999999</v>
      </c>
    </row>
    <row r="9" spans="1:6">
      <c r="A9" s="7">
        <v>1030224001</v>
      </c>
      <c r="B9" s="8" t="s">
        <v>275</v>
      </c>
      <c r="C9" s="9">
        <v>1.92</v>
      </c>
      <c r="D9" s="10">
        <v>0.10965999999999999</v>
      </c>
      <c r="E9" s="9">
        <f t="shared" si="2"/>
        <v>5.7114583333333329</v>
      </c>
      <c r="F9" s="9">
        <f t="shared" si="1"/>
        <v>-1.8103399999999998</v>
      </c>
    </row>
    <row r="10" spans="1:6">
      <c r="A10" s="7">
        <v>1030225001</v>
      </c>
      <c r="B10" s="8" t="s">
        <v>268</v>
      </c>
      <c r="C10" s="9">
        <v>298.86</v>
      </c>
      <c r="D10" s="10">
        <v>24.961459999999999</v>
      </c>
      <c r="E10" s="9">
        <f t="shared" si="2"/>
        <v>8.3522251221307631</v>
      </c>
      <c r="F10" s="9">
        <f t="shared" si="1"/>
        <v>-273.89854000000003</v>
      </c>
    </row>
    <row r="11" spans="1:6">
      <c r="A11" s="7">
        <v>1030265001</v>
      </c>
      <c r="B11" s="8" t="s">
        <v>277</v>
      </c>
      <c r="C11" s="9">
        <v>0</v>
      </c>
      <c r="D11" s="10">
        <v>-3.1703700000000001</v>
      </c>
      <c r="E11" s="9" t="e">
        <f t="shared" si="2"/>
        <v>#DIV/0!</v>
      </c>
      <c r="F11" s="9">
        <f t="shared" si="1"/>
        <v>-3.1703700000000001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1.4910000000000001</v>
      </c>
      <c r="E12" s="5">
        <f t="shared" si="0"/>
        <v>9.94</v>
      </c>
      <c r="F12" s="5">
        <f t="shared" si="1"/>
        <v>-13.509</v>
      </c>
    </row>
    <row r="13" spans="1:6" ht="15.75" customHeight="1">
      <c r="A13" s="7">
        <v>1050300000</v>
      </c>
      <c r="B13" s="11" t="s">
        <v>226</v>
      </c>
      <c r="C13" s="12">
        <v>15</v>
      </c>
      <c r="D13" s="10">
        <v>1.4910000000000001</v>
      </c>
      <c r="E13" s="9">
        <f t="shared" si="0"/>
        <v>9.94</v>
      </c>
      <c r="F13" s="9">
        <f t="shared" si="1"/>
        <v>-13.509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48.339550000000003</v>
      </c>
      <c r="E14" s="5">
        <f t="shared" si="0"/>
        <v>2.8104389534883722</v>
      </c>
      <c r="F14" s="5">
        <f t="shared" si="1"/>
        <v>-1671.6604500000001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3.2356400000000001</v>
      </c>
      <c r="E15" s="9">
        <f t="shared" si="0"/>
        <v>0.92446857142857142</v>
      </c>
      <c r="F15" s="9">
        <f>SUM(D15-C15)</f>
        <v>-346.76436000000001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45.103909999999999</v>
      </c>
      <c r="E16" s="9">
        <f t="shared" si="0"/>
        <v>3.2922562043795622</v>
      </c>
      <c r="F16" s="9">
        <f t="shared" si="1"/>
        <v>-1324.89609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</v>
      </c>
      <c r="E17" s="5">
        <f t="shared" si="0"/>
        <v>0</v>
      </c>
      <c r="F17" s="5">
        <f t="shared" si="1"/>
        <v>-8</v>
      </c>
    </row>
    <row r="18" spans="1:6" ht="18" customHeight="1">
      <c r="A18" s="7">
        <v>1080400001</v>
      </c>
      <c r="B18" s="8" t="s">
        <v>224</v>
      </c>
      <c r="C18" s="9">
        <v>8</v>
      </c>
      <c r="D18" s="9"/>
      <c r="E18" s="9">
        <f t="shared" si="0"/>
        <v>0</v>
      </c>
      <c r="F18" s="9">
        <f t="shared" si="1"/>
        <v>-8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5.5872100000000007</v>
      </c>
      <c r="E25" s="5">
        <f t="shared" si="0"/>
        <v>1.7244475308641978</v>
      </c>
      <c r="F25" s="5">
        <f t="shared" si="1"/>
        <v>-318.41278999999997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4.6500000000000004</v>
      </c>
      <c r="E26" s="5">
        <f t="shared" si="0"/>
        <v>1.4351851851851853</v>
      </c>
      <c r="F26" s="5">
        <f t="shared" si="1"/>
        <v>-319.35000000000002</v>
      </c>
    </row>
    <row r="27" spans="1:6" ht="15.75" customHeight="1">
      <c r="A27" s="16">
        <v>1110502510</v>
      </c>
      <c r="B27" s="17" t="s">
        <v>222</v>
      </c>
      <c r="C27" s="12">
        <v>270</v>
      </c>
      <c r="D27" s="12">
        <v>4.6500000000000004</v>
      </c>
      <c r="E27" s="9">
        <f t="shared" si="0"/>
        <v>1.7222222222222223</v>
      </c>
      <c r="F27" s="9">
        <f t="shared" si="1"/>
        <v>-265.35000000000002</v>
      </c>
    </row>
    <row r="28" spans="1:6" ht="17.25" customHeight="1">
      <c r="A28" s="7">
        <v>1110503510</v>
      </c>
      <c r="B28" s="11" t="s">
        <v>221</v>
      </c>
      <c r="C28" s="12">
        <v>54</v>
      </c>
      <c r="D28" s="10"/>
      <c r="E28" s="9">
        <f t="shared" si="0"/>
        <v>0</v>
      </c>
      <c r="F28" s="9">
        <f t="shared" si="1"/>
        <v>-54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5.3297999999999996</v>
      </c>
      <c r="E29" s="5" t="e">
        <f t="shared" si="0"/>
        <v>#DIV/0!</v>
      </c>
      <c r="F29" s="5">
        <f t="shared" si="1"/>
        <v>5.3297999999999996</v>
      </c>
    </row>
    <row r="30" spans="1:6" ht="15.75" customHeight="1">
      <c r="A30" s="7">
        <v>1130206005</v>
      </c>
      <c r="B30" s="8" t="s">
        <v>220</v>
      </c>
      <c r="C30" s="9">
        <v>0</v>
      </c>
      <c r="D30" s="10">
        <v>5.3297999999999996</v>
      </c>
      <c r="E30" s="9" t="e">
        <f t="shared" si="0"/>
        <v>#DIV/0!</v>
      </c>
      <c r="F30" s="9">
        <f t="shared" si="1"/>
        <v>5.3297999999999996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-4.3925900000000002</v>
      </c>
      <c r="E36" s="5" t="e">
        <f t="shared" si="0"/>
        <v>#DIV/0!</v>
      </c>
      <c r="F36" s="5">
        <f t="shared" si="1"/>
        <v>-4.3925900000000002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-4.3925900000000002</v>
      </c>
      <c r="E37" s="9" t="e">
        <f t="shared" si="0"/>
        <v>#DIV/0!</v>
      </c>
      <c r="F37" s="9">
        <f t="shared" si="1"/>
        <v>-4.3925900000000002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60">
        <f>SUM(C4,C25)</f>
        <v>2774.12</v>
      </c>
      <c r="D39" s="260">
        <f>SUM(D4,D25)</f>
        <v>108.89306999999999</v>
      </c>
      <c r="E39" s="5">
        <f t="shared" si="0"/>
        <v>3.9253193805603215</v>
      </c>
      <c r="F39" s="5">
        <f t="shared" si="1"/>
        <v>-2665.2269299999998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4216.7669999999998</v>
      </c>
      <c r="D40" s="255">
        <f>D41+D43+D45+D46+D48+D49+D42+D47</f>
        <v>286.1354</v>
      </c>
      <c r="E40" s="5">
        <f t="shared" si="0"/>
        <v>6.7856583017273664</v>
      </c>
      <c r="F40" s="5">
        <f t="shared" si="1"/>
        <v>-3930.6315999999997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268.90199999999999</v>
      </c>
      <c r="E41" s="9">
        <f t="shared" si="0"/>
        <v>8.3333953142432122</v>
      </c>
      <c r="F41" s="9">
        <f t="shared" si="1"/>
        <v>-2957.8980000000001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678.94</v>
      </c>
      <c r="D43" s="10">
        <v>0</v>
      </c>
      <c r="E43" s="9">
        <f t="shared" si="0"/>
        <v>0</v>
      </c>
      <c r="F43" s="9">
        <f t="shared" si="1"/>
        <v>-678.94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211.02699999999999</v>
      </c>
      <c r="D45" s="185">
        <v>17.2334</v>
      </c>
      <c r="E45" s="9">
        <f t="shared" si="0"/>
        <v>8.1664431565629041</v>
      </c>
      <c r="F45" s="9">
        <f t="shared" si="1"/>
        <v>-193.7936</v>
      </c>
    </row>
    <row r="46" spans="1:7" ht="19.5" customHeight="1">
      <c r="A46" s="16">
        <v>2020400000</v>
      </c>
      <c r="B46" s="17" t="s">
        <v>21</v>
      </c>
      <c r="C46" s="12">
        <v>100</v>
      </c>
      <c r="D46" s="186"/>
      <c r="E46" s="9">
        <f t="shared" si="0"/>
        <v>0</v>
      </c>
      <c r="F46" s="9">
        <f t="shared" si="1"/>
        <v>-100</v>
      </c>
    </row>
    <row r="47" spans="1:7" ht="20.25" customHeight="1">
      <c r="A47" s="7">
        <v>2070500010</v>
      </c>
      <c r="B47" s="18" t="s">
        <v>284</v>
      </c>
      <c r="C47" s="12">
        <v>0</v>
      </c>
      <c r="D47" s="186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6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8">
        <f>C39+C40</f>
        <v>6990.8869999999997</v>
      </c>
      <c r="D51" s="249">
        <f>D39+D40</f>
        <v>395.02846999999997</v>
      </c>
      <c r="E51" s="5">
        <f t="shared" si="0"/>
        <v>5.6506201573562835</v>
      </c>
      <c r="F51" s="5">
        <f t="shared" si="1"/>
        <v>-6595.8585299999995</v>
      </c>
      <c r="G51" s="198"/>
    </row>
    <row r="52" spans="1:7" s="6" customFormat="1">
      <c r="A52" s="3"/>
      <c r="B52" s="21" t="s">
        <v>307</v>
      </c>
      <c r="C52" s="93">
        <f>C51-C99</f>
        <v>0</v>
      </c>
      <c r="D52" s="93">
        <f>D51-D99</f>
        <v>364.02846999999997</v>
      </c>
      <c r="E52" s="22"/>
      <c r="F52" s="22"/>
    </row>
    <row r="53" spans="1:7" ht="23.25" customHeight="1">
      <c r="A53" s="23"/>
      <c r="B53" s="24"/>
      <c r="C53" s="177"/>
      <c r="D53" s="177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1575.69</v>
      </c>
      <c r="D56" s="33">
        <f>D57+D58+D59+D60+D61+D63+D62</f>
        <v>27</v>
      </c>
      <c r="E56" s="34">
        <f>SUM(D56/C56*100)</f>
        <v>1.7135350227519373</v>
      </c>
      <c r="F56" s="34">
        <f>SUM(D56-C56)</f>
        <v>-1548.69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1471.7</v>
      </c>
      <c r="D58" s="37">
        <v>27</v>
      </c>
      <c r="E58" s="38">
        <f t="shared" ref="E58:E99" si="3">SUM(D58/C58*100)</f>
        <v>1.8346130325473942</v>
      </c>
      <c r="F58" s="38">
        <f t="shared" ref="F58:F99" si="4">SUM(D58-C58)</f>
        <v>-1444.7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3.99</v>
      </c>
      <c r="D63" s="37">
        <v>0</v>
      </c>
      <c r="E63" s="38">
        <f t="shared" si="3"/>
        <v>0</v>
      </c>
      <c r="F63" s="38">
        <f t="shared" si="4"/>
        <v>-3.99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4</v>
      </c>
      <c r="E64" s="34">
        <f t="shared" si="3"/>
        <v>1.9345446807275821</v>
      </c>
      <c r="F64" s="34">
        <f t="shared" si="4"/>
        <v>-202.767</v>
      </c>
    </row>
    <row r="65" spans="1:7">
      <c r="A65" s="43" t="s">
        <v>45</v>
      </c>
      <c r="B65" s="44" t="s">
        <v>46</v>
      </c>
      <c r="C65" s="37">
        <v>206.767</v>
      </c>
      <c r="D65" s="37">
        <v>4</v>
      </c>
      <c r="E65" s="38">
        <f t="shared" si="3"/>
        <v>1.9345446807275821</v>
      </c>
      <c r="F65" s="38">
        <f t="shared" si="4"/>
        <v>-202.767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/>
      <c r="E70" s="38">
        <f>SUM(D70/C70*100)</f>
        <v>0</v>
      </c>
      <c r="F70" s="38">
        <f>SUM(D70-C70)</f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1582.92</v>
      </c>
      <c r="D72" s="48">
        <f>SUM(D73:D76)</f>
        <v>0</v>
      </c>
      <c r="E72" s="34">
        <f t="shared" si="3"/>
        <v>0</v>
      </c>
      <c r="F72" s="34">
        <f t="shared" si="4"/>
        <v>-1582.92</v>
      </c>
    </row>
    <row r="73" spans="1:7" ht="17.2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1428.66</v>
      </c>
      <c r="D75" s="37">
        <v>0</v>
      </c>
      <c r="E75" s="38">
        <f t="shared" si="3"/>
        <v>0</v>
      </c>
      <c r="F75" s="38">
        <f t="shared" si="4"/>
        <v>-1428.66</v>
      </c>
    </row>
    <row r="76" spans="1:7">
      <c r="A76" s="35" t="s">
        <v>63</v>
      </c>
      <c r="B76" s="39" t="s">
        <v>64</v>
      </c>
      <c r="C76" s="49">
        <v>150</v>
      </c>
      <c r="D76" s="37">
        <v>0</v>
      </c>
      <c r="E76" s="38">
        <f t="shared" si="3"/>
        <v>0</v>
      </c>
      <c r="F76" s="38">
        <f t="shared" si="4"/>
        <v>-150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1626.75</v>
      </c>
      <c r="D77" s="32">
        <f>SUM(D78:D81)</f>
        <v>0</v>
      </c>
      <c r="E77" s="34">
        <f t="shared" si="3"/>
        <v>0</v>
      </c>
      <c r="F77" s="34">
        <f t="shared" si="4"/>
        <v>-1626.75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590</v>
      </c>
      <c r="D79" s="37"/>
      <c r="E79" s="38">
        <f t="shared" si="3"/>
        <v>0</v>
      </c>
      <c r="F79" s="38">
        <f t="shared" si="4"/>
        <v>-590</v>
      </c>
    </row>
    <row r="80" spans="1:7" ht="16.5" customHeight="1">
      <c r="A80" s="35" t="s">
        <v>71</v>
      </c>
      <c r="B80" s="39" t="s">
        <v>72</v>
      </c>
      <c r="C80" s="37">
        <v>1036.75</v>
      </c>
      <c r="D80" s="37"/>
      <c r="E80" s="38">
        <f t="shared" si="3"/>
        <v>0</v>
      </c>
      <c r="F80" s="38">
        <f t="shared" si="4"/>
        <v>-1036.75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1933.76</v>
      </c>
      <c r="D82" s="32">
        <f>SUM(D83)</f>
        <v>0</v>
      </c>
      <c r="E82" s="34">
        <f t="shared" si="3"/>
        <v>0</v>
      </c>
      <c r="F82" s="34">
        <f t="shared" si="4"/>
        <v>-1933.76</v>
      </c>
    </row>
    <row r="83" spans="1:6" ht="16.5" customHeight="1">
      <c r="A83" s="35" t="s">
        <v>85</v>
      </c>
      <c r="B83" s="39" t="s">
        <v>230</v>
      </c>
      <c r="C83" s="37">
        <v>1933.76</v>
      </c>
      <c r="D83" s="37"/>
      <c r="E83" s="38">
        <f t="shared" si="3"/>
        <v>0</v>
      </c>
      <c r="F83" s="38">
        <f t="shared" si="4"/>
        <v>-1933.76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1">
        <f>C56+C64+C66+C72+C77+C82+C84+C89+C95</f>
        <v>6990.8870000000006</v>
      </c>
      <c r="D99" s="251">
        <f>D56+D64+D66+D72+D77+D82+D84+D89+D95</f>
        <v>31</v>
      </c>
      <c r="E99" s="34">
        <f t="shared" si="3"/>
        <v>0.44343443113870956</v>
      </c>
      <c r="F99" s="34">
        <f t="shared" si="4"/>
        <v>-6959.8870000000006</v>
      </c>
    </row>
    <row r="100" spans="1:6" ht="20.25" customHeight="1">
      <c r="C100" s="233"/>
      <c r="D100" s="234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36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28" zoomScale="70" zoomScaleNormal="100" zoomScaleSheetLayoutView="70" workbookViewId="0">
      <selection activeCell="C62" sqref="C62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408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89.85508999999999</v>
      </c>
      <c r="E4" s="5">
        <f>SUM(D4/C4*100)</f>
        <v>4.7003944236654194</v>
      </c>
      <c r="F4" s="5">
        <f>SUM(D4-C4)</f>
        <v>-1821.7949100000001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1.8184199999999999</v>
      </c>
      <c r="E5" s="5">
        <f t="shared" ref="E5:E51" si="0">SUM(D5/C5*100)</f>
        <v>1.4245358401880139</v>
      </c>
      <c r="F5" s="5">
        <f t="shared" ref="F5:F48" si="1">SUM(D5-C5)</f>
        <v>-125.83158</v>
      </c>
    </row>
    <row r="6" spans="1:6">
      <c r="A6" s="7">
        <v>1010200001</v>
      </c>
      <c r="B6" s="8" t="s">
        <v>225</v>
      </c>
      <c r="C6" s="9">
        <v>127.65</v>
      </c>
      <c r="D6" s="10">
        <v>1.8184199999999999</v>
      </c>
      <c r="E6" s="9">
        <f t="shared" ref="E6:E11" si="2">SUM(D6/C6*100)</f>
        <v>1.4245358401880139</v>
      </c>
      <c r="F6" s="9">
        <f t="shared" si="1"/>
        <v>-125.83158</v>
      </c>
    </row>
    <row r="7" spans="1:6" ht="31.5">
      <c r="A7" s="3">
        <v>1030000000</v>
      </c>
      <c r="B7" s="13" t="s">
        <v>267</v>
      </c>
      <c r="C7" s="5">
        <f>C8+C10+C9</f>
        <v>591</v>
      </c>
      <c r="D7" s="5">
        <f>D8+D10+D9+D11</f>
        <v>49.899479999999997</v>
      </c>
      <c r="E7" s="9">
        <f t="shared" si="2"/>
        <v>8.4432284263959385</v>
      </c>
      <c r="F7" s="9">
        <f t="shared" si="1"/>
        <v>-541.10051999999996</v>
      </c>
    </row>
    <row r="8" spans="1:6">
      <c r="A8" s="7">
        <v>1030223001</v>
      </c>
      <c r="B8" s="8" t="s">
        <v>269</v>
      </c>
      <c r="C8" s="9">
        <v>220.44</v>
      </c>
      <c r="D8" s="10">
        <v>22.91864</v>
      </c>
      <c r="E8" s="9">
        <f t="shared" si="2"/>
        <v>10.396770096171295</v>
      </c>
      <c r="F8" s="9">
        <f t="shared" si="1"/>
        <v>-197.52135999999999</v>
      </c>
    </row>
    <row r="9" spans="1:6">
      <c r="A9" s="7">
        <v>1030224001</v>
      </c>
      <c r="B9" s="8" t="s">
        <v>275</v>
      </c>
      <c r="C9" s="9">
        <v>2.36</v>
      </c>
      <c r="D9" s="10">
        <v>0.13508999999999999</v>
      </c>
      <c r="E9" s="9">
        <f t="shared" si="2"/>
        <v>5.724152542372881</v>
      </c>
      <c r="F9" s="9">
        <f t="shared" si="1"/>
        <v>-2.2249099999999999</v>
      </c>
    </row>
    <row r="10" spans="1:6">
      <c r="A10" s="7">
        <v>1030225001</v>
      </c>
      <c r="B10" s="8" t="s">
        <v>268</v>
      </c>
      <c r="C10" s="9">
        <v>368.2</v>
      </c>
      <c r="D10" s="10">
        <v>30.751480000000001</v>
      </c>
      <c r="E10" s="9">
        <f t="shared" si="2"/>
        <v>8.351841390548616</v>
      </c>
      <c r="F10" s="9">
        <f t="shared" si="1"/>
        <v>-337.44851999999997</v>
      </c>
    </row>
    <row r="11" spans="1:6">
      <c r="A11" s="7">
        <v>1030226001</v>
      </c>
      <c r="B11" s="8" t="s">
        <v>277</v>
      </c>
      <c r="C11" s="9">
        <v>0</v>
      </c>
      <c r="D11" s="10">
        <v>-3.9057300000000001</v>
      </c>
      <c r="E11" s="9" t="e">
        <f t="shared" si="2"/>
        <v>#DIV/0!</v>
      </c>
      <c r="F11" s="9">
        <f t="shared" si="1"/>
        <v>-3.9057300000000001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17.828099999999999</v>
      </c>
      <c r="E12" s="5">
        <f t="shared" si="0"/>
        <v>19.808999999999997</v>
      </c>
      <c r="F12" s="5">
        <f t="shared" si="1"/>
        <v>-72.171899999999994</v>
      </c>
    </row>
    <row r="13" spans="1:6" ht="15.75" customHeight="1">
      <c r="A13" s="7">
        <v>1050300000</v>
      </c>
      <c r="B13" s="11" t="s">
        <v>226</v>
      </c>
      <c r="C13" s="12">
        <v>90</v>
      </c>
      <c r="D13" s="10">
        <v>17.828099999999999</v>
      </c>
      <c r="E13" s="9">
        <f t="shared" si="0"/>
        <v>19.808999999999997</v>
      </c>
      <c r="F13" s="9">
        <f t="shared" si="1"/>
        <v>-72.171899999999994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20.109089999999998</v>
      </c>
      <c r="E14" s="5">
        <f t="shared" si="0"/>
        <v>1.8297625113739762</v>
      </c>
      <c r="F14" s="5">
        <f t="shared" si="1"/>
        <v>-1078.8909100000001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2.3117899999999998</v>
      </c>
      <c r="E15" s="9">
        <f t="shared" si="0"/>
        <v>1.2843277777777777</v>
      </c>
      <c r="F15" s="9">
        <f>SUM(D15-C15)</f>
        <v>-177.68821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17.7973</v>
      </c>
      <c r="E16" s="9">
        <f t="shared" si="0"/>
        <v>1.9365941240478781</v>
      </c>
      <c r="F16" s="9">
        <f t="shared" si="1"/>
        <v>-901.20270000000005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0.2</v>
      </c>
      <c r="E17" s="5">
        <f t="shared" si="0"/>
        <v>5</v>
      </c>
      <c r="F17" s="5">
        <f t="shared" si="1"/>
        <v>-3.8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0.2</v>
      </c>
      <c r="E18" s="9">
        <f t="shared" si="0"/>
        <v>5</v>
      </c>
      <c r="F18" s="9">
        <f t="shared" si="1"/>
        <v>-3.8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249.5</v>
      </c>
      <c r="D25" s="5">
        <f>D26+D29+D31+D36+D34</f>
        <v>0.56447999999999998</v>
      </c>
      <c r="E25" s="5">
        <f t="shared" si="0"/>
        <v>0.22624448897795593</v>
      </c>
      <c r="F25" s="5">
        <f t="shared" si="1"/>
        <v>-248.93552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50">
        <f>D27+D28</f>
        <v>0.56447999999999998</v>
      </c>
      <c r="E26" s="5">
        <f t="shared" si="0"/>
        <v>0.22624448897795593</v>
      </c>
      <c r="F26" s="5">
        <f t="shared" si="1"/>
        <v>-248.93552</v>
      </c>
    </row>
    <row r="27" spans="1:6">
      <c r="A27" s="16">
        <v>1110502510</v>
      </c>
      <c r="B27" s="17" t="s">
        <v>222</v>
      </c>
      <c r="C27" s="12">
        <v>242.8</v>
      </c>
      <c r="D27" s="10">
        <v>0</v>
      </c>
      <c r="E27" s="9">
        <f t="shared" si="0"/>
        <v>0</v>
      </c>
      <c r="F27" s="9">
        <f t="shared" si="1"/>
        <v>-242.8</v>
      </c>
    </row>
    <row r="28" spans="1:6" ht="18" customHeight="1">
      <c r="A28" s="7">
        <v>1110503510</v>
      </c>
      <c r="B28" s="11" t="s">
        <v>221</v>
      </c>
      <c r="C28" s="12">
        <v>6.7</v>
      </c>
      <c r="D28" s="10">
        <v>0.56447999999999998</v>
      </c>
      <c r="E28" s="9">
        <f t="shared" si="0"/>
        <v>8.4250746268656709</v>
      </c>
      <c r="F28" s="9">
        <f t="shared" si="1"/>
        <v>-6.1355200000000005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2161.15</v>
      </c>
      <c r="D39" s="126">
        <f>SUM(D4,D25)</f>
        <v>90.419569999999993</v>
      </c>
      <c r="E39" s="5">
        <f t="shared" si="0"/>
        <v>4.1838636836869254</v>
      </c>
      <c r="F39" s="5">
        <f t="shared" si="1"/>
        <v>-2070.7304300000001</v>
      </c>
    </row>
    <row r="40" spans="1:7" s="6" customFormat="1">
      <c r="A40" s="3">
        <v>2000000000</v>
      </c>
      <c r="B40" s="4" t="s">
        <v>17</v>
      </c>
      <c r="C40" s="232">
        <f>C41+C42+C43+C44+C48+C49</f>
        <v>5750.9769999999999</v>
      </c>
      <c r="D40" s="232">
        <f>D41+D42+D43+D44+D48+D49+D50</f>
        <v>403.71140000000003</v>
      </c>
      <c r="E40" s="5">
        <f t="shared" si="0"/>
        <v>7.0198750577510571</v>
      </c>
      <c r="F40" s="5">
        <f t="shared" si="1"/>
        <v>-5347.2655999999997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386.47800000000001</v>
      </c>
      <c r="E41" s="9">
        <f t="shared" si="0"/>
        <v>8.3333980205705416</v>
      </c>
      <c r="F41" s="9">
        <f t="shared" si="1"/>
        <v>-4251.2219999999998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827.25</v>
      </c>
      <c r="D43" s="10">
        <v>0</v>
      </c>
      <c r="E43" s="9">
        <f t="shared" si="0"/>
        <v>0</v>
      </c>
      <c r="F43" s="9">
        <f t="shared" si="1"/>
        <v>-827.25</v>
      </c>
    </row>
    <row r="44" spans="1:7" ht="18" customHeight="1">
      <c r="A44" s="16">
        <v>2023000000</v>
      </c>
      <c r="B44" s="17" t="s">
        <v>20</v>
      </c>
      <c r="C44" s="12">
        <v>211.02699999999999</v>
      </c>
      <c r="D44" s="185">
        <v>17.2334</v>
      </c>
      <c r="E44" s="9">
        <f t="shared" si="0"/>
        <v>8.1664431565629041</v>
      </c>
      <c r="F44" s="9">
        <f t="shared" si="1"/>
        <v>-193.7936</v>
      </c>
    </row>
    <row r="45" spans="1:7" ht="0.75" hidden="1" customHeight="1">
      <c r="A45" s="16">
        <v>2020400000</v>
      </c>
      <c r="B45" s="17" t="s">
        <v>21</v>
      </c>
      <c r="C45" s="12"/>
      <c r="D45" s="186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6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>
        <v>75</v>
      </c>
      <c r="D48" s="10"/>
      <c r="E48" s="9">
        <f t="shared" si="0"/>
        <v>0</v>
      </c>
      <c r="F48" s="9">
        <f t="shared" si="1"/>
        <v>-75</v>
      </c>
    </row>
    <row r="49" spans="1:7" s="6" customFormat="1" ht="18.75" customHeight="1">
      <c r="A49" s="7">
        <v>2070500010</v>
      </c>
      <c r="B49" s="8" t="s">
        <v>335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8">
        <f>C39+C40</f>
        <v>7912.1270000000004</v>
      </c>
      <c r="D51" s="248">
        <f>SUM(D39,D40,)</f>
        <v>494.13097000000005</v>
      </c>
      <c r="E51" s="5">
        <f t="shared" si="0"/>
        <v>6.2452355731903699</v>
      </c>
      <c r="F51" s="5">
        <f>SUM(D51-C51)</f>
        <v>-7417.9960300000002</v>
      </c>
      <c r="G51" s="198"/>
    </row>
    <row r="52" spans="1:7" s="6" customFormat="1">
      <c r="A52" s="3"/>
      <c r="B52" s="21" t="s">
        <v>307</v>
      </c>
      <c r="C52" s="248">
        <f>C51-C98</f>
        <v>0</v>
      </c>
      <c r="D52" s="248">
        <f>D51-D98</f>
        <v>419.80365000000006</v>
      </c>
      <c r="E52" s="22"/>
      <c r="F52" s="22"/>
    </row>
    <row r="53" spans="1:7">
      <c r="A53" s="23"/>
      <c r="B53" s="24"/>
      <c r="C53" s="184"/>
      <c r="D53" s="184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1645.8869999999999</v>
      </c>
      <c r="D56" s="181">
        <f>D57+D58+D59+D60+D61+D63+D62</f>
        <v>69.527320000000003</v>
      </c>
      <c r="E56" s="34">
        <f>SUM(D56/C56*100)</f>
        <v>4.2243070150016377</v>
      </c>
      <c r="F56" s="34">
        <f>SUM(D56-C56)</f>
        <v>-1576.35968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69.527320000000003</v>
      </c>
      <c r="E58" s="38">
        <f t="shared" ref="E58:E98" si="3">SUM(D58/C58*100)</f>
        <v>4.6151556588118154</v>
      </c>
      <c r="F58" s="38">
        <f t="shared" ref="F58:F98" si="4">SUM(D58-C58)</f>
        <v>-1436.9726800000001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39.387</v>
      </c>
      <c r="D63" s="37">
        <v>0</v>
      </c>
      <c r="E63" s="38">
        <f t="shared" si="3"/>
        <v>0</v>
      </c>
      <c r="F63" s="38">
        <f t="shared" si="4"/>
        <v>-39.387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4.8</v>
      </c>
      <c r="E64" s="34">
        <f>SUM(D64/C64*100)</f>
        <v>2.3214536168730984</v>
      </c>
      <c r="F64" s="34">
        <f t="shared" si="4"/>
        <v>-201.96699999999998</v>
      </c>
    </row>
    <row r="65" spans="1:7">
      <c r="A65" s="43" t="s">
        <v>45</v>
      </c>
      <c r="B65" s="44" t="s">
        <v>46</v>
      </c>
      <c r="C65" s="37">
        <v>206.767</v>
      </c>
      <c r="D65" s="37">
        <v>4.8</v>
      </c>
      <c r="E65" s="266">
        <f>SUM(D65/C65*100)</f>
        <v>2.3214536168730984</v>
      </c>
      <c r="F65" s="38">
        <f t="shared" si="4"/>
        <v>-201.96699999999998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0</v>
      </c>
      <c r="E66" s="34">
        <f t="shared" si="3"/>
        <v>0</v>
      </c>
      <c r="F66" s="34">
        <f t="shared" si="4"/>
        <v>-115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110</v>
      </c>
      <c r="D70" s="37">
        <v>0</v>
      </c>
      <c r="E70" s="34">
        <f t="shared" si="3"/>
        <v>0</v>
      </c>
      <c r="F70" s="34">
        <f t="shared" si="4"/>
        <v>-110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1965.31</v>
      </c>
      <c r="D72" s="48">
        <f>SUM(D73:D76)</f>
        <v>0</v>
      </c>
      <c r="E72" s="34">
        <f t="shared" si="3"/>
        <v>0</v>
      </c>
      <c r="F72" s="34">
        <f t="shared" si="4"/>
        <v>-1965.31</v>
      </c>
    </row>
    <row r="73" spans="1:7" ht="1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1661.05</v>
      </c>
      <c r="D75" s="37">
        <v>0</v>
      </c>
      <c r="E75" s="38">
        <f t="shared" si="3"/>
        <v>0</v>
      </c>
      <c r="F75" s="38">
        <f t="shared" si="4"/>
        <v>-1661.05</v>
      </c>
    </row>
    <row r="76" spans="1:7">
      <c r="A76" s="35" t="s">
        <v>63</v>
      </c>
      <c r="B76" s="39" t="s">
        <v>64</v>
      </c>
      <c r="C76" s="49">
        <v>300</v>
      </c>
      <c r="D76" s="37">
        <v>0</v>
      </c>
      <c r="E76" s="38">
        <f t="shared" si="3"/>
        <v>0</v>
      </c>
      <c r="F76" s="38">
        <f t="shared" si="4"/>
        <v>-300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1328.59</v>
      </c>
      <c r="D77" s="32">
        <f>SUM(D78:D80)</f>
        <v>0</v>
      </c>
      <c r="E77" s="34">
        <f t="shared" si="3"/>
        <v>0</v>
      </c>
      <c r="F77" s="34">
        <f t="shared" si="4"/>
        <v>-1328.59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200</v>
      </c>
      <c r="D79" s="37">
        <v>0</v>
      </c>
      <c r="E79" s="34">
        <f t="shared" si="3"/>
        <v>0</v>
      </c>
      <c r="F79" s="34">
        <f t="shared" si="4"/>
        <v>-200</v>
      </c>
    </row>
    <row r="80" spans="1:7">
      <c r="A80" s="35" t="s">
        <v>71</v>
      </c>
      <c r="B80" s="39" t="s">
        <v>72</v>
      </c>
      <c r="C80" s="37">
        <v>1128.5899999999999</v>
      </c>
      <c r="D80" s="37">
        <v>0</v>
      </c>
      <c r="E80" s="38">
        <f t="shared" si="3"/>
        <v>0</v>
      </c>
      <c r="F80" s="38">
        <f t="shared" si="4"/>
        <v>-1128.5899999999999</v>
      </c>
    </row>
    <row r="81" spans="1:6" s="6" customFormat="1">
      <c r="A81" s="30" t="s">
        <v>83</v>
      </c>
      <c r="B81" s="31" t="s">
        <v>84</v>
      </c>
      <c r="C81" s="32">
        <f>C82</f>
        <v>2600.5729999999999</v>
      </c>
      <c r="D81" s="32">
        <f>D82</f>
        <v>0</v>
      </c>
      <c r="E81" s="34">
        <f>SUM(D81/C81*100)</f>
        <v>0</v>
      </c>
      <c r="F81" s="34">
        <f t="shared" si="4"/>
        <v>-2600.5729999999999</v>
      </c>
    </row>
    <row r="82" spans="1:6" ht="15.75" customHeight="1">
      <c r="A82" s="35" t="s">
        <v>85</v>
      </c>
      <c r="B82" s="39" t="s">
        <v>230</v>
      </c>
      <c r="C82" s="37">
        <v>2600.5729999999999</v>
      </c>
      <c r="D82" s="37"/>
      <c r="E82" s="38">
        <f>SUM(D82/C82*100)</f>
        <v>0</v>
      </c>
      <c r="F82" s="38">
        <f t="shared" si="4"/>
        <v>-2600.5729999999999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0</v>
      </c>
      <c r="E88" s="38">
        <f t="shared" si="3"/>
        <v>0</v>
      </c>
      <c r="F88" s="22">
        <f>F89+F90+F91+F92+F93</f>
        <v>-50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0</v>
      </c>
      <c r="E89" s="38">
        <f t="shared" si="3"/>
        <v>0</v>
      </c>
      <c r="F89" s="38">
        <f>SUM(D89-C89)</f>
        <v>-50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1">
        <f>C56+C64+C66+C72+C77+C81+C83+C88+C94</f>
        <v>7912.1270000000004</v>
      </c>
      <c r="D98" s="251">
        <f>D56+D64+D66+D72+D77+D81+D83+D88+D94</f>
        <v>74.32732</v>
      </c>
      <c r="E98" s="34">
        <f t="shared" si="3"/>
        <v>0.93941009794205788</v>
      </c>
      <c r="F98" s="34">
        <f t="shared" si="4"/>
        <v>-7837.7996800000001</v>
      </c>
      <c r="G98" s="198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3"/>
      <c r="D100" s="183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28">
      <selection activeCell="C62" sqref="C62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8" zoomScale="70" zoomScaleNormal="100" zoomScaleSheetLayoutView="70" workbookViewId="0">
      <selection activeCell="C83" sqref="C83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87.169700000000006</v>
      </c>
      <c r="E4" s="5">
        <f>SUM(D4/C4*100)</f>
        <v>5.7483118356149925</v>
      </c>
      <c r="F4" s="5">
        <f>SUM(D4-C4)</f>
        <v>-1429.2703000000001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5.1153199999999996</v>
      </c>
      <c r="E5" s="5">
        <f t="shared" ref="E5:E51" si="0">SUM(D5/C5*100)</f>
        <v>4.528835768038955</v>
      </c>
      <c r="F5" s="5">
        <f t="shared" ref="F5:F51" si="1">SUM(D5-C5)</f>
        <v>-107.83468000000001</v>
      </c>
    </row>
    <row r="6" spans="1:6">
      <c r="A6" s="7">
        <v>1010200001</v>
      </c>
      <c r="B6" s="8" t="s">
        <v>225</v>
      </c>
      <c r="C6" s="9">
        <v>112.95</v>
      </c>
      <c r="D6" s="10">
        <v>5.1153199999999996</v>
      </c>
      <c r="E6" s="9">
        <f t="shared" ref="E6:E11" si="2">SUM(D6/C6*100)</f>
        <v>4.528835768038955</v>
      </c>
      <c r="F6" s="9">
        <f t="shared" si="1"/>
        <v>-107.83468000000001</v>
      </c>
    </row>
    <row r="7" spans="1:6" ht="31.5">
      <c r="A7" s="3">
        <v>1030000000</v>
      </c>
      <c r="B7" s="13" t="s">
        <v>267</v>
      </c>
      <c r="C7" s="5">
        <f>C8+C10+C9</f>
        <v>818.49</v>
      </c>
      <c r="D7" s="5">
        <f>D8+D10+D9+D11</f>
        <v>69.107640000000004</v>
      </c>
      <c r="E7" s="5">
        <f t="shared" si="2"/>
        <v>8.443309020269032</v>
      </c>
      <c r="F7" s="5">
        <f t="shared" si="1"/>
        <v>-749.38236000000006</v>
      </c>
    </row>
    <row r="8" spans="1:6">
      <c r="A8" s="7">
        <v>1030223001</v>
      </c>
      <c r="B8" s="8" t="s">
        <v>269</v>
      </c>
      <c r="C8" s="9">
        <v>305.3</v>
      </c>
      <c r="D8" s="10">
        <v>31.7409</v>
      </c>
      <c r="E8" s="9">
        <f t="shared" si="2"/>
        <v>10.396626269243367</v>
      </c>
      <c r="F8" s="9">
        <f t="shared" si="1"/>
        <v>-273.5591</v>
      </c>
    </row>
    <row r="9" spans="1:6">
      <c r="A9" s="7">
        <v>1030224001</v>
      </c>
      <c r="B9" s="8" t="s">
        <v>275</v>
      </c>
      <c r="C9" s="9">
        <v>3.27</v>
      </c>
      <c r="D9" s="10">
        <v>0.18711</v>
      </c>
      <c r="E9" s="9">
        <f>SUM(D9/C9*100)</f>
        <v>5.7220183486238527</v>
      </c>
      <c r="F9" s="9">
        <f t="shared" si="1"/>
        <v>-3.0828899999999999</v>
      </c>
    </row>
    <row r="10" spans="1:6">
      <c r="A10" s="7">
        <v>1030225001</v>
      </c>
      <c r="B10" s="8" t="s">
        <v>268</v>
      </c>
      <c r="C10" s="9">
        <v>509.92</v>
      </c>
      <c r="D10" s="10">
        <v>42.58887</v>
      </c>
      <c r="E10" s="9">
        <f t="shared" si="2"/>
        <v>8.3520689519924698</v>
      </c>
      <c r="F10" s="9">
        <f t="shared" si="1"/>
        <v>-467.33113000000003</v>
      </c>
    </row>
    <row r="11" spans="1:6">
      <c r="A11" s="7">
        <v>1030226001</v>
      </c>
      <c r="B11" s="8" t="s">
        <v>277</v>
      </c>
      <c r="C11" s="9">
        <v>0</v>
      </c>
      <c r="D11" s="10">
        <v>-5.4092399999999996</v>
      </c>
      <c r="E11" s="9" t="e">
        <f t="shared" si="2"/>
        <v>#DIV/0!</v>
      </c>
      <c r="F11" s="9">
        <f t="shared" si="1"/>
        <v>-5.4092399999999996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0</v>
      </c>
      <c r="E12" s="5">
        <f t="shared" si="0"/>
        <v>0</v>
      </c>
      <c r="F12" s="5">
        <f t="shared" si="1"/>
        <v>-35</v>
      </c>
    </row>
    <row r="13" spans="1:6" ht="15.75" customHeight="1">
      <c r="A13" s="7">
        <v>1050300000</v>
      </c>
      <c r="B13" s="11" t="s">
        <v>226</v>
      </c>
      <c r="C13" s="12">
        <v>35</v>
      </c>
      <c r="D13" s="10">
        <v>0</v>
      </c>
      <c r="E13" s="9">
        <f t="shared" si="0"/>
        <v>0</v>
      </c>
      <c r="F13" s="9">
        <f t="shared" si="1"/>
        <v>-35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12.646739999999999</v>
      </c>
      <c r="E14" s="5">
        <f t="shared" si="0"/>
        <v>2.3333468634686345</v>
      </c>
      <c r="F14" s="5">
        <f t="shared" si="1"/>
        <v>-529.35325999999998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1.16072</v>
      </c>
      <c r="E15" s="9">
        <f t="shared" si="0"/>
        <v>0.72544999999999993</v>
      </c>
      <c r="F15" s="9">
        <f>SUM(D15-C15)</f>
        <v>-158.83928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11.48602</v>
      </c>
      <c r="E16" s="9">
        <f t="shared" si="0"/>
        <v>3.0068115183246076</v>
      </c>
      <c r="F16" s="9">
        <f t="shared" si="1"/>
        <v>-370.51398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0.3</v>
      </c>
      <c r="E17" s="5">
        <f t="shared" si="0"/>
        <v>3.75</v>
      </c>
      <c r="F17" s="5">
        <f t="shared" si="1"/>
        <v>-7.7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0.3</v>
      </c>
      <c r="E18" s="9">
        <f t="shared" si="0"/>
        <v>3.75</v>
      </c>
      <c r="F18" s="9">
        <f t="shared" si="1"/>
        <v>-7.7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527</v>
      </c>
      <c r="D25" s="5">
        <f>D26+D29+D32+D37+D35</f>
        <v>99.75115000000001</v>
      </c>
      <c r="E25" s="5">
        <f t="shared" si="0"/>
        <v>18.928111954459204</v>
      </c>
      <c r="F25" s="5">
        <f t="shared" si="1"/>
        <v>-427.24885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99.75115000000001</v>
      </c>
      <c r="E26" s="5">
        <f t="shared" si="0"/>
        <v>18.928111954459204</v>
      </c>
      <c r="F26" s="5">
        <f t="shared" si="1"/>
        <v>-427.24885</v>
      </c>
    </row>
    <row r="27" spans="1:6">
      <c r="A27" s="16">
        <v>1110502510</v>
      </c>
      <c r="B27" s="17" t="s">
        <v>222</v>
      </c>
      <c r="C27" s="12">
        <v>450</v>
      </c>
      <c r="D27" s="10">
        <v>99.207800000000006</v>
      </c>
      <c r="E27" s="9">
        <f t="shared" si="0"/>
        <v>22.046177777777778</v>
      </c>
      <c r="F27" s="9">
        <f t="shared" si="1"/>
        <v>-350.79219999999998</v>
      </c>
    </row>
    <row r="28" spans="1:6" ht="18" customHeight="1">
      <c r="A28" s="7">
        <v>1110503505</v>
      </c>
      <c r="B28" s="11" t="s">
        <v>221</v>
      </c>
      <c r="C28" s="12">
        <v>77</v>
      </c>
      <c r="D28" s="10">
        <v>0.54335</v>
      </c>
      <c r="E28" s="9">
        <f t="shared" si="0"/>
        <v>0.70564935064935064</v>
      </c>
      <c r="F28" s="9">
        <f t="shared" si="1"/>
        <v>-76.456649999999996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customHeight="1">
      <c r="A30" s="7">
        <v>1130206510</v>
      </c>
      <c r="B30" s="8" t="s">
        <v>322</v>
      </c>
      <c r="C30" s="9"/>
      <c r="D30" s="212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337</v>
      </c>
      <c r="C31" s="9">
        <v>0</v>
      </c>
      <c r="D31" s="212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2043.44</v>
      </c>
      <c r="D40" s="126">
        <f>D4+D25</f>
        <v>186.92085000000003</v>
      </c>
      <c r="E40" s="5">
        <f t="shared" si="0"/>
        <v>9.1473618016677776</v>
      </c>
      <c r="F40" s="5">
        <f t="shared" si="1"/>
        <v>-1856.5191500000001</v>
      </c>
    </row>
    <row r="41" spans="1:7" s="6" customFormat="1">
      <c r="A41" s="3">
        <v>2000000000</v>
      </c>
      <c r="B41" s="4" t="s">
        <v>17</v>
      </c>
      <c r="C41" s="232">
        <f>C42+C43+C44+C45+C46+C48</f>
        <v>4007.6059999999998</v>
      </c>
      <c r="D41" s="232">
        <f>D42+D43+D44+D45+D46+D48+D49</f>
        <v>225.08439999999999</v>
      </c>
      <c r="E41" s="5">
        <f t="shared" si="0"/>
        <v>5.6164303576748811</v>
      </c>
      <c r="F41" s="5">
        <f t="shared" si="1"/>
        <v>-3782.5215999999996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207.851</v>
      </c>
      <c r="E42" s="9">
        <f t="shared" si="0"/>
        <v>8.3333734263491301</v>
      </c>
      <c r="F42" s="9">
        <f t="shared" si="1"/>
        <v>-2286.3489999999997</v>
      </c>
    </row>
    <row r="43" spans="1:7" ht="15.75" customHeight="1">
      <c r="A43" s="16">
        <v>2021500200</v>
      </c>
      <c r="B43" s="17" t="s">
        <v>228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1227.3800000000001</v>
      </c>
      <c r="D44" s="10"/>
      <c r="E44" s="9">
        <f t="shared" si="0"/>
        <v>0</v>
      </c>
      <c r="F44" s="9">
        <f t="shared" si="1"/>
        <v>-1227.3800000000001</v>
      </c>
    </row>
    <row r="45" spans="1:7" ht="18" customHeight="1">
      <c r="A45" s="16">
        <v>2023000000</v>
      </c>
      <c r="B45" s="17" t="s">
        <v>20</v>
      </c>
      <c r="C45" s="12">
        <v>211.02600000000001</v>
      </c>
      <c r="D45" s="185">
        <v>17.2334</v>
      </c>
      <c r="E45" s="9">
        <f t="shared" si="0"/>
        <v>8.1664818553164054</v>
      </c>
      <c r="F45" s="9">
        <f t="shared" si="1"/>
        <v>-193.79260000000002</v>
      </c>
    </row>
    <row r="46" spans="1:7" ht="22.5" customHeight="1">
      <c r="A46" s="16">
        <v>2020400000</v>
      </c>
      <c r="B46" s="17" t="s">
        <v>21</v>
      </c>
      <c r="C46" s="12">
        <v>75</v>
      </c>
      <c r="D46" s="186"/>
      <c r="E46" s="9">
        <f t="shared" si="0"/>
        <v>0</v>
      </c>
      <c r="F46" s="9">
        <f t="shared" si="1"/>
        <v>-75</v>
      </c>
    </row>
    <row r="47" spans="1:7" ht="32.25" customHeight="1">
      <c r="A47" s="16">
        <v>2020900000</v>
      </c>
      <c r="B47" s="18" t="s">
        <v>22</v>
      </c>
      <c r="C47" s="12">
        <v>0</v>
      </c>
      <c r="D47" s="186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335</v>
      </c>
      <c r="C48" s="12"/>
      <c r="D48" s="186"/>
      <c r="E48" s="9" t="e">
        <f t="shared" si="0"/>
        <v>#DIV/0!</v>
      </c>
      <c r="F48" s="9">
        <f t="shared" si="1"/>
        <v>0</v>
      </c>
    </row>
    <row r="49" spans="1:8" ht="19.5" customHeight="1">
      <c r="A49" s="7">
        <v>2190500005</v>
      </c>
      <c r="B49" s="11" t="s">
        <v>23</v>
      </c>
      <c r="C49" s="12">
        <v>0</v>
      </c>
      <c r="D49" s="186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9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8">
        <f>C40+C41</f>
        <v>6051.0460000000003</v>
      </c>
      <c r="D51" s="248">
        <f>D40+D41</f>
        <v>412.00525000000005</v>
      </c>
      <c r="E51" s="93">
        <f t="shared" si="0"/>
        <v>6.8088269366982175</v>
      </c>
      <c r="F51" s="93">
        <f t="shared" si="1"/>
        <v>-5639.0407500000001</v>
      </c>
      <c r="G51" s="198">
        <f>7662.29943-C51</f>
        <v>1611.2534299999998</v>
      </c>
      <c r="H51" s="198">
        <f>1130.4405-D51</f>
        <v>718.43524999999988</v>
      </c>
    </row>
    <row r="52" spans="1:8" s="6" customFormat="1">
      <c r="A52" s="3"/>
      <c r="B52" s="21" t="s">
        <v>307</v>
      </c>
      <c r="C52" s="93">
        <f>C51-C98</f>
        <v>0</v>
      </c>
      <c r="D52" s="93">
        <f>D51-D98</f>
        <v>377.73489000000006</v>
      </c>
      <c r="E52" s="193"/>
      <c r="F52" s="193"/>
    </row>
    <row r="53" spans="1:8">
      <c r="A53" s="23"/>
      <c r="B53" s="24"/>
      <c r="C53" s="184"/>
      <c r="D53" s="184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1308.961</v>
      </c>
      <c r="D56" s="33">
        <f>D57+D58+D59+D60+D61+D63+D62</f>
        <v>25.2</v>
      </c>
      <c r="E56" s="34">
        <f>SUM(D56/C56*100)</f>
        <v>1.9251910484727963</v>
      </c>
      <c r="F56" s="34">
        <f>SUM(D56-C56)</f>
        <v>-1283.761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25.2</v>
      </c>
      <c r="E58" s="38">
        <f t="shared" ref="E58:E98" si="3">SUM(D58/C58*100)</f>
        <v>2.0900721572530481</v>
      </c>
      <c r="F58" s="38">
        <f t="shared" ref="F58:F98" si="4">SUM(D58-C58)</f>
        <v>-1180.5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3.2610000000000001</v>
      </c>
      <c r="D63" s="37">
        <v>0</v>
      </c>
      <c r="E63" s="38">
        <f t="shared" si="3"/>
        <v>0</v>
      </c>
      <c r="F63" s="38">
        <f t="shared" si="4"/>
        <v>-3.2610000000000001</v>
      </c>
    </row>
    <row r="64" spans="1:8" s="6" customFormat="1">
      <c r="A64" s="41" t="s">
        <v>43</v>
      </c>
      <c r="B64" s="42" t="s">
        <v>44</v>
      </c>
      <c r="C64" s="32">
        <f>C65</f>
        <v>206.76599999999999</v>
      </c>
      <c r="D64" s="32">
        <f>D65</f>
        <v>4.8</v>
      </c>
      <c r="E64" s="34">
        <f t="shared" si="3"/>
        <v>2.3214648443167638</v>
      </c>
      <c r="F64" s="34">
        <f t="shared" si="4"/>
        <v>-201.96599999999998</v>
      </c>
    </row>
    <row r="65" spans="1:7">
      <c r="A65" s="43" t="s">
        <v>45</v>
      </c>
      <c r="B65" s="44" t="s">
        <v>46</v>
      </c>
      <c r="C65" s="37">
        <v>206.76599999999999</v>
      </c>
      <c r="D65" s="37">
        <v>4.8</v>
      </c>
      <c r="E65" s="38">
        <f t="shared" si="3"/>
        <v>2.3214648443167638</v>
      </c>
      <c r="F65" s="38">
        <f t="shared" si="4"/>
        <v>-201.96599999999998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15</v>
      </c>
      <c r="D66" s="259">
        <f>D69+D70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2505.13</v>
      </c>
      <c r="D72" s="48">
        <f>SUM(D73:D77)</f>
        <v>0</v>
      </c>
      <c r="E72" s="34">
        <f t="shared" si="3"/>
        <v>0</v>
      </c>
      <c r="F72" s="34">
        <f t="shared" si="4"/>
        <v>-2505.13</v>
      </c>
    </row>
    <row r="73" spans="1:7" ht="1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2270.87</v>
      </c>
      <c r="D76" s="37">
        <v>0</v>
      </c>
      <c r="E76" s="38">
        <f t="shared" si="3"/>
        <v>0</v>
      </c>
      <c r="F76" s="38">
        <f t="shared" si="4"/>
        <v>-2270.87</v>
      </c>
    </row>
    <row r="77" spans="1:7">
      <c r="A77" s="35" t="s">
        <v>63</v>
      </c>
      <c r="B77" s="39" t="s">
        <v>64</v>
      </c>
      <c r="C77" s="49">
        <v>230</v>
      </c>
      <c r="D77" s="37">
        <v>0</v>
      </c>
      <c r="E77" s="38">
        <f t="shared" si="3"/>
        <v>0</v>
      </c>
      <c r="F77" s="38">
        <f t="shared" si="4"/>
        <v>-230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667.08900000000006</v>
      </c>
      <c r="D78" s="32">
        <f>SUM(D79:D81)</f>
        <v>4.2703600000000002</v>
      </c>
      <c r="E78" s="34">
        <f t="shared" si="3"/>
        <v>0.64014846594682262</v>
      </c>
      <c r="F78" s="34">
        <f t="shared" si="4"/>
        <v>-662.81864000000007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357.35700000000003</v>
      </c>
      <c r="D80" s="37">
        <v>2.8155800000000002</v>
      </c>
      <c r="E80" s="38">
        <f t="shared" si="3"/>
        <v>0.78788998116729214</v>
      </c>
      <c r="F80" s="38">
        <f t="shared" si="4"/>
        <v>-354.54142000000002</v>
      </c>
    </row>
    <row r="81" spans="1:6">
      <c r="A81" s="35" t="s">
        <v>71</v>
      </c>
      <c r="B81" s="39" t="s">
        <v>72</v>
      </c>
      <c r="C81" s="37">
        <v>309.73200000000003</v>
      </c>
      <c r="D81" s="37">
        <v>1.45478</v>
      </c>
      <c r="E81" s="38">
        <f t="shared" si="3"/>
        <v>0.46968992548396676</v>
      </c>
      <c r="F81" s="38">
        <f t="shared" si="4"/>
        <v>-308.27722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0</v>
      </c>
      <c r="E82" s="34">
        <f t="shared" si="3"/>
        <v>0</v>
      </c>
      <c r="F82" s="34">
        <f t="shared" si="4"/>
        <v>-1328.1</v>
      </c>
    </row>
    <row r="83" spans="1:6" ht="14.25" customHeight="1">
      <c r="A83" s="35" t="s">
        <v>85</v>
      </c>
      <c r="B83" s="39" t="s">
        <v>230</v>
      </c>
      <c r="C83" s="37">
        <v>1328.1</v>
      </c>
      <c r="D83" s="37"/>
      <c r="E83" s="38">
        <f t="shared" si="3"/>
        <v>0</v>
      </c>
      <c r="F83" s="38">
        <f t="shared" si="4"/>
        <v>-1328.1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1">
        <f>C56+C64+C66+C72+C78+C82+C96+C84</f>
        <v>6051.0460000000003</v>
      </c>
      <c r="D98" s="251">
        <f>D56+D64+D66+D72+D78+D82+D96+D84</f>
        <v>34.270359999999997</v>
      </c>
      <c r="E98" s="34">
        <f t="shared" si="3"/>
        <v>0.56635431295680105</v>
      </c>
      <c r="F98" s="34">
        <f t="shared" si="4"/>
        <v>-6016.7756399999998</v>
      </c>
      <c r="G98" s="198">
        <f>8096.52307-C98</f>
        <v>2045.4770699999999</v>
      </c>
      <c r="H98" s="198">
        <f>899.25122-D98</f>
        <v>864.98086000000001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8">
      <selection activeCell="C83" sqref="C83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25" zoomScale="70" zoomScaleNormal="100" zoomScaleSheetLayoutView="70" workbookViewId="0">
      <selection activeCell="C52" sqref="C52:D52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433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48.109459999999999</v>
      </c>
      <c r="E4" s="5">
        <f>SUM(D4/C4*100)</f>
        <v>4.5115589481976057</v>
      </c>
      <c r="F4" s="5">
        <f>SUM(D4-C4)</f>
        <v>-1018.2505400000001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10.00691</v>
      </c>
      <c r="E5" s="5">
        <f t="shared" ref="E5:E49" si="0">SUM(D5/C5*100)</f>
        <v>18.030468468468467</v>
      </c>
      <c r="F5" s="5">
        <f t="shared" ref="F5:F49" si="1">SUM(D5-C5)</f>
        <v>-45.493090000000002</v>
      </c>
    </row>
    <row r="6" spans="1:6">
      <c r="A6" s="7">
        <v>1010200001</v>
      </c>
      <c r="B6" s="8" t="s">
        <v>225</v>
      </c>
      <c r="C6" s="9">
        <v>55.5</v>
      </c>
      <c r="D6" s="10">
        <v>10.00691</v>
      </c>
      <c r="E6" s="9">
        <f t="shared" ref="E6:E11" si="2">SUM(D6/C6*100)</f>
        <v>18.030468468468467</v>
      </c>
      <c r="F6" s="9">
        <f t="shared" si="1"/>
        <v>-45.493090000000002</v>
      </c>
    </row>
    <row r="7" spans="1:6" ht="31.5">
      <c r="A7" s="3">
        <v>1030000000</v>
      </c>
      <c r="B7" s="13" t="s">
        <v>267</v>
      </c>
      <c r="C7" s="5">
        <f>C8+C10+C9</f>
        <v>375.86</v>
      </c>
      <c r="D7" s="5">
        <f>D8+D10+D9+D11</f>
        <v>31.735220000000002</v>
      </c>
      <c r="E7" s="5">
        <f t="shared" si="2"/>
        <v>8.4433618900654501</v>
      </c>
      <c r="F7" s="5">
        <f t="shared" si="1"/>
        <v>-344.12477999999999</v>
      </c>
    </row>
    <row r="8" spans="1:6">
      <c r="A8" s="7">
        <v>1030223001</v>
      </c>
      <c r="B8" s="8" t="s">
        <v>269</v>
      </c>
      <c r="C8" s="9">
        <v>140.19999999999999</v>
      </c>
      <c r="D8" s="10">
        <v>14.57587</v>
      </c>
      <c r="E8" s="9">
        <f t="shared" si="2"/>
        <v>10.396483594864481</v>
      </c>
      <c r="F8" s="9">
        <f t="shared" si="1"/>
        <v>-125.62412999999999</v>
      </c>
    </row>
    <row r="9" spans="1:6">
      <c r="A9" s="7">
        <v>1030224001</v>
      </c>
      <c r="B9" s="8" t="s">
        <v>275</v>
      </c>
      <c r="C9" s="9">
        <v>1.5</v>
      </c>
      <c r="D9" s="10">
        <v>8.591E-2</v>
      </c>
      <c r="E9" s="9">
        <f t="shared" si="2"/>
        <v>5.7273333333333332</v>
      </c>
      <c r="F9" s="9">
        <f t="shared" si="1"/>
        <v>-1.4140900000000001</v>
      </c>
    </row>
    <row r="10" spans="1:6">
      <c r="A10" s="7">
        <v>1030225001</v>
      </c>
      <c r="B10" s="8" t="s">
        <v>268</v>
      </c>
      <c r="C10" s="9">
        <v>234.16</v>
      </c>
      <c r="D10" s="10">
        <v>19.55742</v>
      </c>
      <c r="E10" s="9">
        <f t="shared" si="2"/>
        <v>8.3521609156132559</v>
      </c>
      <c r="F10" s="9">
        <f t="shared" si="1"/>
        <v>-214.60257999999999</v>
      </c>
    </row>
    <row r="11" spans="1:6">
      <c r="A11" s="7">
        <v>1030226001</v>
      </c>
      <c r="B11" s="8" t="s">
        <v>277</v>
      </c>
      <c r="C11" s="9">
        <v>0</v>
      </c>
      <c r="D11" s="10">
        <v>-2.4839799999999999</v>
      </c>
      <c r="E11" s="9" t="e">
        <f t="shared" si="2"/>
        <v>#DIV/0!</v>
      </c>
      <c r="F11" s="9">
        <f t="shared" si="1"/>
        <v>-2.4839799999999999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5.9673300000000005</v>
      </c>
      <c r="E14" s="5">
        <f t="shared" si="0"/>
        <v>0.9624725806451615</v>
      </c>
      <c r="F14" s="5">
        <f t="shared" si="1"/>
        <v>-614.03267000000005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0.17846000000000001</v>
      </c>
      <c r="E15" s="9">
        <f t="shared" si="0"/>
        <v>7.7591304347826087E-2</v>
      </c>
      <c r="F15" s="9">
        <f>SUM(D15-C15)</f>
        <v>-229.82154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5.7888700000000002</v>
      </c>
      <c r="E16" s="9">
        <f t="shared" si="0"/>
        <v>1.4843256410256411</v>
      </c>
      <c r="F16" s="9">
        <f t="shared" si="1"/>
        <v>-384.21113000000003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0.4</v>
      </c>
      <c r="E17" s="5">
        <f t="shared" si="0"/>
        <v>8</v>
      </c>
      <c r="F17" s="5">
        <f t="shared" si="1"/>
        <v>-4.5999999999999996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0.4</v>
      </c>
      <c r="E18" s="9">
        <f t="shared" si="0"/>
        <v>8</v>
      </c>
      <c r="F18" s="9">
        <f t="shared" si="1"/>
        <v>-4.5999999999999996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51.5</v>
      </c>
      <c r="D25" s="5">
        <f>D27+D29+D34</f>
        <v>2.2000000000000002</v>
      </c>
      <c r="E25" s="5">
        <f t="shared" si="0"/>
        <v>4.2718446601941755</v>
      </c>
      <c r="F25" s="5">
        <f t="shared" si="1"/>
        <v>-49.3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2.2000000000000002</v>
      </c>
      <c r="E26" s="5">
        <f t="shared" si="0"/>
        <v>4.2718446601941755</v>
      </c>
      <c r="F26" s="5">
        <f t="shared" si="1"/>
        <v>-49.3</v>
      </c>
    </row>
    <row r="27" spans="1:6" ht="17.25" customHeight="1">
      <c r="A27" s="16">
        <v>1110502510</v>
      </c>
      <c r="B27" s="17" t="s">
        <v>222</v>
      </c>
      <c r="C27" s="12">
        <v>51.5</v>
      </c>
      <c r="D27" s="10">
        <v>2.2000000000000002</v>
      </c>
      <c r="E27" s="9">
        <f t="shared" si="0"/>
        <v>4.2718446601941755</v>
      </c>
      <c r="F27" s="9">
        <f t="shared" si="1"/>
        <v>-49.3</v>
      </c>
    </row>
    <row r="28" spans="1:6" ht="0.75" hidden="1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1117.8600000000001</v>
      </c>
      <c r="D37" s="126">
        <f>D4+D25</f>
        <v>50.309460000000001</v>
      </c>
      <c r="E37" s="5">
        <f t="shared" si="0"/>
        <v>4.5005152702485107</v>
      </c>
      <c r="F37" s="5">
        <f t="shared" si="1"/>
        <v>-1067.5505400000002</v>
      </c>
    </row>
    <row r="38" spans="1:7" s="6" customFormat="1">
      <c r="A38" s="3">
        <v>2000000000</v>
      </c>
      <c r="B38" s="4" t="s">
        <v>17</v>
      </c>
      <c r="C38" s="5">
        <f>C39+C41+C42+C43+C44+C45</f>
        <v>2877.261</v>
      </c>
      <c r="D38" s="5">
        <f>D39+D41+D42+D43+D45+D44</f>
        <v>437.70960000000002</v>
      </c>
      <c r="E38" s="5">
        <f t="shared" si="0"/>
        <v>15.212717928613358</v>
      </c>
      <c r="F38" s="5">
        <f t="shared" si="1"/>
        <v>-2439.5513999999998</v>
      </c>
      <c r="G38" s="19"/>
    </row>
    <row r="39" spans="1:7" ht="14.25" customHeight="1">
      <c r="A39" s="16">
        <v>2021000000</v>
      </c>
      <c r="B39" s="17" t="s">
        <v>18</v>
      </c>
      <c r="C39" s="99">
        <v>2155.1</v>
      </c>
      <c r="D39" s="99">
        <v>179.59299999999999</v>
      </c>
      <c r="E39" s="9">
        <f t="shared" si="0"/>
        <v>8.3333952020787905</v>
      </c>
      <c r="F39" s="9">
        <f t="shared" si="1"/>
        <v>-1975.5069999999998</v>
      </c>
    </row>
    <row r="40" spans="1:7" ht="15.75" hidden="1" customHeight="1">
      <c r="A40" s="16">
        <v>2020100310</v>
      </c>
      <c r="B40" s="17" t="s">
        <v>228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228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532.69000000000005</v>
      </c>
      <c r="D42" s="10"/>
      <c r="E42" s="9">
        <f t="shared" si="0"/>
        <v>0</v>
      </c>
      <c r="F42" s="9">
        <f t="shared" si="1"/>
        <v>-532.69000000000005</v>
      </c>
    </row>
    <row r="43" spans="1:7" ht="17.25" customHeight="1">
      <c r="A43" s="16">
        <v>2023000000</v>
      </c>
      <c r="B43" s="17" t="s">
        <v>20</v>
      </c>
      <c r="C43" s="12">
        <v>107.643</v>
      </c>
      <c r="D43" s="185">
        <v>8.6166</v>
      </c>
      <c r="E43" s="9">
        <f t="shared" si="0"/>
        <v>8.0047936233661279</v>
      </c>
      <c r="F43" s="9">
        <f t="shared" si="1"/>
        <v>-99.026399999999995</v>
      </c>
    </row>
    <row r="44" spans="1:7" ht="13.5" customHeight="1">
      <c r="A44" s="16">
        <v>2020400000</v>
      </c>
      <c r="B44" s="17" t="s">
        <v>21</v>
      </c>
      <c r="C44" s="12">
        <v>81.828000000000003</v>
      </c>
      <c r="D44" s="186"/>
      <c r="E44" s="9">
        <f t="shared" si="0"/>
        <v>0</v>
      </c>
      <c r="F44" s="9">
        <f t="shared" si="1"/>
        <v>-81.828000000000003</v>
      </c>
    </row>
    <row r="45" spans="1:7" ht="14.25" customHeight="1">
      <c r="A45" s="16">
        <v>2070500010</v>
      </c>
      <c r="B45" s="8" t="s">
        <v>335</v>
      </c>
      <c r="C45" s="12"/>
      <c r="D45" s="186">
        <v>249.5</v>
      </c>
      <c r="E45" s="9" t="e">
        <f t="shared" si="0"/>
        <v>#DIV/0!</v>
      </c>
      <c r="F45" s="9">
        <f t="shared" si="1"/>
        <v>249.5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9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312</v>
      </c>
      <c r="C48" s="189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2">
        <f>C37+C38</f>
        <v>3995.1210000000001</v>
      </c>
      <c r="D49" s="252">
        <f>D37+D38</f>
        <v>488.01906000000002</v>
      </c>
      <c r="E49" s="5">
        <f t="shared" si="0"/>
        <v>12.215376205126203</v>
      </c>
      <c r="F49" s="5">
        <f t="shared" si="1"/>
        <v>-3507.10194</v>
      </c>
      <c r="G49" s="198"/>
      <c r="H49" s="247"/>
    </row>
    <row r="50" spans="1:8" s="6" customFormat="1" ht="15.75" customHeight="1">
      <c r="A50" s="3"/>
      <c r="B50" s="21" t="s">
        <v>307</v>
      </c>
      <c r="C50" s="192">
        <f>C49-C96</f>
        <v>0</v>
      </c>
      <c r="D50" s="192">
        <f>D49-D96</f>
        <v>462.01906000000002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418</v>
      </c>
      <c r="D52" s="73" t="s">
        <v>425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1201.1310000000001</v>
      </c>
      <c r="D54" s="33">
        <f>D56+D61</f>
        <v>24</v>
      </c>
      <c r="E54" s="34">
        <f>SUM(D54/C54*100)</f>
        <v>1.9981167749396191</v>
      </c>
      <c r="F54" s="34">
        <f>SUM(D54-C54)</f>
        <v>-1177.1310000000001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1150</v>
      </c>
      <c r="D56" s="37">
        <v>24</v>
      </c>
      <c r="E56" s="38">
        <f>SUM(D56/C56*100)</f>
        <v>2.0869565217391308</v>
      </c>
      <c r="F56" s="38">
        <f t="shared" ref="F56:F96" si="3">SUM(D56-C56)</f>
        <v>-1126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48.5</v>
      </c>
      <c r="D60" s="40">
        <v>0</v>
      </c>
      <c r="E60" s="38">
        <f t="shared" si="4"/>
        <v>0</v>
      </c>
      <c r="F60" s="38">
        <f t="shared" si="3"/>
        <v>-48.5</v>
      </c>
    </row>
    <row r="61" spans="1:8" ht="17.25" customHeight="1">
      <c r="A61" s="35" t="s">
        <v>41</v>
      </c>
      <c r="B61" s="39" t="s">
        <v>42</v>
      </c>
      <c r="C61" s="37">
        <v>2.6309999999999998</v>
      </c>
      <c r="D61" s="37">
        <v>0</v>
      </c>
      <c r="E61" s="38">
        <f t="shared" si="4"/>
        <v>0</v>
      </c>
      <c r="F61" s="38">
        <f t="shared" si="3"/>
        <v>-2.6309999999999998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103.383</v>
      </c>
      <c r="D62" s="32">
        <f>D63</f>
        <v>2</v>
      </c>
      <c r="E62" s="34">
        <f t="shared" si="4"/>
        <v>1.9345540369306369</v>
      </c>
      <c r="F62" s="34">
        <f t="shared" si="3"/>
        <v>-101.383</v>
      </c>
    </row>
    <row r="63" spans="1:8" ht="17.850000000000001" customHeight="1">
      <c r="A63" s="43" t="s">
        <v>45</v>
      </c>
      <c r="B63" s="44" t="s">
        <v>46</v>
      </c>
      <c r="C63" s="37">
        <v>103.383</v>
      </c>
      <c r="D63" s="37">
        <v>2</v>
      </c>
      <c r="E63" s="38">
        <f t="shared" si="4"/>
        <v>1.9345540369306369</v>
      </c>
      <c r="F63" s="38">
        <f t="shared" si="3"/>
        <v>-101.383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15</v>
      </c>
      <c r="D64" s="32">
        <f>SUM(D67+D68+D69)</f>
        <v>0</v>
      </c>
      <c r="E64" s="34">
        <f t="shared" si="4"/>
        <v>0</v>
      </c>
      <c r="F64" s="34">
        <f t="shared" si="3"/>
        <v>-15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215</v>
      </c>
      <c r="B68" s="47" t="s">
        <v>216</v>
      </c>
      <c r="C68" s="37">
        <v>10</v>
      </c>
      <c r="D68" s="37">
        <v>0</v>
      </c>
      <c r="E68" s="38">
        <f t="shared" si="4"/>
        <v>0</v>
      </c>
      <c r="F68" s="38">
        <f t="shared" si="3"/>
        <v>-10</v>
      </c>
    </row>
    <row r="69" spans="1:7" ht="18" customHeight="1">
      <c r="A69" s="46" t="s">
        <v>340</v>
      </c>
      <c r="B69" s="47" t="s">
        <v>343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1221.1379999999999</v>
      </c>
      <c r="D70" s="48">
        <f>D71+D72+D73+D74</f>
        <v>0</v>
      </c>
      <c r="E70" s="34">
        <f t="shared" si="4"/>
        <v>0</v>
      </c>
      <c r="F70" s="34">
        <f t="shared" si="3"/>
        <v>-1221.1379999999999</v>
      </c>
    </row>
    <row r="71" spans="1:7" ht="16.5" customHeight="1">
      <c r="A71" s="35" t="s">
        <v>57</v>
      </c>
      <c r="B71" s="39" t="s">
        <v>58</v>
      </c>
      <c r="C71" s="49">
        <v>4.26</v>
      </c>
      <c r="D71" s="37">
        <v>0</v>
      </c>
      <c r="E71" s="38">
        <f t="shared" si="4"/>
        <v>0</v>
      </c>
      <c r="F71" s="38">
        <f t="shared" si="3"/>
        <v>-4.26</v>
      </c>
    </row>
    <row r="72" spans="1:7" s="6" customFormat="1" ht="19.5" customHeight="1">
      <c r="A72" s="35" t="s">
        <v>59</v>
      </c>
      <c r="B72" s="39" t="s">
        <v>60</v>
      </c>
      <c r="C72" s="49">
        <v>25</v>
      </c>
      <c r="D72" s="37">
        <v>0</v>
      </c>
      <c r="E72" s="38">
        <f t="shared" si="4"/>
        <v>0</v>
      </c>
      <c r="F72" s="38">
        <f t="shared" si="3"/>
        <v>-25</v>
      </c>
      <c r="G72" s="50"/>
    </row>
    <row r="73" spans="1:7" ht="17.25" customHeight="1">
      <c r="A73" s="35" t="s">
        <v>61</v>
      </c>
      <c r="B73" s="39" t="s">
        <v>62</v>
      </c>
      <c r="C73" s="49">
        <v>1041.8779999999999</v>
      </c>
      <c r="D73" s="37"/>
      <c r="E73" s="38">
        <f t="shared" si="4"/>
        <v>0</v>
      </c>
      <c r="F73" s="38">
        <f t="shared" si="3"/>
        <v>-1041.8779999999999</v>
      </c>
    </row>
    <row r="74" spans="1:7" ht="15.75" customHeight="1">
      <c r="A74" s="35" t="s">
        <v>63</v>
      </c>
      <c r="B74" s="39" t="s">
        <v>64</v>
      </c>
      <c r="C74" s="49">
        <v>150</v>
      </c>
      <c r="D74" s="37">
        <v>0</v>
      </c>
      <c r="E74" s="38">
        <f t="shared" si="4"/>
        <v>0</v>
      </c>
      <c r="F74" s="38">
        <f t="shared" si="3"/>
        <v>-150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571.66899999999998</v>
      </c>
      <c r="D75" s="32">
        <f>D78</f>
        <v>0</v>
      </c>
      <c r="E75" s="34">
        <f t="shared" si="4"/>
        <v>0</v>
      </c>
      <c r="F75" s="34">
        <f t="shared" si="3"/>
        <v>-571.66899999999998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69</v>
      </c>
      <c r="B77" s="51" t="s">
        <v>70</v>
      </c>
      <c r="C77" s="37">
        <v>350</v>
      </c>
      <c r="D77" s="37"/>
      <c r="E77" s="38">
        <f t="shared" si="4"/>
        <v>0</v>
      </c>
      <c r="F77" s="38">
        <f t="shared" si="3"/>
        <v>-350</v>
      </c>
    </row>
    <row r="78" spans="1:7" ht="17.850000000000001" customHeight="1">
      <c r="A78" s="35" t="s">
        <v>71</v>
      </c>
      <c r="B78" s="39" t="s">
        <v>72</v>
      </c>
      <c r="C78" s="37">
        <v>221.66900000000001</v>
      </c>
      <c r="D78" s="37">
        <v>0</v>
      </c>
      <c r="E78" s="38">
        <f t="shared" si="4"/>
        <v>0</v>
      </c>
      <c r="F78" s="38">
        <f t="shared" si="3"/>
        <v>-221.66900000000001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852.8</v>
      </c>
      <c r="D79" s="32">
        <f>D80</f>
        <v>0</v>
      </c>
      <c r="E79" s="34">
        <f t="shared" si="4"/>
        <v>0</v>
      </c>
      <c r="F79" s="34">
        <f t="shared" si="3"/>
        <v>-852.8</v>
      </c>
    </row>
    <row r="80" spans="1:7" ht="15" customHeight="1">
      <c r="A80" s="35" t="s">
        <v>85</v>
      </c>
      <c r="B80" s="39" t="s">
        <v>230</v>
      </c>
      <c r="C80" s="37">
        <v>852.8</v>
      </c>
      <c r="D80" s="37"/>
      <c r="E80" s="38">
        <f t="shared" si="4"/>
        <v>0</v>
      </c>
      <c r="F80" s="38">
        <f t="shared" si="3"/>
        <v>-852.8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0</v>
      </c>
      <c r="E86" s="38">
        <f t="shared" si="4"/>
        <v>0</v>
      </c>
      <c r="F86" s="22">
        <f>F87+F88+F89+F90+F91</f>
        <v>-30</v>
      </c>
    </row>
    <row r="87" spans="1:8" ht="17.25" customHeight="1">
      <c r="A87" s="35" t="s">
        <v>94</v>
      </c>
      <c r="B87" s="39" t="s">
        <v>95</v>
      </c>
      <c r="C87" s="37">
        <v>30</v>
      </c>
      <c r="D87" s="37">
        <v>0</v>
      </c>
      <c r="E87" s="38">
        <f t="shared" si="4"/>
        <v>0</v>
      </c>
      <c r="F87" s="38">
        <f>SUM(D87-C87)</f>
        <v>-30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4"/>
      <c r="D94" s="175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4">
        <f>C54+C62+C64+C70+C75+C79+C81+C86+C92</f>
        <v>3995.1210000000001</v>
      </c>
      <c r="D96" s="254">
        <f>D54+D62+D64+D70+D75+D79+D86</f>
        <v>26</v>
      </c>
      <c r="E96" s="34">
        <f t="shared" si="4"/>
        <v>0.65079380574455692</v>
      </c>
      <c r="F96" s="34">
        <f t="shared" si="3"/>
        <v>-3969.1210000000001</v>
      </c>
      <c r="G96" s="247"/>
      <c r="H96" s="247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61528DAC-5C4C-48F4-ADE2-8A724B05A086}" scale="70" showPageBreaks="1" hiddenRows="1" view="pageBreakPreview" topLeftCell="A25">
      <selection activeCell="C52" sqref="C52:D5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43" zoomScale="70" zoomScaleNormal="100" zoomScaleSheetLayoutView="70" workbookViewId="0">
      <selection activeCell="C98" sqref="C9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434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39.487780000000001</v>
      </c>
      <c r="E4" s="5">
        <f>SUM(D4/C4*100)</f>
        <v>3.7461843503339405</v>
      </c>
      <c r="F4" s="5">
        <f>SUM(D4-C4)</f>
        <v>-1014.5922199999999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2.6382300000000001</v>
      </c>
      <c r="E5" s="5">
        <f t="shared" ref="E5:E51" si="0">SUM(D5/C5*100)</f>
        <v>2.5865</v>
      </c>
      <c r="F5" s="5">
        <f t="shared" ref="F5:F51" si="1">SUM(D5-C5)</f>
        <v>-99.361770000000007</v>
      </c>
    </row>
    <row r="6" spans="1:6">
      <c r="A6" s="7">
        <v>1010200001</v>
      </c>
      <c r="B6" s="8" t="s">
        <v>225</v>
      </c>
      <c r="C6" s="9">
        <v>102</v>
      </c>
      <c r="D6" s="10">
        <v>2.6382300000000001</v>
      </c>
      <c r="E6" s="9">
        <f t="shared" ref="E6:E11" si="2">SUM(D6/C6*100)</f>
        <v>2.5865</v>
      </c>
      <c r="F6" s="9">
        <f t="shared" si="1"/>
        <v>-99.361770000000007</v>
      </c>
    </row>
    <row r="7" spans="1:6" ht="31.5">
      <c r="A7" s="3">
        <v>1030000000</v>
      </c>
      <c r="B7" s="13" t="s">
        <v>267</v>
      </c>
      <c r="C7" s="5">
        <f>C8+C10+C9</f>
        <v>356.08</v>
      </c>
      <c r="D7" s="5">
        <f>D8+D10+D9+D11</f>
        <v>30.064950000000003</v>
      </c>
      <c r="E7" s="9">
        <f t="shared" si="2"/>
        <v>8.4433133003819378</v>
      </c>
      <c r="F7" s="9">
        <f t="shared" si="1"/>
        <v>-326.01504999999997</v>
      </c>
    </row>
    <row r="8" spans="1:6">
      <c r="A8" s="7">
        <v>1030223001</v>
      </c>
      <c r="B8" s="8" t="s">
        <v>269</v>
      </c>
      <c r="C8" s="9">
        <v>132.82</v>
      </c>
      <c r="D8" s="10">
        <v>13.80874</v>
      </c>
      <c r="E8" s="9">
        <f t="shared" si="2"/>
        <v>10.396581840084325</v>
      </c>
      <c r="F8" s="9">
        <f t="shared" si="1"/>
        <v>-119.01125999999999</v>
      </c>
    </row>
    <row r="9" spans="1:6">
      <c r="A9" s="7">
        <v>1030224001</v>
      </c>
      <c r="B9" s="8" t="s">
        <v>275</v>
      </c>
      <c r="C9" s="9">
        <v>1.42</v>
      </c>
      <c r="D9" s="10">
        <v>8.1379999999999994E-2</v>
      </c>
      <c r="E9" s="9">
        <f t="shared" si="2"/>
        <v>5.7309859154929574</v>
      </c>
      <c r="F9" s="9">
        <f t="shared" si="1"/>
        <v>-1.3386199999999999</v>
      </c>
    </row>
    <row r="10" spans="1:6">
      <c r="A10" s="7">
        <v>1030225001</v>
      </c>
      <c r="B10" s="8" t="s">
        <v>268</v>
      </c>
      <c r="C10" s="9">
        <v>221.84</v>
      </c>
      <c r="D10" s="10">
        <v>18.528089999999999</v>
      </c>
      <c r="E10" s="9">
        <f t="shared" si="2"/>
        <v>8.3520059502344015</v>
      </c>
      <c r="F10" s="9">
        <f t="shared" si="1"/>
        <v>-203.31191000000001</v>
      </c>
    </row>
    <row r="11" spans="1:6">
      <c r="A11" s="7">
        <v>1030226001</v>
      </c>
      <c r="B11" s="8" t="s">
        <v>277</v>
      </c>
      <c r="C11" s="9">
        <v>0</v>
      </c>
      <c r="D11" s="10">
        <v>-2.3532600000000001</v>
      </c>
      <c r="E11" s="9" t="e">
        <f t="shared" si="2"/>
        <v>#DIV/0!</v>
      </c>
      <c r="F11" s="9">
        <f t="shared" si="1"/>
        <v>-2.3532600000000001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6.7846000000000002</v>
      </c>
      <c r="E14" s="9">
        <f t="shared" si="0"/>
        <v>1.2313248638838477</v>
      </c>
      <c r="F14" s="9">
        <f t="shared" si="1"/>
        <v>-544.21540000000005</v>
      </c>
    </row>
    <row r="15" spans="1:6" s="6" customFormat="1" ht="15.75" customHeight="1">
      <c r="A15" s="7">
        <v>1060100000</v>
      </c>
      <c r="B15" s="11" t="s">
        <v>8</v>
      </c>
      <c r="C15" s="190">
        <v>91</v>
      </c>
      <c r="D15" s="10">
        <v>1.4034500000000001</v>
      </c>
      <c r="E15" s="9">
        <f>SUM(D15/C15*100)</f>
        <v>1.5422527472527474</v>
      </c>
      <c r="F15" s="9">
        <f>SUM(D15-C14)</f>
        <v>-549.59654999999998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5.3811499999999999</v>
      </c>
      <c r="E16" s="9">
        <f t="shared" si="0"/>
        <v>1.1698152173913043</v>
      </c>
      <c r="F16" s="9">
        <f t="shared" si="1"/>
        <v>-454.61885000000001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85.7</v>
      </c>
      <c r="D25" s="5">
        <f>D26+D29+D31+D37-D34</f>
        <v>0</v>
      </c>
      <c r="E25" s="5">
        <f t="shared" si="0"/>
        <v>0</v>
      </c>
      <c r="F25" s="5">
        <f t="shared" si="1"/>
        <v>-85.7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0</v>
      </c>
      <c r="E26" s="5">
        <f t="shared" si="0"/>
        <v>0</v>
      </c>
      <c r="F26" s="5">
        <f t="shared" si="1"/>
        <v>-85.7</v>
      </c>
    </row>
    <row r="27" spans="1:6" ht="15.75" customHeight="1">
      <c r="A27" s="16">
        <v>1110502510</v>
      </c>
      <c r="B27" s="17" t="s">
        <v>222</v>
      </c>
      <c r="C27" s="12">
        <v>85.7</v>
      </c>
      <c r="D27" s="10">
        <v>0</v>
      </c>
      <c r="E27" s="9">
        <f t="shared" si="0"/>
        <v>0</v>
      </c>
      <c r="F27" s="9">
        <f t="shared" si="1"/>
        <v>-85.7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1139.78</v>
      </c>
      <c r="D40" s="126">
        <f>D4+D25</f>
        <v>39.487780000000001</v>
      </c>
      <c r="E40" s="5">
        <f t="shared" si="0"/>
        <v>3.4645089403218163</v>
      </c>
      <c r="F40" s="5">
        <f t="shared" si="1"/>
        <v>-1100.29222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3752.223</v>
      </c>
      <c r="D41" s="5">
        <f>D42+D44+D45+D46+D47+D48+D43+D50</f>
        <v>279.2276</v>
      </c>
      <c r="E41" s="5">
        <f t="shared" si="0"/>
        <v>7.4416579185192342</v>
      </c>
      <c r="F41" s="5">
        <f t="shared" si="1"/>
        <v>-3472.9953999999998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270.61099999999999</v>
      </c>
      <c r="E42" s="9">
        <f t="shared" si="0"/>
        <v>8.3334154528377411</v>
      </c>
      <c r="F42" s="9">
        <f t="shared" si="1"/>
        <v>-2976.6890000000003</v>
      </c>
    </row>
    <row r="43" spans="1:7" ht="17.25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372.28</v>
      </c>
      <c r="D44" s="10">
        <v>0</v>
      </c>
      <c r="E44" s="9">
        <f>SUM(D44/C44*100)</f>
        <v>0</v>
      </c>
      <c r="F44" s="9">
        <f t="shared" si="1"/>
        <v>-372.28</v>
      </c>
    </row>
    <row r="45" spans="1:7" ht="17.25" customHeight="1">
      <c r="A45" s="16">
        <v>2023000000</v>
      </c>
      <c r="B45" s="17" t="s">
        <v>20</v>
      </c>
      <c r="C45" s="12">
        <v>107.643</v>
      </c>
      <c r="D45" s="185">
        <v>8.6166</v>
      </c>
      <c r="E45" s="9">
        <f t="shared" si="0"/>
        <v>8.0047936233661279</v>
      </c>
      <c r="F45" s="9">
        <f t="shared" si="1"/>
        <v>-99.026399999999995</v>
      </c>
    </row>
    <row r="46" spans="1:7" ht="21.75" customHeight="1">
      <c r="A46" s="16">
        <v>2020400000</v>
      </c>
      <c r="B46" s="17" t="s">
        <v>21</v>
      </c>
      <c r="C46" s="12">
        <v>25</v>
      </c>
      <c r="D46" s="186">
        <v>0</v>
      </c>
      <c r="E46" s="9">
        <f t="shared" si="0"/>
        <v>0</v>
      </c>
      <c r="F46" s="9">
        <f t="shared" si="1"/>
        <v>-25</v>
      </c>
    </row>
    <row r="47" spans="1:7" ht="32.25" customHeight="1">
      <c r="A47" s="16">
        <v>2020900000</v>
      </c>
      <c r="B47" s="18" t="s">
        <v>22</v>
      </c>
      <c r="C47" s="12"/>
      <c r="D47" s="186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9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8">
        <f>C40+C41</f>
        <v>4892.0029999999997</v>
      </c>
      <c r="D51" s="249">
        <f>D40+D41</f>
        <v>318.71537999999998</v>
      </c>
      <c r="E51" s="93">
        <f t="shared" si="0"/>
        <v>6.5150283023129791</v>
      </c>
      <c r="F51" s="93">
        <f t="shared" si="1"/>
        <v>-4573.2876200000001</v>
      </c>
      <c r="G51" s="198"/>
      <c r="H51" s="198"/>
    </row>
    <row r="52" spans="1:8" s="6" customFormat="1">
      <c r="A52" s="3"/>
      <c r="B52" s="21" t="s">
        <v>307</v>
      </c>
      <c r="C52" s="93">
        <f>C51-C98</f>
        <v>0</v>
      </c>
      <c r="D52" s="93">
        <f>D51-D98</f>
        <v>288.71537999999998</v>
      </c>
      <c r="E52" s="22"/>
      <c r="F52" s="22"/>
    </row>
    <row r="53" spans="1:8">
      <c r="A53" s="23"/>
      <c r="B53" s="24"/>
      <c r="C53" s="184"/>
      <c r="D53" s="184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1">
        <f>C57+C58+C59+C60+C61+C63+C62</f>
        <v>1526.9859999999999</v>
      </c>
      <c r="D56" s="33">
        <f>D57+D58+D59+D60+D61+D63+D62</f>
        <v>28</v>
      </c>
      <c r="E56" s="34">
        <f>SUM(D56/C56*100)</f>
        <v>1.8336775844703228</v>
      </c>
      <c r="F56" s="34">
        <f>SUM(D56-C56)</f>
        <v>-1498.9859999999999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1423.8</v>
      </c>
      <c r="D58" s="37">
        <v>28</v>
      </c>
      <c r="E58" s="38">
        <f t="shared" ref="E58:E98" si="3">SUM(D58/C58*100)</f>
        <v>1.9665683382497543</v>
      </c>
      <c r="F58" s="38">
        <f t="shared" ref="F58:F98" si="4">SUM(D58-C58)</f>
        <v>-1395.8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3.1859999999999999</v>
      </c>
      <c r="D63" s="37">
        <v>0</v>
      </c>
      <c r="E63" s="38">
        <f t="shared" si="3"/>
        <v>0</v>
      </c>
      <c r="F63" s="38">
        <f t="shared" si="4"/>
        <v>-3.1859999999999999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2</v>
      </c>
      <c r="E64" s="34">
        <f t="shared" si="3"/>
        <v>1.9345540369306369</v>
      </c>
      <c r="F64" s="34">
        <f t="shared" si="4"/>
        <v>-101.383</v>
      </c>
    </row>
    <row r="65" spans="1:7">
      <c r="A65" s="43" t="s">
        <v>45</v>
      </c>
      <c r="B65" s="44" t="s">
        <v>46</v>
      </c>
      <c r="C65" s="37">
        <v>103.383</v>
      </c>
      <c r="D65" s="37">
        <v>2</v>
      </c>
      <c r="E65" s="38">
        <f t="shared" si="3"/>
        <v>1.9345540369306369</v>
      </c>
      <c r="F65" s="38">
        <f t="shared" si="4"/>
        <v>-101.383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0</v>
      </c>
      <c r="E70" s="38">
        <f t="shared" si="3"/>
        <v>0</v>
      </c>
      <c r="F70" s="38">
        <f t="shared" si="4"/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878.31999999999994</v>
      </c>
      <c r="D72" s="48">
        <f>SUM(D73:D76)</f>
        <v>0</v>
      </c>
      <c r="E72" s="34">
        <f t="shared" si="3"/>
        <v>0</v>
      </c>
      <c r="F72" s="34">
        <f t="shared" si="4"/>
        <v>-878.31999999999994</v>
      </c>
    </row>
    <row r="73" spans="1:7" ht="15.7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814.06</v>
      </c>
      <c r="D75" s="37"/>
      <c r="E75" s="38">
        <f t="shared" si="3"/>
        <v>0</v>
      </c>
      <c r="F75" s="38">
        <f t="shared" si="4"/>
        <v>-814.06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0</v>
      </c>
      <c r="E76" s="38">
        <f t="shared" si="3"/>
        <v>0</v>
      </c>
      <c r="F76" s="38">
        <f t="shared" si="4"/>
        <v>-60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1311.414</v>
      </c>
      <c r="D77" s="32">
        <f>SUM(D78:D80)</f>
        <v>0</v>
      </c>
      <c r="E77" s="34">
        <f t="shared" si="3"/>
        <v>0</v>
      </c>
      <c r="F77" s="34">
        <f t="shared" si="4"/>
        <v>-1311.414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742.18399999999997</v>
      </c>
      <c r="D79" s="37">
        <v>0</v>
      </c>
      <c r="E79" s="38">
        <f t="shared" si="3"/>
        <v>0</v>
      </c>
      <c r="F79" s="38">
        <f t="shared" si="4"/>
        <v>-742.18399999999997</v>
      </c>
    </row>
    <row r="80" spans="1:7">
      <c r="A80" s="35" t="s">
        <v>71</v>
      </c>
      <c r="B80" s="39" t="s">
        <v>72</v>
      </c>
      <c r="C80" s="37">
        <v>569.23</v>
      </c>
      <c r="D80" s="37"/>
      <c r="E80" s="38">
        <f t="shared" si="3"/>
        <v>0</v>
      </c>
      <c r="F80" s="38">
        <f t="shared" si="4"/>
        <v>-569.23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0</v>
      </c>
      <c r="E81" s="34">
        <f t="shared" si="3"/>
        <v>0</v>
      </c>
      <c r="F81" s="34">
        <f t="shared" si="4"/>
        <v>-1026.9000000000001</v>
      </c>
    </row>
    <row r="82" spans="1:7" ht="17.25" customHeight="1">
      <c r="A82" s="35" t="s">
        <v>85</v>
      </c>
      <c r="B82" s="39" t="s">
        <v>230</v>
      </c>
      <c r="C82" s="37">
        <v>1026.9000000000001</v>
      </c>
      <c r="D82" s="37"/>
      <c r="E82" s="38">
        <f t="shared" si="3"/>
        <v>0</v>
      </c>
      <c r="F82" s="38">
        <f t="shared" si="4"/>
        <v>-1026.9000000000001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0</v>
      </c>
      <c r="E88" s="38">
        <f t="shared" si="3"/>
        <v>0</v>
      </c>
      <c r="F88" s="22">
        <f>F89+F90+F91+F92+F93</f>
        <v>-30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/>
      <c r="E89" s="38">
        <f t="shared" si="3"/>
        <v>0</v>
      </c>
      <c r="F89" s="38">
        <f>SUM(D89-C89)</f>
        <v>-30</v>
      </c>
      <c r="G89" s="245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4">
        <f>C56+C64+C66+C72+C77+C81+C83+C88+C94</f>
        <v>4892.0030000000006</v>
      </c>
      <c r="D98" s="480">
        <f>D56+D64+D66+D72+D77+D81+D83+D88+D94</f>
        <v>30</v>
      </c>
      <c r="E98" s="34">
        <f t="shared" si="3"/>
        <v>0.61324574003736287</v>
      </c>
      <c r="F98" s="34">
        <f t="shared" si="4"/>
        <v>-4862.0030000000006</v>
      </c>
      <c r="G98" s="198"/>
      <c r="H98" s="198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3"/>
      <c r="D100" s="183"/>
      <c r="E100" s="246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3">
      <selection activeCell="C98" sqref="C98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C98" sqref="C9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8" t="s">
        <v>435</v>
      </c>
      <c r="B1" s="528"/>
      <c r="C1" s="528"/>
      <c r="D1" s="528"/>
      <c r="E1" s="528"/>
      <c r="F1" s="528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46.812539999999998</v>
      </c>
      <c r="E4" s="5">
        <f>SUM(D4/C4*100)</f>
        <v>5.9552635261490714</v>
      </c>
      <c r="F4" s="5">
        <f>SUM(D4-C4)</f>
        <v>-739.25745999999992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0.77736000000000005</v>
      </c>
      <c r="E5" s="5">
        <f t="shared" ref="E5:E51" si="0">SUM(D5/C5*100)</f>
        <v>1.3153299492385786</v>
      </c>
      <c r="F5" s="5">
        <f t="shared" ref="F5:F51" si="1">SUM(D5-C5)</f>
        <v>-58.32264</v>
      </c>
    </row>
    <row r="6" spans="1:6">
      <c r="A6" s="7">
        <v>1010200001</v>
      </c>
      <c r="B6" s="8" t="s">
        <v>225</v>
      </c>
      <c r="C6" s="9">
        <v>59.1</v>
      </c>
      <c r="D6" s="10">
        <v>0.77736000000000005</v>
      </c>
      <c r="E6" s="9">
        <f t="shared" ref="E6:E11" si="2">SUM(D6/C6*100)</f>
        <v>1.3153299492385786</v>
      </c>
      <c r="F6" s="9">
        <f t="shared" si="1"/>
        <v>-58.32264</v>
      </c>
    </row>
    <row r="7" spans="1:6" ht="31.5">
      <c r="A7" s="3">
        <v>1030000000</v>
      </c>
      <c r="B7" s="13" t="s">
        <v>267</v>
      </c>
      <c r="C7" s="5">
        <f>C8+C10+C9</f>
        <v>365.96999999999997</v>
      </c>
      <c r="D7" s="5">
        <f>D8+D10+D9+D11</f>
        <v>30.900089999999999</v>
      </c>
      <c r="E7" s="5">
        <f t="shared" si="2"/>
        <v>8.4433396180014757</v>
      </c>
      <c r="F7" s="5">
        <f t="shared" si="1"/>
        <v>-335.06990999999999</v>
      </c>
    </row>
    <row r="8" spans="1:6">
      <c r="A8" s="7">
        <v>1030223001</v>
      </c>
      <c r="B8" s="8" t="s">
        <v>269</v>
      </c>
      <c r="C8" s="9">
        <v>136.51</v>
      </c>
      <c r="D8" s="10">
        <v>14.192299999999999</v>
      </c>
      <c r="E8" s="9">
        <f t="shared" si="2"/>
        <v>10.396527726906454</v>
      </c>
      <c r="F8" s="9">
        <f t="shared" si="1"/>
        <v>-122.31769999999999</v>
      </c>
    </row>
    <row r="9" spans="1:6">
      <c r="A9" s="7">
        <v>1030224001</v>
      </c>
      <c r="B9" s="8" t="s">
        <v>275</v>
      </c>
      <c r="C9" s="9">
        <v>1.46</v>
      </c>
      <c r="D9" s="10">
        <v>8.3650000000000002E-2</v>
      </c>
      <c r="E9" s="9">
        <f t="shared" si="2"/>
        <v>5.7294520547945211</v>
      </c>
      <c r="F9" s="9">
        <f t="shared" si="1"/>
        <v>-1.37635</v>
      </c>
    </row>
    <row r="10" spans="1:6">
      <c r="A10" s="7">
        <v>1030225001</v>
      </c>
      <c r="B10" s="8" t="s">
        <v>268</v>
      </c>
      <c r="C10" s="9">
        <v>228</v>
      </c>
      <c r="D10" s="10">
        <v>19.042770000000001</v>
      </c>
      <c r="E10" s="9">
        <f t="shared" si="2"/>
        <v>8.3520921052631572</v>
      </c>
      <c r="F10" s="9">
        <f t="shared" si="1"/>
        <v>-208.95723000000001</v>
      </c>
    </row>
    <row r="11" spans="1:6">
      <c r="A11" s="7">
        <v>1030226001</v>
      </c>
      <c r="B11" s="8" t="s">
        <v>277</v>
      </c>
      <c r="C11" s="9">
        <v>0</v>
      </c>
      <c r="D11" s="10">
        <v>-2.4186299999999998</v>
      </c>
      <c r="E11" s="9" t="e">
        <f t="shared" si="2"/>
        <v>#DIV/0!</v>
      </c>
      <c r="F11" s="9">
        <f t="shared" si="1"/>
        <v>-2.4186299999999998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14.935089999999999</v>
      </c>
      <c r="E14" s="5">
        <f t="shared" si="0"/>
        <v>4.2916925287356325</v>
      </c>
      <c r="F14" s="5">
        <f t="shared" si="1"/>
        <v>-333.06491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1.57528</v>
      </c>
      <c r="E15" s="9">
        <f t="shared" si="0"/>
        <v>2.1003733333333332</v>
      </c>
      <c r="F15" s="9">
        <f>SUM(D15-C15)</f>
        <v>-73.424719999999994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13.35981</v>
      </c>
      <c r="E16" s="9">
        <f t="shared" si="0"/>
        <v>4.893703296703297</v>
      </c>
      <c r="F16" s="9">
        <f t="shared" si="1"/>
        <v>-259.64019000000002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5">
        <f t="shared" si="0"/>
        <v>6.666666666666667</v>
      </c>
      <c r="F17" s="5">
        <f t="shared" si="1"/>
        <v>-2.8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65.206400000000002</v>
      </c>
      <c r="E25" s="5">
        <f t="shared" si="0"/>
        <v>39.280963855421689</v>
      </c>
      <c r="F25" s="5">
        <f t="shared" si="1"/>
        <v>-100.7936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65.206400000000002</v>
      </c>
      <c r="E26" s="5">
        <f t="shared" si="0"/>
        <v>39.280963855421689</v>
      </c>
      <c r="F26" s="5">
        <f t="shared" si="1"/>
        <v>-100.7936</v>
      </c>
    </row>
    <row r="27" spans="1:6">
      <c r="A27" s="16">
        <v>1110502510</v>
      </c>
      <c r="B27" s="17" t="s">
        <v>222</v>
      </c>
      <c r="C27" s="12">
        <v>140</v>
      </c>
      <c r="D27" s="10">
        <v>63.038800000000002</v>
      </c>
      <c r="E27" s="9">
        <f t="shared" si="0"/>
        <v>45.027714285714289</v>
      </c>
      <c r="F27" s="9">
        <f t="shared" si="1"/>
        <v>-76.961199999999991</v>
      </c>
    </row>
    <row r="28" spans="1:6" ht="18.75" customHeight="1">
      <c r="A28" s="7">
        <v>1110503505</v>
      </c>
      <c r="B28" s="11" t="s">
        <v>221</v>
      </c>
      <c r="C28" s="12">
        <v>26</v>
      </c>
      <c r="D28" s="10">
        <v>2.1676000000000002</v>
      </c>
      <c r="E28" s="9">
        <f t="shared" si="0"/>
        <v>8.3369230769230782</v>
      </c>
      <c r="F28" s="9">
        <f t="shared" si="1"/>
        <v>-23.8324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1130206005</v>
      </c>
      <c r="B30" s="8" t="s">
        <v>220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112.01894</v>
      </c>
      <c r="E40" s="5">
        <f t="shared" si="0"/>
        <v>11.765830243574529</v>
      </c>
      <c r="F40" s="5">
        <f t="shared" si="1"/>
        <v>-840.05105999999989</v>
      </c>
    </row>
    <row r="41" spans="1:7" s="6" customFormat="1">
      <c r="A41" s="3">
        <v>2000000000</v>
      </c>
      <c r="B41" s="4" t="s">
        <v>17</v>
      </c>
      <c r="C41" s="5">
        <f>C42+C43+C44+C45+C46+C47+C50</f>
        <v>2827.529</v>
      </c>
      <c r="D41" s="5">
        <f>D42+D43+D44+D45+D46+D47+D50</f>
        <v>185.4676</v>
      </c>
      <c r="E41" s="5">
        <f t="shared" si="0"/>
        <v>6.5593527069041562</v>
      </c>
      <c r="F41" s="5">
        <f t="shared" si="1"/>
        <v>-2642.0614</v>
      </c>
      <c r="G41" s="19"/>
    </row>
    <row r="42" spans="1:7" ht="16.5" customHeight="1">
      <c r="A42" s="16">
        <v>2021000000</v>
      </c>
      <c r="B42" s="17" t="s">
        <v>18</v>
      </c>
      <c r="C42" s="12">
        <v>2122.1999999999998</v>
      </c>
      <c r="D42" s="12">
        <v>176.851</v>
      </c>
      <c r="E42" s="9">
        <f t="shared" si="0"/>
        <v>8.3333804542455958</v>
      </c>
      <c r="F42" s="9">
        <f t="shared" si="1"/>
        <v>-1945.3489999999997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484.34</v>
      </c>
      <c r="D44" s="10">
        <v>0</v>
      </c>
      <c r="E44" s="9">
        <f t="shared" si="0"/>
        <v>0</v>
      </c>
      <c r="F44" s="9">
        <f t="shared" si="1"/>
        <v>-484.34</v>
      </c>
    </row>
    <row r="45" spans="1:7" ht="15.75" customHeight="1">
      <c r="A45" s="16">
        <v>2023000000</v>
      </c>
      <c r="B45" s="17" t="s">
        <v>20</v>
      </c>
      <c r="C45" s="12">
        <v>107.643</v>
      </c>
      <c r="D45" s="185">
        <v>8.6166</v>
      </c>
      <c r="E45" s="9">
        <f t="shared" si="0"/>
        <v>8.0047936233661279</v>
      </c>
      <c r="F45" s="9">
        <f t="shared" si="1"/>
        <v>-99.026399999999995</v>
      </c>
    </row>
    <row r="46" spans="1:7" ht="15" customHeight="1">
      <c r="A46" s="16">
        <v>2024000000</v>
      </c>
      <c r="B46" s="17" t="s">
        <v>21</v>
      </c>
      <c r="C46" s="12">
        <v>113.346</v>
      </c>
      <c r="D46" s="186"/>
      <c r="E46" s="9">
        <f t="shared" si="0"/>
        <v>0</v>
      </c>
      <c r="F46" s="9">
        <f t="shared" si="1"/>
        <v>-113.346</v>
      </c>
    </row>
    <row r="47" spans="1:7" ht="30.75" customHeight="1">
      <c r="A47" s="16">
        <v>2020900000</v>
      </c>
      <c r="B47" s="18" t="s">
        <v>22</v>
      </c>
      <c r="C47" s="12"/>
      <c r="D47" s="186"/>
      <c r="E47" s="9" t="e">
        <f t="shared" si="0"/>
        <v>#DIV/0!</v>
      </c>
      <c r="F47" s="9">
        <f t="shared" si="1"/>
        <v>0</v>
      </c>
    </row>
    <row r="48" spans="1:7" ht="1.5" customHeight="1">
      <c r="A48" s="16">
        <v>2080500010</v>
      </c>
      <c r="B48" s="18" t="s">
        <v>245</v>
      </c>
      <c r="C48" s="12"/>
      <c r="D48" s="186"/>
      <c r="E48" s="9"/>
      <c r="F48" s="9"/>
    </row>
    <row r="49" spans="1:8" s="6" customFormat="1" ht="21.75" customHeight="1">
      <c r="A49" s="3">
        <v>3000000000</v>
      </c>
      <c r="B49" s="13" t="s">
        <v>24</v>
      </c>
      <c r="C49" s="189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335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2">
        <f>C40+C41</f>
        <v>3779.5990000000002</v>
      </c>
      <c r="D51" s="253">
        <f>D40+D41</f>
        <v>297.48653999999999</v>
      </c>
      <c r="E51" s="93">
        <f t="shared" si="0"/>
        <v>7.8708492620513439</v>
      </c>
      <c r="F51" s="93">
        <f t="shared" si="1"/>
        <v>-3482.1124600000003</v>
      </c>
      <c r="G51" s="94"/>
      <c r="H51" s="247"/>
    </row>
    <row r="52" spans="1:8" s="6" customFormat="1" ht="16.5" customHeight="1">
      <c r="A52" s="7"/>
      <c r="B52" s="21" t="s">
        <v>308</v>
      </c>
      <c r="C52" s="252">
        <f>C51-C98</f>
        <v>0</v>
      </c>
      <c r="D52" s="252">
        <f>D51-D98</f>
        <v>266.66933999999998</v>
      </c>
      <c r="E52" s="193"/>
      <c r="F52" s="193"/>
    </row>
    <row r="53" spans="1:8">
      <c r="A53" s="3"/>
      <c r="B53" s="24"/>
      <c r="C53" s="216"/>
      <c r="D53" s="216"/>
      <c r="E53" s="26"/>
      <c r="F53" s="27"/>
    </row>
    <row r="54" spans="1:8" ht="32.25" customHeight="1">
      <c r="A54" s="23"/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5">
        <f>C57+C58+C59+C60+C61+C63+C62</f>
        <v>1276.432</v>
      </c>
      <c r="D56" s="33">
        <f>D57+D58+D59+D60+D61+D63+D62</f>
        <v>28.8172</v>
      </c>
      <c r="E56" s="34">
        <f>SUM(D56/C56*100)</f>
        <v>2.2576369128946938</v>
      </c>
      <c r="F56" s="34">
        <f>SUM(D56-C56)</f>
        <v>-1247.6148000000001</v>
      </c>
    </row>
    <row r="57" spans="1:8" s="6" customFormat="1" ht="15.75" hidden="1" customHeight="1">
      <c r="A57" s="30" t="s">
        <v>27</v>
      </c>
      <c r="B57" s="36" t="s">
        <v>30</v>
      </c>
      <c r="C57" s="194"/>
      <c r="D57" s="194"/>
      <c r="E57" s="38"/>
      <c r="F57" s="38"/>
    </row>
    <row r="58" spans="1:8" ht="17.25" customHeight="1">
      <c r="A58" s="35" t="s">
        <v>31</v>
      </c>
      <c r="B58" s="39" t="s">
        <v>32</v>
      </c>
      <c r="C58" s="194">
        <v>1203.9000000000001</v>
      </c>
      <c r="D58" s="194">
        <v>28.8172</v>
      </c>
      <c r="E58" s="38">
        <f t="shared" ref="E58:E98" si="3">SUM(D58/C58*100)</f>
        <v>2.393653957969931</v>
      </c>
      <c r="F58" s="38">
        <f t="shared" ref="F58:F98" si="4">SUM(D58-C58)</f>
        <v>-1175.0828000000001</v>
      </c>
    </row>
    <row r="59" spans="1:8" ht="17.25" hidden="1" customHeight="1">
      <c r="A59" s="35" t="s">
        <v>31</v>
      </c>
      <c r="B59" s="39" t="s">
        <v>34</v>
      </c>
      <c r="C59" s="194"/>
      <c r="D59" s="194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4"/>
      <c r="D60" s="194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4"/>
      <c r="D61" s="194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5">
        <v>50</v>
      </c>
      <c r="D62" s="195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4">
        <v>22.532</v>
      </c>
      <c r="D63" s="194">
        <v>0</v>
      </c>
      <c r="E63" s="38">
        <f t="shared" si="3"/>
        <v>0</v>
      </c>
      <c r="F63" s="38">
        <f t="shared" si="4"/>
        <v>-22.532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2</v>
      </c>
      <c r="E64" s="34">
        <f t="shared" si="3"/>
        <v>1.9345540369306369</v>
      </c>
      <c r="F64" s="34">
        <f t="shared" si="4"/>
        <v>-101.383</v>
      </c>
    </row>
    <row r="65" spans="1:9">
      <c r="A65" s="439" t="s">
        <v>45</v>
      </c>
      <c r="B65" s="44" t="s">
        <v>46</v>
      </c>
      <c r="C65" s="194">
        <v>103.383</v>
      </c>
      <c r="D65" s="194">
        <v>2</v>
      </c>
      <c r="E65" s="38">
        <f t="shared" si="3"/>
        <v>1.9345540369306369</v>
      </c>
      <c r="F65" s="38">
        <f t="shared" si="4"/>
        <v>-101.383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0</v>
      </c>
      <c r="E66" s="34">
        <f t="shared" si="3"/>
        <v>0</v>
      </c>
      <c r="F66" s="34">
        <f t="shared" si="4"/>
        <v>-15</v>
      </c>
    </row>
    <row r="67" spans="1:9" ht="1.5" hidden="1" customHeight="1">
      <c r="A67" s="30" t="s">
        <v>47</v>
      </c>
      <c r="B67" s="39" t="s">
        <v>50</v>
      </c>
      <c r="C67" s="194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4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6">
        <v>3</v>
      </c>
      <c r="D69" s="194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215</v>
      </c>
      <c r="B70" s="47" t="s">
        <v>216</v>
      </c>
      <c r="C70" s="194">
        <v>10</v>
      </c>
      <c r="D70" s="194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340</v>
      </c>
      <c r="B71" s="47" t="s">
        <v>395</v>
      </c>
      <c r="C71" s="194">
        <v>2</v>
      </c>
      <c r="D71" s="194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40" t="s">
        <v>55</v>
      </c>
      <c r="B72" s="31" t="s">
        <v>56</v>
      </c>
      <c r="C72" s="33">
        <f>SUM(C73:C76)</f>
        <v>1187.9159999999999</v>
      </c>
      <c r="D72" s="33">
        <f>SUM(D73:D76)</f>
        <v>0</v>
      </c>
      <c r="E72" s="34">
        <f t="shared" si="3"/>
        <v>0</v>
      </c>
      <c r="F72" s="34">
        <f t="shared" si="4"/>
        <v>-1187.9159999999999</v>
      </c>
      <c r="I72" s="107"/>
    </row>
    <row r="73" spans="1:9" ht="15.75" customHeight="1">
      <c r="A73" s="35" t="s">
        <v>57</v>
      </c>
      <c r="B73" s="39" t="s">
        <v>58</v>
      </c>
      <c r="C73" s="194">
        <v>4.26</v>
      </c>
      <c r="D73" s="194">
        <v>0</v>
      </c>
      <c r="E73" s="38">
        <f t="shared" si="3"/>
        <v>0</v>
      </c>
      <c r="F73" s="38">
        <f t="shared" si="4"/>
        <v>-4.26</v>
      </c>
    </row>
    <row r="74" spans="1:9" s="6" customFormat="1" ht="19.5" customHeight="1">
      <c r="A74" s="35" t="s">
        <v>59</v>
      </c>
      <c r="B74" s="39" t="s">
        <v>60</v>
      </c>
      <c r="C74" s="194">
        <v>0</v>
      </c>
      <c r="D74" s="194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4">
        <v>1103.6559999999999</v>
      </c>
      <c r="D75" s="194">
        <v>0</v>
      </c>
      <c r="E75" s="38">
        <f t="shared" si="3"/>
        <v>0</v>
      </c>
      <c r="F75" s="38">
        <f t="shared" si="4"/>
        <v>-1103.6559999999999</v>
      </c>
    </row>
    <row r="76" spans="1:9">
      <c r="A76" s="35" t="s">
        <v>63</v>
      </c>
      <c r="B76" s="39" t="s">
        <v>64</v>
      </c>
      <c r="C76" s="194">
        <v>80</v>
      </c>
      <c r="D76" s="194">
        <v>0</v>
      </c>
      <c r="E76" s="38">
        <f t="shared" si="3"/>
        <v>0</v>
      </c>
      <c r="F76" s="38">
        <f t="shared" si="4"/>
        <v>-80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349.86799999999999</v>
      </c>
      <c r="D77" s="33">
        <f>SUM(D78:D80)</f>
        <v>0</v>
      </c>
      <c r="E77" s="34">
        <f t="shared" si="3"/>
        <v>0</v>
      </c>
      <c r="F77" s="34">
        <f t="shared" si="4"/>
        <v>-349.86799999999999</v>
      </c>
    </row>
    <row r="78" spans="1:9" ht="15.75" hidden="1" customHeight="1">
      <c r="A78" s="30" t="s">
        <v>65</v>
      </c>
      <c r="B78" s="51" t="s">
        <v>68</v>
      </c>
      <c r="C78" s="194"/>
      <c r="D78" s="194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94">
        <v>89.867999999999995</v>
      </c>
      <c r="D79" s="194"/>
      <c r="E79" s="38">
        <f t="shared" si="3"/>
        <v>0</v>
      </c>
      <c r="F79" s="38">
        <f t="shared" si="4"/>
        <v>-89.867999999999995</v>
      </c>
    </row>
    <row r="80" spans="1:9">
      <c r="A80" s="35" t="s">
        <v>71</v>
      </c>
      <c r="B80" s="39" t="s">
        <v>72</v>
      </c>
      <c r="C80" s="194">
        <v>260</v>
      </c>
      <c r="D80" s="194"/>
      <c r="E80" s="38">
        <f t="shared" si="3"/>
        <v>0</v>
      </c>
      <c r="F80" s="38">
        <f t="shared" si="4"/>
        <v>-260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0</v>
      </c>
      <c r="E81" s="34">
        <f t="shared" si="3"/>
        <v>0</v>
      </c>
      <c r="F81" s="34">
        <f t="shared" si="4"/>
        <v>-837</v>
      </c>
    </row>
    <row r="82" spans="1:12" ht="15.75" customHeight="1">
      <c r="A82" s="35" t="s">
        <v>85</v>
      </c>
      <c r="B82" s="39" t="s">
        <v>230</v>
      </c>
      <c r="C82" s="194">
        <v>837</v>
      </c>
      <c r="D82" s="194"/>
      <c r="E82" s="38">
        <f t="shared" si="3"/>
        <v>0</v>
      </c>
      <c r="F82" s="38">
        <f t="shared" si="4"/>
        <v>-837</v>
      </c>
      <c r="L82" s="106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4"/>
      <c r="D84" s="194"/>
      <c r="E84" s="242" t="e">
        <f>SUM(D84/C84*100)</f>
        <v>#DIV/0!</v>
      </c>
      <c r="F84" s="242">
        <f>SUM(D84-C84)</f>
        <v>0</v>
      </c>
    </row>
    <row r="85" spans="1:12" hidden="1">
      <c r="A85" s="53">
        <v>1001</v>
      </c>
      <c r="B85" s="54" t="s">
        <v>88</v>
      </c>
      <c r="C85" s="194"/>
      <c r="D85" s="194"/>
      <c r="E85" s="242" t="e">
        <f>SUM(D85/C85*100)</f>
        <v>#DIV/0!</v>
      </c>
      <c r="F85" s="242">
        <f>SUM(D85-C85)</f>
        <v>0</v>
      </c>
    </row>
    <row r="86" spans="1:12" hidden="1">
      <c r="A86" s="53">
        <v>1003</v>
      </c>
      <c r="B86" s="54" t="s">
        <v>89</v>
      </c>
      <c r="C86" s="194"/>
      <c r="D86" s="197"/>
      <c r="E86" s="242" t="e">
        <f>SUM(D86/C86*100)</f>
        <v>#DIV/0!</v>
      </c>
      <c r="F86" s="242">
        <f>SUM(D86-C86)</f>
        <v>0</v>
      </c>
    </row>
    <row r="87" spans="1:12" ht="15" customHeight="1">
      <c r="A87" s="53">
        <v>1004</v>
      </c>
      <c r="B87" s="39" t="s">
        <v>91</v>
      </c>
      <c r="C87" s="194">
        <v>0</v>
      </c>
      <c r="D87" s="194">
        <v>0</v>
      </c>
      <c r="E87" s="242" t="e">
        <f>SUM(D87/C87*100)</f>
        <v>#DIV/0!</v>
      </c>
      <c r="F87" s="242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0</v>
      </c>
      <c r="E88" s="38">
        <f t="shared" si="3"/>
        <v>0</v>
      </c>
      <c r="F88" s="22">
        <f>F89+F90+F91+F92+F93</f>
        <v>-10</v>
      </c>
    </row>
    <row r="89" spans="1:12" ht="15.75" customHeight="1">
      <c r="A89" s="35" t="s">
        <v>94</v>
      </c>
      <c r="B89" s="39" t="s">
        <v>95</v>
      </c>
      <c r="C89" s="194">
        <v>10</v>
      </c>
      <c r="D89" s="194">
        <v>0</v>
      </c>
      <c r="E89" s="38">
        <f t="shared" si="3"/>
        <v>0</v>
      </c>
      <c r="F89" s="38">
        <f>SUM(D89-C89)</f>
        <v>-10</v>
      </c>
    </row>
    <row r="90" spans="1:12" ht="0.75" hidden="1" customHeight="1">
      <c r="A90" s="35" t="s">
        <v>94</v>
      </c>
      <c r="B90" s="39" t="s">
        <v>97</v>
      </c>
      <c r="C90" s="194"/>
      <c r="D90" s="194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4"/>
      <c r="D91" s="194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4"/>
      <c r="D92" s="194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4"/>
      <c r="D93" s="194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4"/>
      <c r="D95" s="194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4"/>
      <c r="D96" s="194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4"/>
      <c r="D97" s="194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4">
        <f>C56+C64+C66+C72+C77+C81+C88+C83</f>
        <v>3779.5989999999997</v>
      </c>
      <c r="D98" s="254">
        <f>D56+D64+D66+D72+D77+D81+D88+D83</f>
        <v>30.8172</v>
      </c>
      <c r="E98" s="34">
        <f t="shared" si="3"/>
        <v>0.81535633806655161</v>
      </c>
      <c r="F98" s="34">
        <f t="shared" si="4"/>
        <v>-3748.7817999999997</v>
      </c>
      <c r="G98" s="150"/>
      <c r="H98" s="268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4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409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3.5" customHeight="1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78.304810000000003</v>
      </c>
      <c r="E4" s="5">
        <f>SUM(D4/C4*100)</f>
        <v>2.7303884375326897</v>
      </c>
      <c r="F4" s="5">
        <f>SUM(D4-C4)</f>
        <v>-2789.59519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3.3699599999999998</v>
      </c>
      <c r="E5" s="5">
        <f t="shared" ref="E5:E50" si="0">SUM(D5/C5*100)</f>
        <v>2.6556028368794324</v>
      </c>
      <c r="F5" s="5">
        <f t="shared" ref="F5:F50" si="1">SUM(D5-C5)</f>
        <v>-123.53004</v>
      </c>
    </row>
    <row r="6" spans="1:6">
      <c r="A6" s="7">
        <v>1010200001</v>
      </c>
      <c r="B6" s="8" t="s">
        <v>225</v>
      </c>
      <c r="C6" s="9">
        <v>126.9</v>
      </c>
      <c r="D6" s="10">
        <v>3.3699599999999998</v>
      </c>
      <c r="E6" s="9">
        <f t="shared" ref="E6:E11" si="2">SUM(D6/C6*100)</f>
        <v>2.6556028368794324</v>
      </c>
      <c r="F6" s="9">
        <f t="shared" si="1"/>
        <v>-123.53004</v>
      </c>
    </row>
    <row r="7" spans="1:6" ht="31.5">
      <c r="A7" s="3">
        <v>1030000000</v>
      </c>
      <c r="B7" s="13" t="s">
        <v>267</v>
      </c>
      <c r="C7" s="5">
        <f>C8+C10+C9</f>
        <v>591</v>
      </c>
      <c r="D7" s="5">
        <f>D8+D10+D9+D11</f>
        <v>49.899479999999997</v>
      </c>
      <c r="E7" s="5">
        <f t="shared" si="2"/>
        <v>8.4432284263959385</v>
      </c>
      <c r="F7" s="5">
        <f t="shared" si="1"/>
        <v>-541.10051999999996</v>
      </c>
    </row>
    <row r="8" spans="1:6">
      <c r="A8" s="7">
        <v>1030223001</v>
      </c>
      <c r="B8" s="8" t="s">
        <v>269</v>
      </c>
      <c r="C8" s="9">
        <v>220.44</v>
      </c>
      <c r="D8" s="10">
        <v>22.91865</v>
      </c>
      <c r="E8" s="9">
        <f t="shared" si="2"/>
        <v>10.396774632553075</v>
      </c>
      <c r="F8" s="9">
        <f t="shared" si="1"/>
        <v>-197.52134999999998</v>
      </c>
    </row>
    <row r="9" spans="1:6">
      <c r="A9" s="7">
        <v>1030224001</v>
      </c>
      <c r="B9" s="8" t="s">
        <v>275</v>
      </c>
      <c r="C9" s="9">
        <v>2.36</v>
      </c>
      <c r="D9" s="10">
        <v>0.13508999999999999</v>
      </c>
      <c r="E9" s="9">
        <f t="shared" si="2"/>
        <v>5.724152542372881</v>
      </c>
      <c r="F9" s="9">
        <f t="shared" si="1"/>
        <v>-2.2249099999999999</v>
      </c>
    </row>
    <row r="10" spans="1:6">
      <c r="A10" s="7">
        <v>1030225001</v>
      </c>
      <c r="B10" s="8" t="s">
        <v>268</v>
      </c>
      <c r="C10" s="9">
        <v>368.2</v>
      </c>
      <c r="D10" s="10">
        <v>30.751480000000001</v>
      </c>
      <c r="E10" s="9">
        <f t="shared" si="2"/>
        <v>8.351841390548616</v>
      </c>
      <c r="F10" s="9">
        <f t="shared" si="1"/>
        <v>-337.44851999999997</v>
      </c>
    </row>
    <row r="11" spans="1:6">
      <c r="A11" s="7">
        <v>1030226001</v>
      </c>
      <c r="B11" s="8" t="s">
        <v>277</v>
      </c>
      <c r="C11" s="9">
        <v>0</v>
      </c>
      <c r="D11" s="10">
        <v>-3.9057400000000002</v>
      </c>
      <c r="E11" s="9" t="e">
        <f t="shared" si="2"/>
        <v>#DIV/0!</v>
      </c>
      <c r="F11" s="9">
        <f t="shared" si="1"/>
        <v>-3.9057400000000002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0.2172</v>
      </c>
      <c r="E12" s="5">
        <f t="shared" si="0"/>
        <v>0.43439999999999995</v>
      </c>
      <c r="F12" s="5">
        <f t="shared" si="1"/>
        <v>-49.782800000000002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0.2172</v>
      </c>
      <c r="E13" s="9">
        <f t="shared" si="0"/>
        <v>0.43439999999999995</v>
      </c>
      <c r="F13" s="9">
        <f t="shared" si="1"/>
        <v>-49.782800000000002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24.718170000000001</v>
      </c>
      <c r="E14" s="5">
        <f t="shared" si="0"/>
        <v>1.1826875598086124</v>
      </c>
      <c r="F14" s="5">
        <f t="shared" si="1"/>
        <v>-2065.2818299999999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-0.75882000000000005</v>
      </c>
      <c r="E15" s="9">
        <f t="shared" si="0"/>
        <v>-0.31617499999999998</v>
      </c>
      <c r="F15" s="9">
        <f>SUM(D15-C15)</f>
        <v>-240.75882000000001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25.476990000000001</v>
      </c>
      <c r="E16" s="9">
        <f t="shared" si="0"/>
        <v>1.3771345945945945</v>
      </c>
      <c r="F16" s="9">
        <f t="shared" si="1"/>
        <v>-1824.5230099999999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0.1</v>
      </c>
      <c r="E17" s="5">
        <f t="shared" si="0"/>
        <v>1</v>
      </c>
      <c r="F17" s="5">
        <f t="shared" si="1"/>
        <v>-9.9</v>
      </c>
    </row>
    <row r="18" spans="1:6" ht="15" customHeight="1">
      <c r="A18" s="7">
        <v>1080400001</v>
      </c>
      <c r="B18" s="8" t="s">
        <v>224</v>
      </c>
      <c r="C18" s="9">
        <v>10</v>
      </c>
      <c r="D18" s="10">
        <v>0.1</v>
      </c>
      <c r="E18" s="9">
        <f t="shared" si="0"/>
        <v>1</v>
      </c>
      <c r="F18" s="9">
        <f t="shared" si="1"/>
        <v>-9.9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499.5</v>
      </c>
      <c r="D25" s="5">
        <f>D26+D29+D31+D34</f>
        <v>6.8097300000000001</v>
      </c>
      <c r="E25" s="5">
        <f t="shared" si="0"/>
        <v>1.3633093093093094</v>
      </c>
      <c r="F25" s="5">
        <f t="shared" si="1"/>
        <v>-492.69027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6.8097300000000001</v>
      </c>
      <c r="E26" s="5">
        <f t="shared" si="0"/>
        <v>1.3633093093093094</v>
      </c>
      <c r="F26" s="5">
        <f t="shared" si="1"/>
        <v>-492.69027</v>
      </c>
    </row>
    <row r="27" spans="1:6">
      <c r="A27" s="16">
        <v>1110502510</v>
      </c>
      <c r="B27" s="17" t="s">
        <v>222</v>
      </c>
      <c r="C27" s="12">
        <v>420</v>
      </c>
      <c r="D27" s="10">
        <v>0</v>
      </c>
      <c r="E27" s="9">
        <f t="shared" si="0"/>
        <v>0</v>
      </c>
      <c r="F27" s="9">
        <f t="shared" si="1"/>
        <v>-420</v>
      </c>
    </row>
    <row r="28" spans="1:6">
      <c r="A28" s="7">
        <v>1110503510</v>
      </c>
      <c r="B28" s="11" t="s">
        <v>221</v>
      </c>
      <c r="C28" s="12">
        <v>79.5</v>
      </c>
      <c r="D28" s="10">
        <v>6.8097300000000001</v>
      </c>
      <c r="E28" s="9">
        <f t="shared" si="0"/>
        <v>8.5656981132075476</v>
      </c>
      <c r="F28" s="9">
        <f t="shared" si="1"/>
        <v>-72.690269999999998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1" customHeight="1">
      <c r="A30" s="7">
        <v>1130206510</v>
      </c>
      <c r="B30" s="8" t="s">
        <v>14</v>
      </c>
      <c r="C30" s="9">
        <v>0</v>
      </c>
      <c r="D30" s="10"/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3367.4</v>
      </c>
      <c r="D39" s="126">
        <f>SUM(D4,D25)</f>
        <v>85.114540000000005</v>
      </c>
      <c r="E39" s="5">
        <f t="shared" si="0"/>
        <v>2.5276040862386413</v>
      </c>
      <c r="F39" s="5">
        <f t="shared" si="1"/>
        <v>-3282.2854600000001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2653.2330000000002</v>
      </c>
      <c r="D40" s="5">
        <f>SUM(D41:D48)</f>
        <v>150.04259999999999</v>
      </c>
      <c r="E40" s="5">
        <f t="shared" si="0"/>
        <v>5.6550857011050288</v>
      </c>
      <c r="F40" s="5">
        <f t="shared" si="1"/>
        <v>-2503.1904000000004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61">
        <v>141.42599999999999</v>
      </c>
      <c r="E41" s="9">
        <f t="shared" si="0"/>
        <v>8.3333922573802379</v>
      </c>
      <c r="F41" s="9">
        <f t="shared" si="1"/>
        <v>-1555.674</v>
      </c>
    </row>
    <row r="42" spans="1:7" ht="1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848.49</v>
      </c>
      <c r="D43" s="10">
        <v>0</v>
      </c>
      <c r="E43" s="9">
        <f t="shared" si="0"/>
        <v>0</v>
      </c>
      <c r="F43" s="9">
        <f t="shared" si="1"/>
        <v>-848.49</v>
      </c>
    </row>
    <row r="44" spans="1:7" ht="18.75" customHeight="1">
      <c r="A44" s="16">
        <v>2023000000</v>
      </c>
      <c r="B44" s="17" t="s">
        <v>20</v>
      </c>
      <c r="C44" s="12">
        <v>107.643</v>
      </c>
      <c r="D44" s="185">
        <v>8.6166</v>
      </c>
      <c r="E44" s="9">
        <f t="shared" si="0"/>
        <v>8.0047936233661279</v>
      </c>
      <c r="F44" s="9">
        <f t="shared" si="1"/>
        <v>-99.026399999999995</v>
      </c>
    </row>
    <row r="45" spans="1:7" ht="17.25" customHeight="1">
      <c r="A45" s="16">
        <v>2024000000</v>
      </c>
      <c r="B45" s="17" t="s">
        <v>21</v>
      </c>
      <c r="C45" s="12"/>
      <c r="D45" s="186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6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63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43">
        <v>2190000010</v>
      </c>
      <c r="B49" s="244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8">
        <f>C39+C40</f>
        <v>6020.6329999999998</v>
      </c>
      <c r="D50" s="249">
        <f>D39+D40</f>
        <v>235.15714</v>
      </c>
      <c r="E50" s="5">
        <f t="shared" si="0"/>
        <v>3.905854085442511</v>
      </c>
      <c r="F50" s="5">
        <f t="shared" si="1"/>
        <v>-5785.4758599999996</v>
      </c>
      <c r="G50" s="94"/>
      <c r="H50" s="267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213.15714</v>
      </c>
      <c r="E51" s="22"/>
      <c r="F51" s="22"/>
    </row>
    <row r="52" spans="1:8">
      <c r="A52" s="23"/>
      <c r="B52" s="24"/>
      <c r="C52" s="240"/>
      <c r="D52" s="240" t="s">
        <v>321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418</v>
      </c>
      <c r="D53" s="73" t="s">
        <v>425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1">
        <f>C56+C57+C58+C59+C60+C62+C61</f>
        <v>1519.4</v>
      </c>
      <c r="D55" s="32">
        <f>D56+D57+D58+D59+D60+D62+D61</f>
        <v>20</v>
      </c>
      <c r="E55" s="34">
        <f>SUM(D55/C55*100)</f>
        <v>1.3163090693694879</v>
      </c>
      <c r="F55" s="34">
        <f>SUM(D55-C55)</f>
        <v>-1499.4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1476.4</v>
      </c>
      <c r="D57" s="37">
        <v>20</v>
      </c>
      <c r="E57" s="34">
        <f>SUM(D57/C57*100)</f>
        <v>1.3546464372798699</v>
      </c>
      <c r="F57" s="38">
        <f t="shared" ref="F57:F97" si="3">SUM(D57-C57)</f>
        <v>-1456.4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3.5230000000000001</v>
      </c>
      <c r="D62" s="37">
        <v>0</v>
      </c>
      <c r="E62" s="38">
        <f t="shared" si="4"/>
        <v>0</v>
      </c>
      <c r="F62" s="38">
        <f t="shared" si="3"/>
        <v>-3.5230000000000001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2</v>
      </c>
      <c r="E63" s="34">
        <f t="shared" si="4"/>
        <v>1.9345540369306369</v>
      </c>
      <c r="F63" s="34">
        <f t="shared" si="3"/>
        <v>-101.383</v>
      </c>
    </row>
    <row r="64" spans="1:8">
      <c r="A64" s="43" t="s">
        <v>45</v>
      </c>
      <c r="B64" s="44" t="s">
        <v>46</v>
      </c>
      <c r="C64" s="37">
        <v>103.383</v>
      </c>
      <c r="D64" s="37">
        <v>2</v>
      </c>
      <c r="E64" s="38">
        <f t="shared" si="4"/>
        <v>1.9345540369306369</v>
      </c>
      <c r="F64" s="38">
        <f t="shared" si="3"/>
        <v>-101.383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</v>
      </c>
      <c r="E65" s="34">
        <f t="shared" si="4"/>
        <v>0</v>
      </c>
      <c r="F65" s="34">
        <f t="shared" si="3"/>
        <v>-15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4"/>
        <v>0</v>
      </c>
      <c r="F68" s="34">
        <f t="shared" si="3"/>
        <v>-3</v>
      </c>
    </row>
    <row r="69" spans="1:7">
      <c r="A69" s="46" t="s">
        <v>215</v>
      </c>
      <c r="B69" s="47" t="s">
        <v>216</v>
      </c>
      <c r="C69" s="37">
        <v>10</v>
      </c>
      <c r="D69" s="37"/>
      <c r="E69" s="34">
        <f t="shared" si="4"/>
        <v>0</v>
      </c>
      <c r="F69" s="34">
        <f t="shared" si="3"/>
        <v>-10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1984.75</v>
      </c>
      <c r="D71" s="48">
        <f>SUM(D72:D75)</f>
        <v>0</v>
      </c>
      <c r="E71" s="34">
        <f t="shared" si="4"/>
        <v>0</v>
      </c>
      <c r="F71" s="34">
        <f t="shared" si="3"/>
        <v>-1984.75</v>
      </c>
    </row>
    <row r="72" spans="1:7">
      <c r="A72" s="35" t="s">
        <v>57</v>
      </c>
      <c r="B72" s="39" t="s">
        <v>58</v>
      </c>
      <c r="C72" s="49">
        <v>4.26</v>
      </c>
      <c r="D72" s="37">
        <v>0</v>
      </c>
      <c r="E72" s="38">
        <f t="shared" si="4"/>
        <v>0</v>
      </c>
      <c r="F72" s="38">
        <f t="shared" si="3"/>
        <v>-4.26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1859.49</v>
      </c>
      <c r="D74" s="37"/>
      <c r="E74" s="38">
        <f t="shared" si="4"/>
        <v>0</v>
      </c>
      <c r="F74" s="38">
        <f t="shared" si="3"/>
        <v>-1859.49</v>
      </c>
    </row>
    <row r="75" spans="1:7">
      <c r="A75" s="35" t="s">
        <v>63</v>
      </c>
      <c r="B75" s="39" t="s">
        <v>64</v>
      </c>
      <c r="C75" s="49">
        <v>121</v>
      </c>
      <c r="D75" s="37"/>
      <c r="E75" s="38">
        <f t="shared" si="4"/>
        <v>0</v>
      </c>
      <c r="F75" s="38">
        <f t="shared" si="3"/>
        <v>-121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1112.5999999999999</v>
      </c>
      <c r="D76" s="32">
        <f>SUM(D77:D79)</f>
        <v>0</v>
      </c>
      <c r="E76" s="34">
        <f t="shared" si="4"/>
        <v>0</v>
      </c>
      <c r="F76" s="34">
        <f t="shared" si="3"/>
        <v>-1112.5999999999999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720</v>
      </c>
      <c r="D78" s="37">
        <v>0</v>
      </c>
      <c r="E78" s="38">
        <f t="shared" si="4"/>
        <v>0</v>
      </c>
      <c r="F78" s="38">
        <f t="shared" si="3"/>
        <v>-720</v>
      </c>
    </row>
    <row r="79" spans="1:7">
      <c r="A79" s="35" t="s">
        <v>71</v>
      </c>
      <c r="B79" s="39" t="s">
        <v>72</v>
      </c>
      <c r="C79" s="37">
        <v>392.6</v>
      </c>
      <c r="D79" s="37"/>
      <c r="E79" s="38">
        <f t="shared" si="4"/>
        <v>0</v>
      </c>
      <c r="F79" s="38">
        <f t="shared" si="3"/>
        <v>-392.6</v>
      </c>
    </row>
    <row r="80" spans="1:7" s="6" customFormat="1">
      <c r="A80" s="30" t="s">
        <v>83</v>
      </c>
      <c r="B80" s="31" t="s">
        <v>84</v>
      </c>
      <c r="C80" s="32">
        <f>C81</f>
        <v>1275.5</v>
      </c>
      <c r="D80" s="32">
        <f>SUM(D81)</f>
        <v>0</v>
      </c>
      <c r="E80" s="34">
        <f t="shared" si="4"/>
        <v>0</v>
      </c>
      <c r="F80" s="34">
        <f t="shared" si="3"/>
        <v>-1275.5</v>
      </c>
    </row>
    <row r="81" spans="1:6" ht="15.75" customHeight="1">
      <c r="A81" s="35" t="s">
        <v>85</v>
      </c>
      <c r="B81" s="39" t="s">
        <v>230</v>
      </c>
      <c r="C81" s="37">
        <v>1275.5</v>
      </c>
      <c r="D81" s="37"/>
      <c r="E81" s="38">
        <f t="shared" si="4"/>
        <v>0</v>
      </c>
      <c r="F81" s="38">
        <f t="shared" si="3"/>
        <v>-1275.5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1">
        <f>C55+C63+C71+C76+C80+C82+C87+C65+C93</f>
        <v>6020.6329999999998</v>
      </c>
      <c r="D97" s="251">
        <f>D55+D63+D71+D76+D80+D82+D87+D65+D93</f>
        <v>22</v>
      </c>
      <c r="E97" s="34">
        <f t="shared" si="4"/>
        <v>0.36541008229533339</v>
      </c>
      <c r="F97" s="34">
        <f t="shared" si="3"/>
        <v>-5998.6329999999998</v>
      </c>
      <c r="G97" s="198"/>
      <c r="H97" s="198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3"/>
      <c r="D99" s="183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4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28" zoomScale="70" zoomScaleNormal="100" zoomScaleSheetLayoutView="70" workbookViewId="0">
      <selection activeCell="C98" sqref="C98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410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58.434910000000002</v>
      </c>
      <c r="E4" s="5">
        <f>SUM(D4/C4*100)</f>
        <v>5.1182816701556462</v>
      </c>
      <c r="F4" s="5">
        <f>SUM(D4-C4)</f>
        <v>-1083.2550900000001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6.6763500000000002</v>
      </c>
      <c r="E5" s="5">
        <f t="shared" ref="E5:E51" si="0">SUM(D5/C5*100)</f>
        <v>4.3045454545454547</v>
      </c>
      <c r="F5" s="5">
        <f t="shared" ref="F5:F51" si="1">SUM(D5-C5)</f>
        <v>-148.42364999999998</v>
      </c>
    </row>
    <row r="6" spans="1:6">
      <c r="A6" s="7">
        <v>1010200001</v>
      </c>
      <c r="B6" s="8" t="s">
        <v>225</v>
      </c>
      <c r="C6" s="9">
        <v>155.1</v>
      </c>
      <c r="D6" s="10">
        <v>6.6763500000000002</v>
      </c>
      <c r="E6" s="9">
        <f t="shared" ref="E6:E11" si="2">SUM(D6/C6*100)</f>
        <v>4.3045454545454547</v>
      </c>
      <c r="F6" s="9">
        <f t="shared" si="1"/>
        <v>-148.42364999999998</v>
      </c>
    </row>
    <row r="7" spans="1:6" ht="31.5">
      <c r="A7" s="3">
        <v>1030000000</v>
      </c>
      <c r="B7" s="13" t="s">
        <v>267</v>
      </c>
      <c r="C7" s="5">
        <f>C8+C10+C9</f>
        <v>536.59</v>
      </c>
      <c r="D7" s="232">
        <f>D8+D10+D9+D11</f>
        <v>45.306200000000004</v>
      </c>
      <c r="E7" s="5">
        <f t="shared" si="2"/>
        <v>8.4433552619318277</v>
      </c>
      <c r="F7" s="5">
        <f t="shared" si="1"/>
        <v>-491.28380000000004</v>
      </c>
    </row>
    <row r="8" spans="1:6">
      <c r="A8" s="7">
        <v>1030223001</v>
      </c>
      <c r="B8" s="8" t="s">
        <v>269</v>
      </c>
      <c r="C8" s="9">
        <v>200.15</v>
      </c>
      <c r="D8" s="10">
        <v>20.809010000000001</v>
      </c>
      <c r="E8" s="9">
        <f t="shared" si="2"/>
        <v>10.396707469397953</v>
      </c>
      <c r="F8" s="9">
        <f t="shared" si="1"/>
        <v>-179.34099000000001</v>
      </c>
    </row>
    <row r="9" spans="1:6">
      <c r="A9" s="7">
        <v>1030224001</v>
      </c>
      <c r="B9" s="8" t="s">
        <v>275</v>
      </c>
      <c r="C9" s="9">
        <v>2.15</v>
      </c>
      <c r="D9" s="10">
        <v>0.12266000000000001</v>
      </c>
      <c r="E9" s="9">
        <f t="shared" si="2"/>
        <v>5.7051162790697676</v>
      </c>
      <c r="F9" s="9">
        <f t="shared" si="1"/>
        <v>-2.0273399999999997</v>
      </c>
    </row>
    <row r="10" spans="1:6">
      <c r="A10" s="7">
        <v>1030225001</v>
      </c>
      <c r="B10" s="8" t="s">
        <v>268</v>
      </c>
      <c r="C10" s="9">
        <v>334.29</v>
      </c>
      <c r="D10" s="10">
        <v>27.92079</v>
      </c>
      <c r="E10" s="9">
        <f t="shared" si="2"/>
        <v>8.3522659965897876</v>
      </c>
      <c r="F10" s="9">
        <f t="shared" si="1"/>
        <v>-306.36921000000001</v>
      </c>
    </row>
    <row r="11" spans="1:6">
      <c r="A11" s="7">
        <v>1030226001</v>
      </c>
      <c r="B11" s="8" t="s">
        <v>277</v>
      </c>
      <c r="C11" s="9">
        <v>0</v>
      </c>
      <c r="D11" s="10">
        <v>-3.5462600000000002</v>
      </c>
      <c r="E11" s="9" t="e">
        <f t="shared" si="2"/>
        <v>#DIV/0!</v>
      </c>
      <c r="F11" s="9">
        <f t="shared" si="1"/>
        <v>-3.5462600000000002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6.4523599999999997</v>
      </c>
      <c r="E14" s="5">
        <f t="shared" si="0"/>
        <v>1.5005488372093023</v>
      </c>
      <c r="F14" s="5">
        <f t="shared" si="1"/>
        <v>-423.54764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3.7299999999999998E-3</v>
      </c>
      <c r="E15" s="9">
        <f t="shared" si="0"/>
        <v>3.1880341880341882E-3</v>
      </c>
      <c r="F15" s="9">
        <f>SUM(D15-C15)</f>
        <v>-116.99627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6.4486299999999996</v>
      </c>
      <c r="E16" s="9">
        <f t="shared" si="0"/>
        <v>2.0602651757188495</v>
      </c>
      <c r="F16" s="9">
        <f t="shared" si="1"/>
        <v>-306.55137000000002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</v>
      </c>
      <c r="E17" s="5">
        <f t="shared" si="0"/>
        <v>0</v>
      </c>
      <c r="F17" s="5">
        <f t="shared" si="1"/>
        <v>-10</v>
      </c>
    </row>
    <row r="18" spans="1:6" ht="17.25" customHeight="1">
      <c r="A18" s="7">
        <v>1080400001</v>
      </c>
      <c r="B18" s="8" t="s">
        <v>258</v>
      </c>
      <c r="C18" s="9">
        <v>10</v>
      </c>
      <c r="D18" s="10">
        <v>0</v>
      </c>
      <c r="E18" s="9">
        <f t="shared" si="0"/>
        <v>0</v>
      </c>
      <c r="F18" s="9">
        <f t="shared" si="1"/>
        <v>-10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10.44439</v>
      </c>
      <c r="E25" s="5">
        <f t="shared" si="0"/>
        <v>18.989800000000002</v>
      </c>
      <c r="F25" s="5">
        <f t="shared" si="1"/>
        <v>-44.555610000000001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4.5</v>
      </c>
      <c r="E26" s="5">
        <f t="shared" si="0"/>
        <v>8.1818181818181817</v>
      </c>
      <c r="F26" s="5">
        <f t="shared" si="1"/>
        <v>-50.5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55</v>
      </c>
      <c r="D28" s="10">
        <v>4.5</v>
      </c>
      <c r="E28" s="9">
        <f t="shared" si="0"/>
        <v>8.1818181818181817</v>
      </c>
      <c r="F28" s="9">
        <f t="shared" si="1"/>
        <v>-50.5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5.75" customHeight="1">
      <c r="A30" s="7">
        <v>1130206005</v>
      </c>
      <c r="B30" s="8" t="s">
        <v>14</v>
      </c>
      <c r="C30" s="9">
        <v>0</v>
      </c>
      <c r="D30" s="10"/>
      <c r="E30" s="9" t="e">
        <f t="shared" si="0"/>
        <v>#DIV/0!</v>
      </c>
      <c r="F30" s="9">
        <f t="shared" si="1"/>
        <v>0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5.9443900000000003</v>
      </c>
      <c r="E34" s="5" t="e">
        <f t="shared" si="0"/>
        <v>#DIV/0!</v>
      </c>
      <c r="F34" s="5">
        <f t="shared" si="1"/>
        <v>5.9443900000000003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5.9443900000000003</v>
      </c>
      <c r="E35" s="9" t="e">
        <f t="shared" si="0"/>
        <v>#DIV/0!</v>
      </c>
      <c r="F35" s="9">
        <f t="shared" si="1"/>
        <v>5.9443900000000003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68.879300000000001</v>
      </c>
      <c r="E37" s="5">
        <f t="shared" si="0"/>
        <v>5.7558181316798835</v>
      </c>
      <c r="F37" s="5">
        <f t="shared" si="1"/>
        <v>-1127.8107</v>
      </c>
    </row>
    <row r="38" spans="1:7" s="6" customFormat="1">
      <c r="A38" s="3">
        <v>2000000000</v>
      </c>
      <c r="B38" s="4" t="s">
        <v>17</v>
      </c>
      <c r="C38" s="232">
        <f>C39+C40+C41+C42+C49+C50</f>
        <v>8503.77</v>
      </c>
      <c r="D38" s="5">
        <f>D39+D40+D41+D42+D49+D50</f>
        <v>441.1694</v>
      </c>
      <c r="E38" s="5">
        <f t="shared" si="0"/>
        <v>5.187927236978422</v>
      </c>
      <c r="F38" s="5">
        <f t="shared" si="1"/>
        <v>-8062.6006000000007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423.93599999999998</v>
      </c>
      <c r="E39" s="9">
        <v>0</v>
      </c>
      <c r="F39" s="9">
        <f t="shared" si="1"/>
        <v>-4663.2640000000001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772.27</v>
      </c>
      <c r="D41" s="10">
        <v>0</v>
      </c>
      <c r="E41" s="9">
        <f t="shared" si="0"/>
        <v>0</v>
      </c>
      <c r="F41" s="9">
        <f t="shared" si="1"/>
        <v>-772.27</v>
      </c>
    </row>
    <row r="42" spans="1:7" ht="17.25" customHeight="1">
      <c r="A42" s="16">
        <v>2023000000</v>
      </c>
      <c r="B42" s="17" t="s">
        <v>20</v>
      </c>
      <c r="C42" s="12">
        <v>2569.3000000000002</v>
      </c>
      <c r="D42" s="185">
        <v>17.2334</v>
      </c>
      <c r="E42" s="9">
        <f t="shared" si="0"/>
        <v>0.6707430039310317</v>
      </c>
      <c r="F42" s="9">
        <f t="shared" si="1"/>
        <v>-2552.0666000000001</v>
      </c>
    </row>
    <row r="43" spans="1:7" ht="18" hidden="1" customHeight="1">
      <c r="A43" s="16">
        <v>2020400000</v>
      </c>
      <c r="B43" s="17" t="s">
        <v>21</v>
      </c>
      <c r="C43" s="12"/>
      <c r="D43" s="186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6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288</v>
      </c>
      <c r="C45" s="189">
        <f>C46</f>
        <v>0</v>
      </c>
      <c r="D45" s="241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6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75</v>
      </c>
      <c r="D49" s="10"/>
      <c r="E49" s="9">
        <f t="shared" si="0"/>
        <v>0</v>
      </c>
      <c r="F49" s="9">
        <f t="shared" si="1"/>
        <v>-75</v>
      </c>
    </row>
    <row r="50" spans="1:8" s="6" customFormat="1" ht="15" customHeight="1">
      <c r="A50" s="7">
        <v>2070500010</v>
      </c>
      <c r="B50" s="11" t="s">
        <v>289</v>
      </c>
      <c r="C50" s="12">
        <v>0</v>
      </c>
      <c r="D50" s="10">
        <v>0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8">
        <f>C37+C38</f>
        <v>9700.4600000000009</v>
      </c>
      <c r="D51" s="248">
        <f>D37+D38</f>
        <v>510.0487</v>
      </c>
      <c r="E51" s="5">
        <f t="shared" si="0"/>
        <v>5.2579846728918005</v>
      </c>
      <c r="F51" s="5">
        <f t="shared" si="1"/>
        <v>-9190.4113000000016</v>
      </c>
      <c r="G51" s="94"/>
      <c r="H51" s="198"/>
    </row>
    <row r="52" spans="1:8" s="6" customFormat="1">
      <c r="A52" s="3"/>
      <c r="B52" s="21" t="s">
        <v>307</v>
      </c>
      <c r="C52" s="93">
        <f>C51-C98</f>
        <v>0</v>
      </c>
      <c r="D52" s="93">
        <f>D51-D98</f>
        <v>476.0487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1566.1990000000001</v>
      </c>
      <c r="D56" s="33">
        <f>D57+D58+D59+D60+D61+D63+D62</f>
        <v>30</v>
      </c>
      <c r="E56" s="34">
        <f>SUM(D56/C56*100)</f>
        <v>1.9154654038216086</v>
      </c>
      <c r="F56" s="34">
        <f>SUM(D56-C56)</f>
        <v>-1536.1990000000001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1462.068</v>
      </c>
      <c r="D58" s="37">
        <v>30</v>
      </c>
      <c r="E58" s="38">
        <f t="shared" ref="E58:E98" si="3">SUM(D58/C58*100)</f>
        <v>2.0518881474733051</v>
      </c>
      <c r="F58" s="38">
        <f t="shared" ref="F58:F98" si="4">SUM(D58-C58)</f>
        <v>-1432.068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4.1310000000000002</v>
      </c>
      <c r="D63" s="37">
        <v>0</v>
      </c>
      <c r="E63" s="38">
        <f t="shared" si="3"/>
        <v>0</v>
      </c>
      <c r="F63" s="38">
        <f t="shared" si="4"/>
        <v>-4.1310000000000002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4</v>
      </c>
      <c r="E64" s="34">
        <f t="shared" si="3"/>
        <v>1.9345446807275821</v>
      </c>
      <c r="F64" s="34">
        <f t="shared" si="4"/>
        <v>-202.767</v>
      </c>
    </row>
    <row r="65" spans="1:7">
      <c r="A65" s="43" t="s">
        <v>45</v>
      </c>
      <c r="B65" s="44" t="s">
        <v>46</v>
      </c>
      <c r="C65" s="37">
        <v>206.767</v>
      </c>
      <c r="D65" s="37">
        <v>4</v>
      </c>
      <c r="E65" s="38">
        <f t="shared" si="3"/>
        <v>1.9345446807275821</v>
      </c>
      <c r="F65" s="38">
        <f t="shared" si="4"/>
        <v>-202.767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/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1413.12</v>
      </c>
      <c r="D72" s="48">
        <f>SUM(D73:D76)</f>
        <v>0</v>
      </c>
      <c r="E72" s="34">
        <f t="shared" si="3"/>
        <v>0</v>
      </c>
      <c r="F72" s="34">
        <f t="shared" si="4"/>
        <v>-1413.12</v>
      </c>
    </row>
    <row r="73" spans="1:7" ht="17.2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1308.8599999999999</v>
      </c>
      <c r="D75" s="37">
        <v>0</v>
      </c>
      <c r="E75" s="38">
        <f t="shared" si="3"/>
        <v>0</v>
      </c>
      <c r="F75" s="38">
        <f t="shared" si="4"/>
        <v>-1308.8599999999999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3981.7740000000003</v>
      </c>
      <c r="D77" s="32">
        <f>SUM(D78:D80)</f>
        <v>0</v>
      </c>
      <c r="E77" s="34">
        <f t="shared" si="3"/>
        <v>0</v>
      </c>
      <c r="F77" s="34">
        <f t="shared" si="4"/>
        <v>-3981.7740000000003</v>
      </c>
    </row>
    <row r="78" spans="1:7" ht="14.25" customHeight="1">
      <c r="A78" s="35" t="s">
        <v>67</v>
      </c>
      <c r="B78" s="51" t="s">
        <v>68</v>
      </c>
      <c r="C78" s="37">
        <v>2358.2730000000001</v>
      </c>
      <c r="D78" s="37"/>
      <c r="E78" s="38">
        <f t="shared" si="3"/>
        <v>0</v>
      </c>
      <c r="F78" s="38">
        <f t="shared" si="4"/>
        <v>-2358.2730000000001</v>
      </c>
    </row>
    <row r="79" spans="1:7" ht="14.25" customHeight="1">
      <c r="A79" s="35" t="s">
        <v>69</v>
      </c>
      <c r="B79" s="51" t="s">
        <v>70</v>
      </c>
      <c r="C79" s="37">
        <v>750</v>
      </c>
      <c r="D79" s="37"/>
      <c r="E79" s="38">
        <f t="shared" si="3"/>
        <v>0</v>
      </c>
      <c r="F79" s="38">
        <f t="shared" si="4"/>
        <v>-750</v>
      </c>
    </row>
    <row r="80" spans="1:7">
      <c r="A80" s="35" t="s">
        <v>71</v>
      </c>
      <c r="B80" s="39" t="s">
        <v>72</v>
      </c>
      <c r="C80" s="37">
        <v>873.50099999999998</v>
      </c>
      <c r="D80" s="37">
        <v>0</v>
      </c>
      <c r="E80" s="38">
        <f t="shared" si="3"/>
        <v>0</v>
      </c>
      <c r="F80" s="38">
        <f t="shared" si="4"/>
        <v>-873.50099999999998</v>
      </c>
    </row>
    <row r="81" spans="1:6" s="6" customFormat="1">
      <c r="A81" s="30" t="s">
        <v>83</v>
      </c>
      <c r="B81" s="31" t="s">
        <v>84</v>
      </c>
      <c r="C81" s="32">
        <f>C82</f>
        <v>2467.6</v>
      </c>
      <c r="D81" s="32">
        <f>SUM(D82)</f>
        <v>0</v>
      </c>
      <c r="E81" s="34">
        <f t="shared" si="3"/>
        <v>0</v>
      </c>
      <c r="F81" s="34">
        <f t="shared" si="4"/>
        <v>-2467.6</v>
      </c>
    </row>
    <row r="82" spans="1:6" ht="15" customHeight="1">
      <c r="A82" s="35" t="s">
        <v>85</v>
      </c>
      <c r="B82" s="39" t="s">
        <v>230</v>
      </c>
      <c r="C82" s="37">
        <v>2467.6</v>
      </c>
      <c r="D82" s="37"/>
      <c r="E82" s="38">
        <f t="shared" si="3"/>
        <v>0</v>
      </c>
      <c r="F82" s="38">
        <f t="shared" si="4"/>
        <v>-2467.6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0</v>
      </c>
      <c r="E88" s="38"/>
      <c r="F88" s="22">
        <f>F89+F90+F91+F92+F93</f>
        <v>-50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0</v>
      </c>
      <c r="E89" s="38"/>
      <c r="F89" s="38">
        <f>SUM(D89-C89)</f>
        <v>-50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6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1">
        <f>C56+C64+C66+C72+C77+C81+C88+C83</f>
        <v>9700.4600000000009</v>
      </c>
      <c r="D98" s="251">
        <f>D56+D64+D66+D72+D77+D81+D88+D83</f>
        <v>34</v>
      </c>
      <c r="E98" s="34">
        <f t="shared" si="3"/>
        <v>0.35049884232294132</v>
      </c>
      <c r="F98" s="34">
        <f t="shared" si="4"/>
        <v>-9666.4600000000009</v>
      </c>
    </row>
    <row r="99" spans="1:6">
      <c r="D99" s="180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61528DAC-5C4C-48F4-ADE2-8A724B05A086}" scale="70" showPageBreaks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" zoomScale="70" zoomScaleNormal="100" zoomScaleSheetLayoutView="70" workbookViewId="0">
      <selection activeCell="D45" sqref="D4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7" t="s">
        <v>411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54.75" customHeight="1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100.13989000000001</v>
      </c>
      <c r="E4" s="5">
        <f>SUM(D4/C4*100)</f>
        <v>3.8858341902563009</v>
      </c>
      <c r="F4" s="5">
        <f>SUM(D4-C4)</f>
        <v>-2476.9101100000003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3.2048800000000002</v>
      </c>
      <c r="E5" s="5">
        <f t="shared" ref="E5:E52" si="0">SUM(D5/C5*100)</f>
        <v>1.5174621212121213</v>
      </c>
      <c r="F5" s="5">
        <f t="shared" ref="F5:F52" si="1">SUM(D5-C5)</f>
        <v>-207.99511999999999</v>
      </c>
    </row>
    <row r="6" spans="1:6">
      <c r="A6" s="7">
        <v>1010200001</v>
      </c>
      <c r="B6" s="8" t="s">
        <v>225</v>
      </c>
      <c r="C6" s="9">
        <v>211.2</v>
      </c>
      <c r="D6" s="10">
        <v>3.2048800000000002</v>
      </c>
      <c r="E6" s="9">
        <f t="shared" ref="E6:E11" si="2">SUM(D6/C6*100)</f>
        <v>1.5174621212121213</v>
      </c>
      <c r="F6" s="9">
        <f t="shared" si="1"/>
        <v>-207.99511999999999</v>
      </c>
    </row>
    <row r="7" spans="1:6" ht="31.5">
      <c r="A7" s="3">
        <v>1030000000</v>
      </c>
      <c r="B7" s="13" t="s">
        <v>267</v>
      </c>
      <c r="C7" s="5">
        <f>C8+C10+C9</f>
        <v>830.85</v>
      </c>
      <c r="D7" s="5">
        <f>D8+D10+D9+D11</f>
        <v>70.151560000000018</v>
      </c>
      <c r="E7" s="5">
        <f t="shared" si="2"/>
        <v>8.4433483781669398</v>
      </c>
      <c r="F7" s="5">
        <f t="shared" si="1"/>
        <v>-760.69844000000001</v>
      </c>
    </row>
    <row r="8" spans="1:6">
      <c r="A8" s="7">
        <v>1030223001</v>
      </c>
      <c r="B8" s="8" t="s">
        <v>269</v>
      </c>
      <c r="C8" s="9">
        <v>309.91000000000003</v>
      </c>
      <c r="D8" s="10">
        <v>32.220370000000003</v>
      </c>
      <c r="E8" s="9">
        <f t="shared" si="2"/>
        <v>10.396686134684263</v>
      </c>
      <c r="F8" s="9">
        <f t="shared" si="1"/>
        <v>-277.68963000000002</v>
      </c>
    </row>
    <row r="9" spans="1:6">
      <c r="A9" s="7">
        <v>1030224001</v>
      </c>
      <c r="B9" s="8" t="s">
        <v>275</v>
      </c>
      <c r="C9" s="9">
        <v>3.32</v>
      </c>
      <c r="D9" s="10">
        <v>0.18994</v>
      </c>
      <c r="E9" s="9">
        <f t="shared" si="2"/>
        <v>5.7210843373493976</v>
      </c>
      <c r="F9" s="9">
        <f t="shared" si="1"/>
        <v>-3.1300599999999998</v>
      </c>
    </row>
    <row r="10" spans="1:6">
      <c r="A10" s="7">
        <v>1030225001</v>
      </c>
      <c r="B10" s="8" t="s">
        <v>268</v>
      </c>
      <c r="C10" s="9">
        <v>517.62</v>
      </c>
      <c r="D10" s="10">
        <v>43.232210000000002</v>
      </c>
      <c r="E10" s="9">
        <f t="shared" si="2"/>
        <v>8.3521135195703415</v>
      </c>
      <c r="F10" s="9">
        <f>SUM(D10-C10)</f>
        <v>-474.38779</v>
      </c>
    </row>
    <row r="11" spans="1:6">
      <c r="A11" s="7">
        <v>1030226001</v>
      </c>
      <c r="B11" s="8" t="s">
        <v>277</v>
      </c>
      <c r="C11" s="9">
        <v>0</v>
      </c>
      <c r="D11" s="10">
        <v>-5.4909600000000003</v>
      </c>
      <c r="E11" s="9" t="e">
        <f t="shared" si="2"/>
        <v>#DIV/0!</v>
      </c>
      <c r="F11" s="9">
        <f>SUM(D11-C11)</f>
        <v>-5.4909600000000003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/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26.283449999999998</v>
      </c>
      <c r="E14" s="5">
        <f t="shared" si="0"/>
        <v>1.7522299999999997</v>
      </c>
      <c r="F14" s="5">
        <f t="shared" si="1"/>
        <v>-1473.7165500000001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8.9469999999999992</v>
      </c>
      <c r="E15" s="9">
        <f t="shared" si="0"/>
        <v>2.9823333333333331</v>
      </c>
      <c r="F15" s="9">
        <f>SUM(D15-C15)</f>
        <v>-291.053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17.336449999999999</v>
      </c>
      <c r="E16" s="9">
        <f t="shared" si="0"/>
        <v>1.4447041666666665</v>
      </c>
      <c r="F16" s="9">
        <f t="shared" si="1"/>
        <v>-1182.66355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0.5</v>
      </c>
      <c r="E17" s="5">
        <f t="shared" si="0"/>
        <v>3.3333333333333335</v>
      </c>
      <c r="F17" s="5">
        <f t="shared" si="1"/>
        <v>-14.5</v>
      </c>
    </row>
    <row r="18" spans="1:6" ht="18" customHeight="1">
      <c r="A18" s="7">
        <v>1080400001</v>
      </c>
      <c r="B18" s="8" t="s">
        <v>224</v>
      </c>
      <c r="C18" s="9">
        <v>15</v>
      </c>
      <c r="D18" s="10">
        <v>0.5</v>
      </c>
      <c r="E18" s="9">
        <f t="shared" si="0"/>
        <v>3.3333333333333335</v>
      </c>
      <c r="F18" s="9">
        <f t="shared" si="1"/>
        <v>-14.5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20.7</v>
      </c>
      <c r="D25" s="5">
        <f>D30+D37+D26+D35</f>
        <v>0.26200000000000001</v>
      </c>
      <c r="E25" s="5">
        <f t="shared" si="0"/>
        <v>1.2657004830917875</v>
      </c>
      <c r="F25" s="5">
        <f t="shared" si="1"/>
        <v>-20.437999999999999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0.52400000000000002</v>
      </c>
      <c r="E26" s="5">
        <f t="shared" si="0"/>
        <v>2.531400966183575</v>
      </c>
      <c r="F26" s="5">
        <f t="shared" si="1"/>
        <v>-20.175999999999998</v>
      </c>
    </row>
    <row r="27" spans="1:6" ht="15" customHeight="1">
      <c r="A27" s="16">
        <v>1110502510</v>
      </c>
      <c r="B27" s="17" t="s">
        <v>222</v>
      </c>
      <c r="C27" s="12">
        <v>20.7</v>
      </c>
      <c r="D27" s="10">
        <v>0.52400000000000002</v>
      </c>
      <c r="E27" s="9">
        <f t="shared" si="0"/>
        <v>2.531400966183575</v>
      </c>
      <c r="F27" s="9">
        <f t="shared" si="1"/>
        <v>-20.175999999999998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80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7.25" customHeight="1">
      <c r="A31" s="7">
        <v>1130206005</v>
      </c>
      <c r="B31" s="8" t="s">
        <v>220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2597.75</v>
      </c>
      <c r="D40" s="126">
        <f>D4+D25</f>
        <v>100.40189000000001</v>
      </c>
      <c r="E40" s="5">
        <f t="shared" si="0"/>
        <v>3.8649558271581181</v>
      </c>
      <c r="F40" s="5">
        <f t="shared" si="1"/>
        <v>-2497.3481099999999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5882.5370000000003</v>
      </c>
      <c r="D41" s="5">
        <f>D42+D44+D45+D47+D48+D49+D43+D51</f>
        <v>315.3854</v>
      </c>
      <c r="E41" s="5">
        <f t="shared" si="0"/>
        <v>5.3613840422933166</v>
      </c>
      <c r="F41" s="5">
        <f t="shared" si="1"/>
        <v>-5567.1516000000001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61">
        <v>298.15199999999999</v>
      </c>
      <c r="E42" s="9">
        <f t="shared" si="0"/>
        <v>8.3333892336072442</v>
      </c>
      <c r="F42" s="9">
        <f t="shared" si="1"/>
        <v>-3279.6480000000001</v>
      </c>
    </row>
    <row r="43" spans="1:7" ht="17.25" customHeight="1">
      <c r="A43" s="16">
        <v>2021500200</v>
      </c>
      <c r="B43" s="17" t="s">
        <v>228</v>
      </c>
      <c r="C43" s="262">
        <v>225</v>
      </c>
      <c r="D43" s="20">
        <v>0</v>
      </c>
      <c r="E43" s="9">
        <f t="shared" si="0"/>
        <v>0</v>
      </c>
      <c r="F43" s="9">
        <f t="shared" si="1"/>
        <v>-225</v>
      </c>
    </row>
    <row r="44" spans="1:7">
      <c r="A44" s="16">
        <v>2022000000</v>
      </c>
      <c r="B44" s="17" t="s">
        <v>19</v>
      </c>
      <c r="C44" s="12">
        <v>1293.71</v>
      </c>
      <c r="D44" s="10">
        <v>0</v>
      </c>
      <c r="E44" s="9">
        <f t="shared" si="0"/>
        <v>0</v>
      </c>
      <c r="F44" s="9">
        <f t="shared" si="1"/>
        <v>-1293.71</v>
      </c>
    </row>
    <row r="45" spans="1:7" ht="15.75" customHeight="1">
      <c r="A45" s="16">
        <v>2023000000</v>
      </c>
      <c r="B45" s="17" t="s">
        <v>20</v>
      </c>
      <c r="C45" s="12">
        <v>211.02699999999999</v>
      </c>
      <c r="D45" s="185">
        <v>17.2334</v>
      </c>
      <c r="E45" s="9">
        <f t="shared" si="0"/>
        <v>8.1664431565629041</v>
      </c>
      <c r="F45" s="9">
        <f t="shared" si="1"/>
        <v>-193.7936</v>
      </c>
    </row>
    <row r="46" spans="1:7" ht="15" hidden="1" customHeight="1">
      <c r="A46" s="16">
        <v>2070503010</v>
      </c>
      <c r="B46" s="17" t="s">
        <v>257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21</v>
      </c>
      <c r="C47" s="12">
        <v>575</v>
      </c>
      <c r="D47" s="186"/>
      <c r="E47" s="9">
        <f t="shared" si="0"/>
        <v>0</v>
      </c>
      <c r="F47" s="9">
        <f t="shared" si="1"/>
        <v>-575</v>
      </c>
    </row>
    <row r="48" spans="1:7" ht="27.75" customHeight="1">
      <c r="A48" s="16">
        <v>2020900000</v>
      </c>
      <c r="B48" s="18" t="s">
        <v>22</v>
      </c>
      <c r="C48" s="12"/>
      <c r="D48" s="186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7">
        <v>0</v>
      </c>
      <c r="D51" s="218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8">
        <f>SUM(C40,C41,C50)</f>
        <v>8480.2870000000003</v>
      </c>
      <c r="D52" s="249">
        <f>D40+D41</f>
        <v>415.78728999999998</v>
      </c>
      <c r="E52" s="5">
        <f t="shared" si="0"/>
        <v>4.9029860663913851</v>
      </c>
      <c r="F52" s="5">
        <f t="shared" si="1"/>
        <v>-8064.4997100000001</v>
      </c>
      <c r="G52" s="94"/>
      <c r="H52" s="198"/>
    </row>
    <row r="53" spans="1:8" s="6" customFormat="1">
      <c r="A53" s="3"/>
      <c r="B53" s="21" t="s">
        <v>307</v>
      </c>
      <c r="C53" s="273">
        <f>C52-C99</f>
        <v>0</v>
      </c>
      <c r="D53" s="273">
        <f>D52-D99</f>
        <v>380.58729</v>
      </c>
      <c r="E53" s="22"/>
      <c r="F53" s="22"/>
    </row>
    <row r="54" spans="1:8" ht="9" customHeight="1">
      <c r="A54" s="23"/>
      <c r="B54" s="24"/>
      <c r="C54" s="182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418</v>
      </c>
      <c r="D55" s="73" t="s">
        <v>425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1630.277</v>
      </c>
      <c r="D57" s="33">
        <f>D58+D59+D60+D61+D62+D64+D63</f>
        <v>30.4</v>
      </c>
      <c r="E57" s="34">
        <f>SUM(D57/C57*100)</f>
        <v>1.8647137879023012</v>
      </c>
      <c r="F57" s="34">
        <f>SUM(D57-C57)</f>
        <v>-1599.877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1601.2</v>
      </c>
      <c r="D59" s="37">
        <v>30.4</v>
      </c>
      <c r="E59" s="38">
        <f t="shared" ref="E59:E99" si="3">SUM(D59/C59*100)</f>
        <v>1.8985760679490382</v>
      </c>
      <c r="F59" s="38">
        <f t="shared" ref="F59:F99" si="4">SUM(D59-C59)</f>
        <v>-1570.8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19.077000000000002</v>
      </c>
      <c r="D64" s="37">
        <v>0</v>
      </c>
      <c r="E64" s="38">
        <f t="shared" si="3"/>
        <v>0</v>
      </c>
      <c r="F64" s="38">
        <f t="shared" si="4"/>
        <v>-19.077000000000002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4.8</v>
      </c>
      <c r="E65" s="34">
        <f t="shared" si="3"/>
        <v>2.3214536168730984</v>
      </c>
      <c r="F65" s="34">
        <f t="shared" si="4"/>
        <v>-201.96699999999998</v>
      </c>
    </row>
    <row r="66" spans="1:7">
      <c r="A66" s="43" t="s">
        <v>45</v>
      </c>
      <c r="B66" s="44" t="s">
        <v>46</v>
      </c>
      <c r="C66" s="37">
        <v>206.767</v>
      </c>
      <c r="D66" s="37">
        <v>4.8</v>
      </c>
      <c r="E66" s="38">
        <f t="shared" si="3"/>
        <v>2.3214536168730984</v>
      </c>
      <c r="F66" s="38">
        <f t="shared" si="4"/>
        <v>-201.96699999999998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115</v>
      </c>
      <c r="D67" s="32">
        <f>D71+D70+D72</f>
        <v>0</v>
      </c>
      <c r="E67" s="34">
        <f t="shared" si="3"/>
        <v>0</v>
      </c>
      <c r="F67" s="34">
        <f t="shared" si="4"/>
        <v>-115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110</v>
      </c>
      <c r="D71" s="37"/>
      <c r="E71" s="34">
        <f t="shared" si="3"/>
        <v>0</v>
      </c>
      <c r="F71" s="34">
        <f t="shared" si="4"/>
        <v>-110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2569.5200000000004</v>
      </c>
      <c r="D73" s="48">
        <f>SUM(D74:D77)</f>
        <v>0</v>
      </c>
      <c r="E73" s="34">
        <f t="shared" si="3"/>
        <v>0</v>
      </c>
      <c r="F73" s="34">
        <f t="shared" si="4"/>
        <v>-2569.5200000000004</v>
      </c>
    </row>
    <row r="74" spans="1:7" ht="16.5" customHeight="1">
      <c r="A74" s="35" t="s">
        <v>57</v>
      </c>
      <c r="B74" s="39" t="s">
        <v>58</v>
      </c>
      <c r="C74" s="49">
        <v>4.26</v>
      </c>
      <c r="D74" s="37">
        <v>0</v>
      </c>
      <c r="E74" s="38">
        <f t="shared" si="3"/>
        <v>0</v>
      </c>
      <c r="F74" s="38">
        <f t="shared" si="4"/>
        <v>-4.26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2145.2600000000002</v>
      </c>
      <c r="D76" s="37">
        <v>0</v>
      </c>
      <c r="E76" s="38">
        <f t="shared" si="3"/>
        <v>0</v>
      </c>
      <c r="F76" s="38">
        <f t="shared" si="4"/>
        <v>-2145.2600000000002</v>
      </c>
    </row>
    <row r="77" spans="1:7">
      <c r="A77" s="35" t="s">
        <v>63</v>
      </c>
      <c r="B77" s="39" t="s">
        <v>64</v>
      </c>
      <c r="C77" s="49">
        <v>420</v>
      </c>
      <c r="D77" s="37">
        <v>0</v>
      </c>
      <c r="E77" s="38">
        <f t="shared" si="3"/>
        <v>0</v>
      </c>
      <c r="F77" s="38">
        <f t="shared" si="4"/>
        <v>-420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1995.9</v>
      </c>
      <c r="D78" s="32">
        <f>SUM(D79:D81)</f>
        <v>0</v>
      </c>
      <c r="E78" s="34">
        <f t="shared" si="3"/>
        <v>0</v>
      </c>
      <c r="F78" s="34">
        <f t="shared" si="4"/>
        <v>-1995.9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10</v>
      </c>
      <c r="D80" s="37">
        <v>0</v>
      </c>
      <c r="E80" s="38">
        <f t="shared" si="3"/>
        <v>0</v>
      </c>
      <c r="F80" s="38">
        <f t="shared" si="4"/>
        <v>-10</v>
      </c>
    </row>
    <row r="81" spans="1:6">
      <c r="A81" s="35" t="s">
        <v>71</v>
      </c>
      <c r="B81" s="39" t="s">
        <v>72</v>
      </c>
      <c r="C81" s="37">
        <v>1985.9</v>
      </c>
      <c r="D81" s="37"/>
      <c r="E81" s="38">
        <f>SUM(D81/C81*100)</f>
        <v>0</v>
      </c>
      <c r="F81" s="38">
        <f t="shared" si="4"/>
        <v>-1985.9</v>
      </c>
    </row>
    <row r="82" spans="1:6" s="6" customFormat="1">
      <c r="A82" s="30" t="s">
        <v>83</v>
      </c>
      <c r="B82" s="31" t="s">
        <v>84</v>
      </c>
      <c r="C82" s="32">
        <f>C83</f>
        <v>1950.8230000000001</v>
      </c>
      <c r="D82" s="32">
        <f>SUM(D83)</f>
        <v>0</v>
      </c>
      <c r="E82" s="34">
        <f t="shared" si="3"/>
        <v>0</v>
      </c>
      <c r="F82" s="34">
        <f t="shared" si="4"/>
        <v>-1950.8230000000001</v>
      </c>
    </row>
    <row r="83" spans="1:6" ht="18.75" customHeight="1">
      <c r="A83" s="35" t="s">
        <v>85</v>
      </c>
      <c r="B83" s="39" t="s">
        <v>230</v>
      </c>
      <c r="C83" s="37">
        <v>1950.8230000000001</v>
      </c>
      <c r="D83" s="37"/>
      <c r="E83" s="38">
        <f t="shared" si="3"/>
        <v>0</v>
      </c>
      <c r="F83" s="38">
        <f t="shared" si="4"/>
        <v>-1950.8230000000001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4">
        <f>C57+C65+C67+C73+C78+C82+C84+C89+C95</f>
        <v>8480.2870000000003</v>
      </c>
      <c r="D99" s="254">
        <f>D57+D65+D67+D73+D78+D82+D84+D89+D95</f>
        <v>35.199999999999996</v>
      </c>
      <c r="E99" s="34">
        <f t="shared" si="3"/>
        <v>0.4150802915042851</v>
      </c>
      <c r="F99" s="34">
        <f t="shared" si="4"/>
        <v>-8445.0869999999995</v>
      </c>
      <c r="G99" s="198"/>
      <c r="H99" s="150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4">
      <selection activeCell="D45" sqref="D45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2" zoomScale="70" zoomScaleNormal="100" zoomScaleSheetLayoutView="70" workbookViewId="0">
      <selection activeCell="D72" sqref="D7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7" t="s">
        <v>412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7.25" customHeight="1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68.570709999999991</v>
      </c>
      <c r="E4" s="5">
        <f>SUM(D4/C4*100)</f>
        <v>3.5903714951435974</v>
      </c>
      <c r="F4" s="5">
        <f>SUM(D4-C4)</f>
        <v>-1841.2792899999999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1.98201</v>
      </c>
      <c r="E5" s="5">
        <f t="shared" ref="E5:E48" si="0">SUM(D5/C5*100)</f>
        <v>1.6853826530612248</v>
      </c>
      <c r="F5" s="5">
        <f t="shared" ref="F5:F48" si="1">SUM(D5-C5)</f>
        <v>-115.61798999999999</v>
      </c>
    </row>
    <row r="6" spans="1:6">
      <c r="A6" s="7">
        <v>1010200001</v>
      </c>
      <c r="B6" s="8" t="s">
        <v>225</v>
      </c>
      <c r="C6" s="9">
        <v>117.6</v>
      </c>
      <c r="D6" s="10">
        <v>1.98201</v>
      </c>
      <c r="E6" s="9">
        <f t="shared" ref="E6:E11" si="2">SUM(D6/C6*100)</f>
        <v>1.6853826530612248</v>
      </c>
      <c r="F6" s="9">
        <f t="shared" si="1"/>
        <v>-115.61798999999999</v>
      </c>
    </row>
    <row r="7" spans="1:6" ht="31.5">
      <c r="A7" s="3">
        <v>1030000000</v>
      </c>
      <c r="B7" s="13" t="s">
        <v>267</v>
      </c>
      <c r="C7" s="5">
        <f>C8+C10+C9</f>
        <v>477.25</v>
      </c>
      <c r="D7" s="5">
        <f>D8+D10+D9+D11</f>
        <v>40.295389999999998</v>
      </c>
      <c r="E7" s="5">
        <f t="shared" si="2"/>
        <v>8.4432456783656367</v>
      </c>
      <c r="F7" s="5">
        <f t="shared" si="1"/>
        <v>-436.95461</v>
      </c>
    </row>
    <row r="8" spans="1:6">
      <c r="A8" s="7">
        <v>1030223001</v>
      </c>
      <c r="B8" s="8" t="s">
        <v>269</v>
      </c>
      <c r="C8" s="9">
        <v>178.01</v>
      </c>
      <c r="D8" s="10">
        <v>18.507539999999999</v>
      </c>
      <c r="E8" s="9">
        <f t="shared" si="2"/>
        <v>10.396910285938992</v>
      </c>
      <c r="F8" s="9">
        <f t="shared" si="1"/>
        <v>-159.50245999999999</v>
      </c>
    </row>
    <row r="9" spans="1:6">
      <c r="A9" s="7">
        <v>1030224001</v>
      </c>
      <c r="B9" s="8" t="s">
        <v>275</v>
      </c>
      <c r="C9" s="9">
        <v>1.91</v>
      </c>
      <c r="D9" s="10">
        <v>0.1091</v>
      </c>
      <c r="E9" s="9">
        <f t="shared" si="2"/>
        <v>5.7120418848167542</v>
      </c>
      <c r="F9" s="9">
        <f t="shared" si="1"/>
        <v>-1.8008999999999999</v>
      </c>
    </row>
    <row r="10" spans="1:6">
      <c r="A10" s="7">
        <v>1030225001</v>
      </c>
      <c r="B10" s="8" t="s">
        <v>268</v>
      </c>
      <c r="C10" s="9">
        <v>297.33</v>
      </c>
      <c r="D10" s="10">
        <v>24.83278</v>
      </c>
      <c r="E10" s="9">
        <f t="shared" si="2"/>
        <v>8.3519254700164804</v>
      </c>
      <c r="F10" s="9">
        <f t="shared" si="1"/>
        <v>-272.49721999999997</v>
      </c>
    </row>
    <row r="11" spans="1:6">
      <c r="A11" s="7">
        <v>1030226001</v>
      </c>
      <c r="B11" s="8" t="s">
        <v>277</v>
      </c>
      <c r="C11" s="9">
        <v>0</v>
      </c>
      <c r="D11" s="10">
        <v>-3.1540300000000001</v>
      </c>
      <c r="E11" s="9" t="e">
        <f t="shared" si="2"/>
        <v>#DIV/0!</v>
      </c>
      <c r="F11" s="9">
        <f t="shared" si="1"/>
        <v>-3.1540300000000001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26.293309999999998</v>
      </c>
      <c r="E14" s="5">
        <f t="shared" si="0"/>
        <v>2.0225623076923078</v>
      </c>
      <c r="F14" s="5">
        <f t="shared" si="1"/>
        <v>-1273.70669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1.6005499999999999</v>
      </c>
      <c r="E15" s="9">
        <f t="shared" si="0"/>
        <v>0.4211973684210526</v>
      </c>
      <c r="F15" s="9">
        <f>SUM(D15-C15)</f>
        <v>-378.39945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24.69276</v>
      </c>
      <c r="E16" s="9">
        <f t="shared" si="0"/>
        <v>2.683995652173913</v>
      </c>
      <c r="F16" s="9">
        <f t="shared" si="1"/>
        <v>-895.30723999999998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>
      <c r="A18" s="7">
        <v>1080400001</v>
      </c>
      <c r="B18" s="8" t="s">
        <v>224</v>
      </c>
      <c r="C18" s="9">
        <v>5</v>
      </c>
      <c r="D18" s="10"/>
      <c r="E18" s="9">
        <f t="shared" si="0"/>
        <v>0</v>
      </c>
      <c r="F18" s="9">
        <f t="shared" si="1"/>
        <v>-5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</f>
        <v>22.946000000000002</v>
      </c>
      <c r="E25" s="5">
        <f t="shared" si="0"/>
        <v>5.7365000000000004</v>
      </c>
      <c r="F25" s="5">
        <f t="shared" si="1"/>
        <v>-377.05399999999997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22.946000000000002</v>
      </c>
      <c r="E26" s="5">
        <f t="shared" si="0"/>
        <v>5.7365000000000004</v>
      </c>
      <c r="F26" s="5">
        <f t="shared" si="1"/>
        <v>-377.05399999999997</v>
      </c>
    </row>
    <row r="27" spans="1:6" ht="15" customHeight="1">
      <c r="A27" s="16">
        <v>1110502510</v>
      </c>
      <c r="B27" s="17" t="s">
        <v>222</v>
      </c>
      <c r="C27" s="12">
        <v>400</v>
      </c>
      <c r="D27" s="10">
        <v>22.946000000000002</v>
      </c>
      <c r="E27" s="5">
        <f t="shared" si="0"/>
        <v>5.7365000000000004</v>
      </c>
      <c r="F27" s="9">
        <f t="shared" si="1"/>
        <v>-377.05399999999997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6">
        <f>SUM(C4,C25)</f>
        <v>2309.85</v>
      </c>
      <c r="D37" s="126">
        <f>D4+D25</f>
        <v>91.516709999999989</v>
      </c>
      <c r="E37" s="5">
        <f t="shared" si="0"/>
        <v>3.9620196116630946</v>
      </c>
      <c r="F37" s="5">
        <f t="shared" si="1"/>
        <v>-2218.33329</v>
      </c>
    </row>
    <row r="38" spans="1:8" s="6" customFormat="1">
      <c r="A38" s="3">
        <v>2000000000</v>
      </c>
      <c r="B38" s="4" t="s">
        <v>17</v>
      </c>
      <c r="C38" s="5">
        <f>C39+C41+C42+C44+C45+C46+C40</f>
        <v>2478.6129999999998</v>
      </c>
      <c r="D38" s="5">
        <f>D39+D41+D42+D44+D45+D46+D40</f>
        <v>146.83449999999999</v>
      </c>
      <c r="E38" s="5">
        <f t="shared" si="0"/>
        <v>5.9240591411406296</v>
      </c>
      <c r="F38" s="5">
        <f t="shared" si="1"/>
        <v>-2331.7784999999999</v>
      </c>
      <c r="G38" s="19"/>
    </row>
    <row r="39" spans="1:8">
      <c r="A39" s="16">
        <v>2021000000</v>
      </c>
      <c r="B39" s="17" t="s">
        <v>18</v>
      </c>
      <c r="C39" s="12">
        <v>1658.6</v>
      </c>
      <c r="D39" s="261">
        <v>138.21799999999999</v>
      </c>
      <c r="E39" s="9">
        <f t="shared" si="0"/>
        <v>8.3334137224164948</v>
      </c>
      <c r="F39" s="9">
        <f t="shared" si="1"/>
        <v>-1520.3819999999998</v>
      </c>
    </row>
    <row r="40" spans="1:8" ht="15.75" customHeight="1">
      <c r="A40" s="16">
        <v>2021500200</v>
      </c>
      <c r="B40" s="17" t="s">
        <v>228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637.37</v>
      </c>
      <c r="D41" s="10">
        <v>0</v>
      </c>
      <c r="E41" s="9">
        <f t="shared" si="0"/>
        <v>0</v>
      </c>
      <c r="F41" s="9">
        <f t="shared" si="1"/>
        <v>-637.37</v>
      </c>
    </row>
    <row r="42" spans="1:8" ht="13.5" customHeight="1">
      <c r="A42" s="16">
        <v>2023000000</v>
      </c>
      <c r="B42" s="17" t="s">
        <v>20</v>
      </c>
      <c r="C42" s="12">
        <v>107.643</v>
      </c>
      <c r="D42" s="185">
        <v>8.6165000000000003</v>
      </c>
      <c r="E42" s="9">
        <f t="shared" si="0"/>
        <v>8.0047007236884884</v>
      </c>
      <c r="F42" s="9">
        <f t="shared" si="1"/>
        <v>-99.026499999999999</v>
      </c>
    </row>
    <row r="43" spans="1:8" hidden="1">
      <c r="A43" s="16">
        <v>2070503010</v>
      </c>
      <c r="B43" s="17" t="s">
        <v>257</v>
      </c>
      <c r="C43" s="12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75</v>
      </c>
      <c r="D44" s="186">
        <v>0</v>
      </c>
      <c r="E44" s="9">
        <f t="shared" si="0"/>
        <v>0</v>
      </c>
      <c r="F44" s="9">
        <f t="shared" si="1"/>
        <v>-75</v>
      </c>
    </row>
    <row r="45" spans="1:8" ht="18" customHeight="1">
      <c r="A45" s="16">
        <v>2070000000</v>
      </c>
      <c r="B45" s="18" t="s">
        <v>284</v>
      </c>
      <c r="C45" s="12">
        <v>0</v>
      </c>
      <c r="D45" s="186">
        <v>0</v>
      </c>
      <c r="E45" s="9" t="e">
        <f>SUM(D45/C45*100)</f>
        <v>#DIV/0!</v>
      </c>
      <c r="F45" s="9">
        <f t="shared" si="1"/>
        <v>0</v>
      </c>
      <c r="G45" s="245"/>
      <c r="H45" s="245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9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41">
        <f>SUM(C37,C38,C47)</f>
        <v>4788.4629999999997</v>
      </c>
      <c r="D48" s="442">
        <f>D37+D38</f>
        <v>238.35120999999998</v>
      </c>
      <c r="E48" s="5">
        <f t="shared" si="0"/>
        <v>4.9776141112503112</v>
      </c>
      <c r="F48" s="5">
        <f t="shared" si="1"/>
        <v>-4550.1117899999999</v>
      </c>
      <c r="G48" s="198"/>
      <c r="H48" s="198"/>
    </row>
    <row r="49" spans="1:6" s="6" customFormat="1">
      <c r="A49" s="3"/>
      <c r="B49" s="21" t="s">
        <v>307</v>
      </c>
      <c r="C49" s="248">
        <f>C48-C95</f>
        <v>0</v>
      </c>
      <c r="D49" s="248">
        <f>D48-D95</f>
        <v>212.85120999999998</v>
      </c>
      <c r="E49" s="22"/>
      <c r="F49" s="22"/>
    </row>
    <row r="50" spans="1:6" ht="8.25" customHeight="1">
      <c r="A50" s="23"/>
      <c r="B50" s="24"/>
      <c r="C50" s="216"/>
      <c r="D50" s="216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418</v>
      </c>
      <c r="D51" s="73" t="s">
        <v>425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1418.4770000000001</v>
      </c>
      <c r="D53" s="32">
        <f>D54+D55+D56+D57+D58+D60+D59</f>
        <v>25.5</v>
      </c>
      <c r="E53" s="34">
        <f>SUM(D53/C53*100)</f>
        <v>1.7977027473832847</v>
      </c>
      <c r="F53" s="34">
        <f>SUM(D53-C53)</f>
        <v>-1392.9770000000001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1365.5</v>
      </c>
      <c r="D55" s="37">
        <v>25.5</v>
      </c>
      <c r="E55" s="38">
        <f t="shared" ref="E55:E95" si="3">SUM(D55/C55*100)</f>
        <v>1.8674478213108752</v>
      </c>
      <c r="F55" s="38">
        <f t="shared" ref="F55:F95" si="4">SUM(D55-C55)</f>
        <v>-1340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50</v>
      </c>
      <c r="D59" s="40">
        <v>0</v>
      </c>
      <c r="E59" s="38">
        <f t="shared" si="3"/>
        <v>0</v>
      </c>
      <c r="F59" s="38">
        <f t="shared" si="4"/>
        <v>-50</v>
      </c>
    </row>
    <row r="60" spans="1:6" ht="15.75" customHeight="1">
      <c r="A60" s="35" t="s">
        <v>41</v>
      </c>
      <c r="B60" s="39" t="s">
        <v>42</v>
      </c>
      <c r="C60" s="37">
        <v>2.9769999999999999</v>
      </c>
      <c r="D60" s="37">
        <v>0</v>
      </c>
      <c r="E60" s="38">
        <f t="shared" si="3"/>
        <v>0</v>
      </c>
      <c r="F60" s="38">
        <f t="shared" si="4"/>
        <v>-2.9769999999999999</v>
      </c>
    </row>
    <row r="61" spans="1:6" s="6" customFormat="1">
      <c r="A61" s="41" t="s">
        <v>43</v>
      </c>
      <c r="B61" s="42" t="s">
        <v>44</v>
      </c>
      <c r="C61" s="32">
        <f>C62</f>
        <v>103.383</v>
      </c>
      <c r="D61" s="32">
        <f>D62</f>
        <v>0</v>
      </c>
      <c r="E61" s="34">
        <f t="shared" si="3"/>
        <v>0</v>
      </c>
      <c r="F61" s="34">
        <f t="shared" si="4"/>
        <v>-103.383</v>
      </c>
    </row>
    <row r="62" spans="1:6">
      <c r="A62" s="43" t="s">
        <v>45</v>
      </c>
      <c r="B62" s="44" t="s">
        <v>46</v>
      </c>
      <c r="C62" s="37">
        <v>103.383</v>
      </c>
      <c r="D62" s="37"/>
      <c r="E62" s="38">
        <f t="shared" si="3"/>
        <v>0</v>
      </c>
      <c r="F62" s="38">
        <f t="shared" si="4"/>
        <v>-103.383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25</v>
      </c>
      <c r="D63" s="32">
        <f>D67+D66+D68</f>
        <v>0</v>
      </c>
      <c r="E63" s="34">
        <f t="shared" si="3"/>
        <v>0</v>
      </c>
      <c r="F63" s="34">
        <f t="shared" si="4"/>
        <v>-25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13</v>
      </c>
      <c r="D66" s="37">
        <v>0</v>
      </c>
      <c r="E66" s="34">
        <f t="shared" si="3"/>
        <v>0</v>
      </c>
      <c r="F66" s="34">
        <f t="shared" si="4"/>
        <v>-13</v>
      </c>
    </row>
    <row r="67" spans="1:7" ht="15.75" customHeight="1">
      <c r="A67" s="46" t="s">
        <v>215</v>
      </c>
      <c r="B67" s="47" t="s">
        <v>216</v>
      </c>
      <c r="C67" s="37">
        <v>10</v>
      </c>
      <c r="D67" s="37">
        <v>0</v>
      </c>
      <c r="E67" s="34">
        <f t="shared" si="3"/>
        <v>0</v>
      </c>
      <c r="F67" s="34">
        <f t="shared" si="4"/>
        <v>-10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1268.8799999999999</v>
      </c>
      <c r="D69" s="48">
        <f>SUM(D70:D73)</f>
        <v>0</v>
      </c>
      <c r="E69" s="34">
        <f t="shared" si="3"/>
        <v>0</v>
      </c>
      <c r="F69" s="34">
        <f t="shared" si="4"/>
        <v>-1268.8799999999999</v>
      </c>
    </row>
    <row r="70" spans="1:7" ht="15" customHeight="1">
      <c r="A70" s="35" t="s">
        <v>57</v>
      </c>
      <c r="B70" s="39" t="s">
        <v>58</v>
      </c>
      <c r="C70" s="49">
        <v>4.26</v>
      </c>
      <c r="D70" s="37">
        <v>0</v>
      </c>
      <c r="E70" s="38">
        <f t="shared" si="3"/>
        <v>0</v>
      </c>
      <c r="F70" s="38">
        <f t="shared" si="4"/>
        <v>-4.26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1114.6199999999999</v>
      </c>
      <c r="D72" s="37">
        <v>0</v>
      </c>
      <c r="E72" s="38">
        <f t="shared" si="3"/>
        <v>0</v>
      </c>
      <c r="F72" s="38">
        <f t="shared" si="4"/>
        <v>-1114.6199999999999</v>
      </c>
    </row>
    <row r="73" spans="1:7">
      <c r="A73" s="35" t="s">
        <v>63</v>
      </c>
      <c r="B73" s="39" t="s">
        <v>64</v>
      </c>
      <c r="C73" s="49">
        <v>150</v>
      </c>
      <c r="D73" s="37">
        <v>0</v>
      </c>
      <c r="E73" s="38">
        <f t="shared" si="3"/>
        <v>0</v>
      </c>
      <c r="F73" s="38">
        <f t="shared" si="4"/>
        <v>-150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890.423</v>
      </c>
      <c r="D74" s="32">
        <f>SUM(D76:D77)</f>
        <v>0</v>
      </c>
      <c r="E74" s="34">
        <f t="shared" si="3"/>
        <v>0</v>
      </c>
      <c r="F74" s="34">
        <f t="shared" si="4"/>
        <v>-890.423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200</v>
      </c>
      <c r="D76" s="37">
        <v>0</v>
      </c>
      <c r="E76" s="38">
        <f t="shared" si="3"/>
        <v>0</v>
      </c>
      <c r="F76" s="38">
        <f t="shared" si="4"/>
        <v>-200</v>
      </c>
    </row>
    <row r="77" spans="1:7">
      <c r="A77" s="35" t="s">
        <v>71</v>
      </c>
      <c r="B77" s="39" t="s">
        <v>72</v>
      </c>
      <c r="C77" s="37">
        <v>690.423</v>
      </c>
      <c r="D77" s="37">
        <v>0</v>
      </c>
      <c r="E77" s="38">
        <f>SUM(D77/C77*100)</f>
        <v>0</v>
      </c>
      <c r="F77" s="38">
        <f t="shared" si="4"/>
        <v>-690.423</v>
      </c>
    </row>
    <row r="78" spans="1:7" s="6" customFormat="1">
      <c r="A78" s="30" t="s">
        <v>83</v>
      </c>
      <c r="B78" s="31" t="s">
        <v>84</v>
      </c>
      <c r="C78" s="32">
        <f>C79</f>
        <v>1052.3</v>
      </c>
      <c r="D78" s="32">
        <f>SUM(D79)</f>
        <v>0</v>
      </c>
      <c r="E78" s="34">
        <f t="shared" si="3"/>
        <v>0</v>
      </c>
      <c r="F78" s="34">
        <f t="shared" si="4"/>
        <v>-1052.3</v>
      </c>
    </row>
    <row r="79" spans="1:7" ht="20.25" customHeight="1">
      <c r="A79" s="35" t="s">
        <v>85</v>
      </c>
      <c r="B79" s="39" t="s">
        <v>230</v>
      </c>
      <c r="C79" s="37">
        <v>1052.3</v>
      </c>
      <c r="D79" s="37"/>
      <c r="E79" s="38">
        <f t="shared" si="3"/>
        <v>0</v>
      </c>
      <c r="F79" s="38">
        <f t="shared" si="4"/>
        <v>-1052.3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30</v>
      </c>
      <c r="D85" s="32">
        <f>D86+D87+D88+D89+D90</f>
        <v>0</v>
      </c>
      <c r="E85" s="38">
        <f t="shared" si="3"/>
        <v>0</v>
      </c>
      <c r="F85" s="22">
        <f>F86+F87+F88+F89+F90</f>
        <v>-30</v>
      </c>
    </row>
    <row r="86" spans="1:6" ht="15" customHeight="1">
      <c r="A86" s="35" t="s">
        <v>94</v>
      </c>
      <c r="B86" s="39" t="s">
        <v>95</v>
      </c>
      <c r="C86" s="235">
        <v>30</v>
      </c>
      <c r="D86" s="235">
        <v>0</v>
      </c>
      <c r="E86" s="38">
        <f t="shared" si="3"/>
        <v>0</v>
      </c>
      <c r="F86" s="38">
        <f>SUM(D86-C86)</f>
        <v>-30</v>
      </c>
    </row>
    <row r="87" spans="1:6" ht="15.75" hidden="1" customHeight="1">
      <c r="A87" s="35" t="s">
        <v>96</v>
      </c>
      <c r="B87" s="39" t="s">
        <v>97</v>
      </c>
      <c r="C87" s="235"/>
      <c r="D87" s="235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5"/>
      <c r="D88" s="235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5"/>
      <c r="D89" s="235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5"/>
      <c r="D90" s="235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6">
        <f>C92+C93+C94</f>
        <v>0</v>
      </c>
      <c r="D91" s="236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7"/>
      <c r="D92" s="235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7"/>
      <c r="D93" s="235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8">
        <v>0</v>
      </c>
      <c r="D94" s="239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42">
        <f>C53+C61+C63+C69+C74+C78+C85</f>
        <v>4788.4629999999997</v>
      </c>
      <c r="D95" s="442">
        <f>D53+D61+D63+D69+D74+D78+D85</f>
        <v>25.5</v>
      </c>
      <c r="E95" s="34">
        <f t="shared" si="3"/>
        <v>0.53252995794266345</v>
      </c>
      <c r="F95" s="34">
        <f t="shared" si="4"/>
        <v>-4762.9629999999997</v>
      </c>
    </row>
    <row r="96" spans="1:6" ht="16.5" customHeight="1">
      <c r="C96" s="125"/>
      <c r="D96" s="101"/>
    </row>
    <row r="97" spans="1:4" s="112" customFormat="1" ht="20.25" customHeight="1">
      <c r="A97" s="110" t="s">
        <v>117</v>
      </c>
      <c r="B97" s="110"/>
      <c r="C97" s="128"/>
      <c r="D97" s="111"/>
    </row>
    <row r="98" spans="1:4" s="112" customFormat="1" ht="13.5" customHeight="1">
      <c r="A98" s="113" t="s">
        <v>118</v>
      </c>
      <c r="B98" s="113"/>
      <c r="C98" s="117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32">
      <selection activeCell="D72" sqref="D7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3"/>
  <sheetViews>
    <sheetView view="pageBreakPreview" topLeftCell="D1" zoomScale="70" zoomScaleNormal="100" zoomScaleSheetLayoutView="70" workbookViewId="0">
      <selection activeCell="BZ15" sqref="BZ15"/>
    </sheetView>
  </sheetViews>
  <sheetFormatPr defaultRowHeight="15"/>
  <cols>
    <col min="1" max="1" width="6.140625" style="152" customWidth="1"/>
    <col min="2" max="2" width="26.42578125" style="152" customWidth="1"/>
    <col min="3" max="3" width="17" style="152" customWidth="1"/>
    <col min="4" max="4" width="16.5703125" style="153" customWidth="1"/>
    <col min="5" max="5" width="11.42578125" style="152" customWidth="1"/>
    <col min="6" max="6" width="15.42578125" style="152" customWidth="1"/>
    <col min="7" max="7" width="13.42578125" style="152" customWidth="1"/>
    <col min="8" max="8" width="11" style="152" customWidth="1"/>
    <col min="9" max="9" width="15.5703125" style="152" customWidth="1"/>
    <col min="10" max="10" width="17" style="152" customWidth="1"/>
    <col min="11" max="11" width="13" style="152" bestFit="1" customWidth="1"/>
    <col min="12" max="12" width="15.140625" style="152" customWidth="1"/>
    <col min="13" max="13" width="12" style="152" customWidth="1"/>
    <col min="14" max="14" width="13" style="152" bestFit="1" customWidth="1"/>
    <col min="15" max="15" width="14.140625" style="152" customWidth="1"/>
    <col min="16" max="16" width="15.7109375" style="152" customWidth="1"/>
    <col min="17" max="17" width="10.140625" style="152" customWidth="1"/>
    <col min="18" max="18" width="16.7109375" style="152" bestFit="1" customWidth="1"/>
    <col min="19" max="19" width="17.28515625" style="152" bestFit="1" customWidth="1"/>
    <col min="20" max="20" width="10" style="152" customWidth="1"/>
    <col min="21" max="21" width="13.5703125" style="152" customWidth="1"/>
    <col min="22" max="22" width="14.7109375" style="152" customWidth="1"/>
    <col min="23" max="23" width="12.28515625" style="152" customWidth="1"/>
    <col min="24" max="24" width="15.140625" style="152" customWidth="1"/>
    <col min="25" max="25" width="13.42578125" style="152" customWidth="1"/>
    <col min="26" max="26" width="12.5703125" style="152" customWidth="1"/>
    <col min="27" max="28" width="14.85546875" style="152" customWidth="1"/>
    <col min="29" max="29" width="10.7109375" style="152" customWidth="1"/>
    <col min="30" max="30" width="17" style="152" customWidth="1"/>
    <col min="31" max="31" width="15.7109375" style="152" customWidth="1"/>
    <col min="32" max="32" width="10" style="152" customWidth="1"/>
    <col min="33" max="33" width="13.85546875" style="152" customWidth="1"/>
    <col min="34" max="34" width="12.28515625" style="152" customWidth="1"/>
    <col min="35" max="35" width="11.85546875" style="152" customWidth="1"/>
    <col min="36" max="36" width="11" style="152" customWidth="1"/>
    <col min="37" max="37" width="14.5703125" style="152" customWidth="1"/>
    <col min="38" max="38" width="13.7109375" style="152" customWidth="1"/>
    <col min="39" max="39" width="15.42578125" style="152" customWidth="1"/>
    <col min="40" max="40" width="16" style="152" customWidth="1"/>
    <col min="41" max="41" width="16.28515625" style="152" customWidth="1"/>
    <col min="42" max="42" width="14.28515625" style="152" customWidth="1"/>
    <col min="43" max="43" width="13.140625" style="152" customWidth="1"/>
    <col min="44" max="44" width="11" style="152" customWidth="1"/>
    <col min="45" max="45" width="14.42578125" style="152" customWidth="1"/>
    <col min="46" max="46" width="14.7109375" style="152" customWidth="1"/>
    <col min="47" max="47" width="12.42578125" style="152" customWidth="1"/>
    <col min="48" max="48" width="9.42578125" style="152" hidden="1" customWidth="1"/>
    <col min="49" max="49" width="9.7109375" style="152" hidden="1" customWidth="1"/>
    <col min="50" max="50" width="11.85546875" style="152" hidden="1" customWidth="1"/>
    <col min="51" max="51" width="13.85546875" style="152" customWidth="1"/>
    <col min="52" max="52" width="12.85546875" style="152" customWidth="1"/>
    <col min="53" max="53" width="11.7109375" style="152" customWidth="1"/>
    <col min="54" max="56" width="9.85546875" style="152" hidden="1" customWidth="1"/>
    <col min="57" max="57" width="11.7109375" style="152" customWidth="1"/>
    <col min="58" max="58" width="11.28515625" style="152" customWidth="1"/>
    <col min="59" max="59" width="16" style="152" customWidth="1"/>
    <col min="60" max="61" width="9.7109375" style="152" hidden="1" customWidth="1"/>
    <col min="62" max="62" width="17.7109375" style="152" hidden="1" customWidth="1"/>
    <col min="63" max="63" width="0.42578125" style="152" customWidth="1"/>
    <col min="64" max="64" width="20.5703125" style="152" hidden="1" customWidth="1"/>
    <col min="65" max="65" width="10.140625" style="152" hidden="1" customWidth="1"/>
    <col min="66" max="66" width="12.7109375" style="152" customWidth="1"/>
    <col min="67" max="67" width="11.5703125" style="152" customWidth="1"/>
    <col min="68" max="68" width="18.5703125" style="152" customWidth="1"/>
    <col min="69" max="69" width="15.28515625" style="152" customWidth="1"/>
    <col min="70" max="70" width="15" style="152" customWidth="1"/>
    <col min="71" max="71" width="12.42578125" style="152" customWidth="1"/>
    <col min="72" max="73" width="9.7109375" style="152" hidden="1" customWidth="1"/>
    <col min="74" max="74" width="9.5703125" style="152" hidden="1" customWidth="1"/>
    <col min="75" max="75" width="9.42578125" style="152" hidden="1" customWidth="1"/>
    <col min="76" max="76" width="9.7109375" style="152" hidden="1" customWidth="1"/>
    <col min="77" max="77" width="10.140625" style="152" hidden="1" customWidth="1"/>
    <col min="78" max="78" width="20" style="152" customWidth="1"/>
    <col min="79" max="79" width="15.28515625" style="152" customWidth="1"/>
    <col min="80" max="80" width="10" style="152" customWidth="1"/>
    <col min="81" max="81" width="16.42578125" style="152" customWidth="1"/>
    <col min="82" max="82" width="15.7109375" style="152" customWidth="1"/>
    <col min="83" max="83" width="12.140625" style="152" customWidth="1"/>
    <col min="84" max="84" width="20.42578125" style="152" customWidth="1"/>
    <col min="85" max="85" width="21.42578125" style="152" customWidth="1"/>
    <col min="86" max="86" width="18.42578125" style="152" customWidth="1"/>
    <col min="87" max="87" width="17.42578125" style="152" customWidth="1"/>
    <col min="88" max="88" width="16.5703125" style="152" customWidth="1"/>
    <col min="89" max="89" width="10" style="152" customWidth="1"/>
    <col min="90" max="90" width="19.85546875" style="152" customWidth="1"/>
    <col min="91" max="91" width="18" style="152" customWidth="1"/>
    <col min="92" max="92" width="13.28515625" style="152" customWidth="1"/>
    <col min="93" max="93" width="19.85546875" style="152" customWidth="1"/>
    <col min="94" max="94" width="22.28515625" style="152" customWidth="1"/>
    <col min="95" max="95" width="14.85546875" style="152" customWidth="1"/>
    <col min="96" max="96" width="16.7109375" style="152" customWidth="1"/>
    <col min="97" max="97" width="16.85546875" style="152" customWidth="1"/>
    <col min="98" max="98" width="14.42578125" style="152" bestFit="1" customWidth="1"/>
    <col min="99" max="99" width="9.85546875" style="152" bestFit="1" customWidth="1"/>
    <col min="100" max="100" width="14.42578125" style="152" customWidth="1"/>
    <col min="101" max="101" width="14.28515625" style="152" customWidth="1"/>
    <col min="102" max="103" width="9.85546875" style="152" hidden="1" customWidth="1"/>
    <col min="104" max="104" width="14.42578125" style="152" hidden="1" customWidth="1"/>
    <col min="105" max="106" width="9.85546875" style="152" hidden="1" customWidth="1"/>
    <col min="107" max="107" width="14.42578125" style="152" hidden="1" customWidth="1"/>
    <col min="108" max="109" width="9.85546875" style="152" hidden="1" customWidth="1"/>
    <col min="110" max="110" width="14.42578125" style="152" hidden="1" customWidth="1"/>
    <col min="111" max="111" width="17.5703125" style="152" customWidth="1"/>
    <col min="112" max="112" width="20.28515625" style="152" customWidth="1"/>
    <col min="113" max="113" width="13" style="152" bestFit="1" customWidth="1"/>
    <col min="114" max="114" width="18" style="152" bestFit="1" customWidth="1"/>
    <col min="115" max="115" width="20.5703125" style="152" customWidth="1"/>
    <col min="116" max="116" width="13.28515625" style="152" customWidth="1"/>
    <col min="117" max="117" width="16.7109375" style="152" customWidth="1"/>
    <col min="118" max="118" width="16.85546875" style="152" customWidth="1"/>
    <col min="119" max="119" width="12.28515625" style="152" customWidth="1"/>
    <col min="120" max="120" width="15.28515625" style="152" customWidth="1"/>
    <col min="121" max="121" width="14.28515625" style="152" customWidth="1"/>
    <col min="122" max="122" width="13.85546875" style="152" customWidth="1"/>
    <col min="123" max="123" width="18.85546875" style="152" customWidth="1"/>
    <col min="124" max="124" width="13.7109375" style="152" customWidth="1"/>
    <col min="125" max="125" width="10.140625" style="152" customWidth="1"/>
    <col min="126" max="126" width="16" style="152" customWidth="1"/>
    <col min="127" max="127" width="14.28515625" style="152" customWidth="1"/>
    <col min="128" max="128" width="10.140625" style="152" customWidth="1"/>
    <col min="129" max="129" width="15.140625" style="152" customWidth="1"/>
    <col min="130" max="130" width="18.5703125" style="152" customWidth="1"/>
    <col min="131" max="131" width="10.140625" style="152" customWidth="1"/>
    <col min="132" max="132" width="15.28515625" style="152" customWidth="1"/>
    <col min="133" max="133" width="12.42578125" style="152" customWidth="1"/>
    <col min="134" max="134" width="10.140625" style="152" customWidth="1"/>
    <col min="135" max="135" width="18" style="152" customWidth="1"/>
    <col min="136" max="136" width="14.85546875" style="152" customWidth="1"/>
    <col min="137" max="137" width="10.5703125" style="152" customWidth="1"/>
    <col min="138" max="138" width="14.42578125" style="152" customWidth="1"/>
    <col min="139" max="139" width="12.5703125" style="152" customWidth="1"/>
    <col min="140" max="140" width="8.7109375" style="152" customWidth="1"/>
    <col min="141" max="141" width="15.5703125" style="152" customWidth="1"/>
    <col min="142" max="142" width="11.7109375" style="152" customWidth="1"/>
    <col min="143" max="144" width="10.140625" style="152" customWidth="1"/>
    <col min="145" max="145" width="10.85546875" style="152" customWidth="1"/>
    <col min="146" max="146" width="11.42578125" style="152" customWidth="1"/>
    <col min="147" max="147" width="12" style="152" customWidth="1"/>
    <col min="148" max="149" width="10" style="152" customWidth="1"/>
    <col min="150" max="150" width="9.85546875" style="152" customWidth="1"/>
    <col min="151" max="151" width="11.42578125" style="152" customWidth="1"/>
    <col min="152" max="152" width="11.28515625" style="152" customWidth="1"/>
    <col min="153" max="153" width="12.140625" style="152" customWidth="1"/>
    <col min="154" max="154" width="13.85546875" style="152" customWidth="1"/>
    <col min="155" max="155" width="12.7109375" style="152" customWidth="1"/>
    <col min="156" max="156" width="14.85546875" style="152" customWidth="1"/>
    <col min="157" max="16384" width="9.140625" style="152"/>
  </cols>
  <sheetData>
    <row r="1" spans="1:159" ht="18" customHeight="1">
      <c r="X1" s="507" t="s">
        <v>134</v>
      </c>
      <c r="Y1" s="507"/>
      <c r="Z1" s="507"/>
      <c r="AA1" s="155"/>
      <c r="AB1" s="155"/>
      <c r="AC1" s="155"/>
      <c r="AD1" s="502"/>
      <c r="AE1" s="502"/>
      <c r="AF1" s="502"/>
      <c r="AG1" s="156"/>
      <c r="AH1" s="156"/>
      <c r="AI1" s="156"/>
      <c r="AJ1" s="156"/>
      <c r="AK1" s="156"/>
      <c r="AL1" s="156"/>
    </row>
    <row r="2" spans="1:159" ht="19.5" customHeight="1">
      <c r="X2" s="156" t="s">
        <v>135</v>
      </c>
      <c r="Y2" s="156"/>
      <c r="Z2" s="156"/>
      <c r="AA2" s="154"/>
      <c r="AB2" s="154"/>
      <c r="AC2" s="154"/>
      <c r="AD2" s="502"/>
      <c r="AE2" s="502"/>
      <c r="AF2" s="502"/>
      <c r="AG2" s="156"/>
      <c r="AH2" s="156"/>
      <c r="AI2" s="156"/>
      <c r="AJ2" s="156"/>
      <c r="AK2" s="156"/>
      <c r="AL2" s="156"/>
    </row>
    <row r="3" spans="1:159" ht="30.75" customHeight="1">
      <c r="A3" s="157"/>
      <c r="B3" s="355"/>
      <c r="C3" s="355"/>
      <c r="D3" s="356"/>
      <c r="E3" s="355"/>
      <c r="F3" s="355"/>
      <c r="G3" s="355"/>
      <c r="H3" s="355"/>
      <c r="I3" s="355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512" t="s">
        <v>136</v>
      </c>
      <c r="Y3" s="512"/>
      <c r="Z3" s="512"/>
      <c r="AA3" s="157"/>
      <c r="AB3" s="157"/>
      <c r="AC3" s="157"/>
      <c r="AD3" s="506"/>
      <c r="AE3" s="506"/>
      <c r="AF3" s="506"/>
      <c r="AG3" s="158"/>
      <c r="AH3" s="158"/>
      <c r="AI3" s="158"/>
      <c r="AJ3" s="158"/>
      <c r="AK3" s="158"/>
      <c r="AL3" s="158"/>
      <c r="AM3" s="157"/>
      <c r="AN3" s="157"/>
      <c r="AO3" s="157"/>
      <c r="AP3" s="157"/>
      <c r="AQ3" s="157"/>
      <c r="AR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</row>
    <row r="4" spans="1:159" ht="24" customHeight="1">
      <c r="B4" s="510" t="s">
        <v>137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159"/>
      <c r="AB4" s="159"/>
      <c r="AC4" s="159"/>
      <c r="AD4" s="159"/>
      <c r="AE4" s="159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</row>
    <row r="5" spans="1:159" ht="20.25" customHeight="1">
      <c r="B5" s="508" t="s">
        <v>421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160"/>
      <c r="AB5" s="160"/>
      <c r="AC5" s="160"/>
      <c r="AD5" s="160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</row>
    <row r="6" spans="1:159" ht="15" customHeight="1">
      <c r="A6" s="157"/>
      <c r="B6" s="358"/>
      <c r="C6" s="359"/>
      <c r="D6" s="360"/>
      <c r="E6" s="358"/>
      <c r="F6" s="358"/>
      <c r="G6" s="361"/>
      <c r="H6" s="361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358"/>
      <c r="Z6" s="361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W6" s="157"/>
      <c r="EX6" s="157"/>
      <c r="EY6" s="157"/>
    </row>
    <row r="7" spans="1:159" s="161" customFormat="1" ht="15" customHeight="1">
      <c r="A7" s="501" t="s">
        <v>138</v>
      </c>
      <c r="B7" s="501" t="s">
        <v>139</v>
      </c>
      <c r="C7" s="492" t="s">
        <v>140</v>
      </c>
      <c r="D7" s="493"/>
      <c r="E7" s="494"/>
      <c r="F7" s="282" t="s">
        <v>141</v>
      </c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4"/>
      <c r="DD7" s="283"/>
      <c r="DE7" s="283"/>
      <c r="DF7" s="284"/>
      <c r="DG7" s="492" t="s">
        <v>142</v>
      </c>
      <c r="DH7" s="493"/>
      <c r="DI7" s="494"/>
      <c r="DJ7" s="492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3"/>
      <c r="EG7" s="493"/>
      <c r="EH7" s="493"/>
      <c r="EI7" s="493"/>
      <c r="EJ7" s="493"/>
      <c r="EK7" s="493"/>
      <c r="EL7" s="493"/>
      <c r="EM7" s="493"/>
      <c r="EN7" s="493"/>
      <c r="EO7" s="493"/>
      <c r="EP7" s="493"/>
      <c r="EQ7" s="493"/>
      <c r="ER7" s="493"/>
      <c r="ES7" s="493"/>
      <c r="ET7" s="493"/>
      <c r="EU7" s="493"/>
      <c r="EV7" s="494"/>
      <c r="EW7" s="492" t="s">
        <v>143</v>
      </c>
      <c r="EX7" s="493"/>
      <c r="EY7" s="494"/>
    </row>
    <row r="8" spans="1:159" s="161" customFormat="1" ht="15" customHeight="1">
      <c r="A8" s="501"/>
      <c r="B8" s="501"/>
      <c r="C8" s="495"/>
      <c r="D8" s="496"/>
      <c r="E8" s="497"/>
      <c r="F8" s="495" t="s">
        <v>144</v>
      </c>
      <c r="G8" s="496"/>
      <c r="H8" s="497"/>
      <c r="I8" s="503" t="s">
        <v>145</v>
      </c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6"/>
      <c r="BT8" s="287"/>
      <c r="BU8" s="287"/>
      <c r="BV8" s="287"/>
      <c r="BW8" s="288"/>
      <c r="BX8" s="288"/>
      <c r="BY8" s="288"/>
      <c r="BZ8" s="501" t="s">
        <v>146</v>
      </c>
      <c r="CA8" s="501"/>
      <c r="CB8" s="501"/>
      <c r="CC8" s="498" t="s">
        <v>145</v>
      </c>
      <c r="CD8" s="499"/>
      <c r="CE8" s="499"/>
      <c r="CF8" s="499"/>
      <c r="CG8" s="499"/>
      <c r="CH8" s="499"/>
      <c r="CI8" s="499"/>
      <c r="CJ8" s="499"/>
      <c r="CK8" s="499"/>
      <c r="CL8" s="499"/>
      <c r="CM8" s="499"/>
      <c r="CN8" s="499"/>
      <c r="CO8" s="289"/>
      <c r="CP8" s="289"/>
      <c r="CQ8" s="289"/>
      <c r="CR8" s="289"/>
      <c r="CS8" s="289"/>
      <c r="CT8" s="289"/>
      <c r="CU8" s="290"/>
      <c r="CV8" s="290"/>
      <c r="CW8" s="291"/>
      <c r="CX8" s="495" t="s">
        <v>147</v>
      </c>
      <c r="CY8" s="496"/>
      <c r="CZ8" s="497"/>
      <c r="DA8" s="489"/>
      <c r="DB8" s="490"/>
      <c r="DC8" s="491"/>
      <c r="DD8" s="489"/>
      <c r="DE8" s="490"/>
      <c r="DF8" s="491"/>
      <c r="DG8" s="495"/>
      <c r="DH8" s="496"/>
      <c r="DI8" s="497"/>
      <c r="DJ8" s="495" t="s">
        <v>145</v>
      </c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7"/>
      <c r="EW8" s="495"/>
      <c r="EX8" s="496"/>
      <c r="EY8" s="497"/>
    </row>
    <row r="9" spans="1:159" s="161" customFormat="1" ht="15" customHeight="1">
      <c r="A9" s="501"/>
      <c r="B9" s="501"/>
      <c r="C9" s="495"/>
      <c r="D9" s="496"/>
      <c r="E9" s="497"/>
      <c r="F9" s="495"/>
      <c r="G9" s="496"/>
      <c r="H9" s="497"/>
      <c r="I9" s="492" t="s">
        <v>148</v>
      </c>
      <c r="J9" s="493"/>
      <c r="K9" s="494"/>
      <c r="L9" s="492" t="s">
        <v>279</v>
      </c>
      <c r="M9" s="493"/>
      <c r="N9" s="494"/>
      <c r="O9" s="492" t="s">
        <v>282</v>
      </c>
      <c r="P9" s="493"/>
      <c r="Q9" s="494"/>
      <c r="R9" s="492" t="s">
        <v>280</v>
      </c>
      <c r="S9" s="493"/>
      <c r="T9" s="494"/>
      <c r="U9" s="492" t="s">
        <v>281</v>
      </c>
      <c r="V9" s="493"/>
      <c r="W9" s="494"/>
      <c r="X9" s="492" t="s">
        <v>149</v>
      </c>
      <c r="Y9" s="493"/>
      <c r="Z9" s="494"/>
      <c r="AA9" s="492" t="s">
        <v>150</v>
      </c>
      <c r="AB9" s="493"/>
      <c r="AC9" s="494"/>
      <c r="AD9" s="492" t="s">
        <v>151</v>
      </c>
      <c r="AE9" s="493"/>
      <c r="AF9" s="494"/>
      <c r="AG9" s="501" t="s">
        <v>152</v>
      </c>
      <c r="AH9" s="501"/>
      <c r="AI9" s="501"/>
      <c r="AJ9" s="492" t="s">
        <v>244</v>
      </c>
      <c r="AK9" s="493"/>
      <c r="AL9" s="494"/>
      <c r="AM9" s="492" t="s">
        <v>153</v>
      </c>
      <c r="AN9" s="493"/>
      <c r="AO9" s="494"/>
      <c r="AP9" s="492" t="s">
        <v>328</v>
      </c>
      <c r="AQ9" s="493"/>
      <c r="AR9" s="494"/>
      <c r="AS9" s="492" t="s">
        <v>154</v>
      </c>
      <c r="AT9" s="493"/>
      <c r="AU9" s="494"/>
      <c r="AV9" s="492" t="s">
        <v>155</v>
      </c>
      <c r="AW9" s="493"/>
      <c r="AX9" s="494"/>
      <c r="AY9" s="492" t="s">
        <v>246</v>
      </c>
      <c r="AZ9" s="493"/>
      <c r="BA9" s="494"/>
      <c r="BB9" s="492" t="s">
        <v>338</v>
      </c>
      <c r="BC9" s="493"/>
      <c r="BD9" s="494"/>
      <c r="BE9" s="492" t="s">
        <v>402</v>
      </c>
      <c r="BF9" s="493"/>
      <c r="BG9" s="494"/>
      <c r="BH9" s="492" t="s">
        <v>156</v>
      </c>
      <c r="BI9" s="493"/>
      <c r="BJ9" s="494"/>
      <c r="BK9" s="492" t="s">
        <v>272</v>
      </c>
      <c r="BL9" s="493"/>
      <c r="BM9" s="494"/>
      <c r="BN9" s="492" t="s">
        <v>242</v>
      </c>
      <c r="BO9" s="493"/>
      <c r="BP9" s="494"/>
      <c r="BQ9" s="492" t="s">
        <v>157</v>
      </c>
      <c r="BR9" s="493"/>
      <c r="BS9" s="494"/>
      <c r="BT9" s="492" t="s">
        <v>158</v>
      </c>
      <c r="BU9" s="493"/>
      <c r="BV9" s="494"/>
      <c r="BW9" s="495" t="s">
        <v>159</v>
      </c>
      <c r="BX9" s="496"/>
      <c r="BY9" s="496"/>
      <c r="BZ9" s="501"/>
      <c r="CA9" s="501"/>
      <c r="CB9" s="501"/>
      <c r="CC9" s="492" t="s">
        <v>329</v>
      </c>
      <c r="CD9" s="493"/>
      <c r="CE9" s="494"/>
      <c r="CF9" s="492" t="s">
        <v>330</v>
      </c>
      <c r="CG9" s="493"/>
      <c r="CH9" s="494"/>
      <c r="CI9" s="492" t="s">
        <v>160</v>
      </c>
      <c r="CJ9" s="493"/>
      <c r="CK9" s="494"/>
      <c r="CL9" s="492" t="s">
        <v>161</v>
      </c>
      <c r="CM9" s="493"/>
      <c r="CN9" s="494"/>
      <c r="CO9" s="492" t="s">
        <v>21</v>
      </c>
      <c r="CP9" s="493"/>
      <c r="CQ9" s="494"/>
      <c r="CR9" s="492" t="s">
        <v>289</v>
      </c>
      <c r="CS9" s="493"/>
      <c r="CT9" s="494"/>
      <c r="CU9" s="492" t="s">
        <v>331</v>
      </c>
      <c r="CV9" s="493"/>
      <c r="CW9" s="494"/>
      <c r="CX9" s="495"/>
      <c r="CY9" s="496"/>
      <c r="CZ9" s="497"/>
      <c r="DA9" s="492" t="s">
        <v>257</v>
      </c>
      <c r="DB9" s="493"/>
      <c r="DC9" s="494"/>
      <c r="DD9" s="501" t="s">
        <v>162</v>
      </c>
      <c r="DE9" s="501"/>
      <c r="DF9" s="501"/>
      <c r="DG9" s="495"/>
      <c r="DH9" s="496"/>
      <c r="DI9" s="497"/>
      <c r="DJ9" s="521" t="s">
        <v>163</v>
      </c>
      <c r="DK9" s="522"/>
      <c r="DL9" s="523"/>
      <c r="DM9" s="515" t="s">
        <v>141</v>
      </c>
      <c r="DN9" s="516"/>
      <c r="DO9" s="516"/>
      <c r="DP9" s="516"/>
      <c r="DQ9" s="516"/>
      <c r="DR9" s="516"/>
      <c r="DS9" s="516"/>
      <c r="DT9" s="516"/>
      <c r="DU9" s="516"/>
      <c r="DV9" s="516"/>
      <c r="DW9" s="516"/>
      <c r="DX9" s="517"/>
      <c r="DY9" s="521" t="s">
        <v>164</v>
      </c>
      <c r="DZ9" s="522"/>
      <c r="EA9" s="523"/>
      <c r="EB9" s="521" t="s">
        <v>165</v>
      </c>
      <c r="EC9" s="522"/>
      <c r="ED9" s="523"/>
      <c r="EE9" s="521" t="s">
        <v>166</v>
      </c>
      <c r="EF9" s="522"/>
      <c r="EG9" s="523"/>
      <c r="EH9" s="521" t="s">
        <v>167</v>
      </c>
      <c r="EI9" s="522"/>
      <c r="EJ9" s="523"/>
      <c r="EK9" s="492" t="s">
        <v>283</v>
      </c>
      <c r="EL9" s="493"/>
      <c r="EM9" s="494"/>
      <c r="EN9" s="492" t="s">
        <v>168</v>
      </c>
      <c r="EO9" s="493"/>
      <c r="EP9" s="494"/>
      <c r="EQ9" s="492" t="s">
        <v>315</v>
      </c>
      <c r="ER9" s="493"/>
      <c r="ES9" s="494"/>
      <c r="ET9" s="501" t="s">
        <v>285</v>
      </c>
      <c r="EU9" s="501"/>
      <c r="EV9" s="501"/>
      <c r="EW9" s="495"/>
      <c r="EX9" s="496"/>
      <c r="EY9" s="497"/>
    </row>
    <row r="10" spans="1:159" s="161" customFormat="1" ht="62.25" customHeight="1">
      <c r="A10" s="501"/>
      <c r="B10" s="501"/>
      <c r="C10" s="495"/>
      <c r="D10" s="496"/>
      <c r="E10" s="497"/>
      <c r="F10" s="495"/>
      <c r="G10" s="496"/>
      <c r="H10" s="497"/>
      <c r="I10" s="495"/>
      <c r="J10" s="496"/>
      <c r="K10" s="497"/>
      <c r="L10" s="495"/>
      <c r="M10" s="496"/>
      <c r="N10" s="497"/>
      <c r="O10" s="495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501"/>
      <c r="AH10" s="501"/>
      <c r="AI10" s="501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5"/>
      <c r="BI10" s="496"/>
      <c r="BJ10" s="497"/>
      <c r="BK10" s="495"/>
      <c r="BL10" s="496"/>
      <c r="BM10" s="497"/>
      <c r="BN10" s="495"/>
      <c r="BO10" s="496"/>
      <c r="BP10" s="497"/>
      <c r="BQ10" s="495"/>
      <c r="BR10" s="496"/>
      <c r="BS10" s="497"/>
      <c r="BT10" s="495"/>
      <c r="BU10" s="496"/>
      <c r="BV10" s="497"/>
      <c r="BW10" s="495"/>
      <c r="BX10" s="496"/>
      <c r="BY10" s="496"/>
      <c r="BZ10" s="501"/>
      <c r="CA10" s="501"/>
      <c r="CB10" s="501"/>
      <c r="CC10" s="495"/>
      <c r="CD10" s="496"/>
      <c r="CE10" s="497"/>
      <c r="CF10" s="495"/>
      <c r="CG10" s="496"/>
      <c r="CH10" s="497"/>
      <c r="CI10" s="495"/>
      <c r="CJ10" s="496"/>
      <c r="CK10" s="497"/>
      <c r="CL10" s="495"/>
      <c r="CM10" s="496"/>
      <c r="CN10" s="497"/>
      <c r="CO10" s="495"/>
      <c r="CP10" s="496"/>
      <c r="CQ10" s="497"/>
      <c r="CR10" s="495"/>
      <c r="CS10" s="496"/>
      <c r="CT10" s="497"/>
      <c r="CU10" s="495"/>
      <c r="CV10" s="496"/>
      <c r="CW10" s="497"/>
      <c r="CX10" s="495"/>
      <c r="CY10" s="496"/>
      <c r="CZ10" s="497"/>
      <c r="DA10" s="495"/>
      <c r="DB10" s="496"/>
      <c r="DC10" s="497"/>
      <c r="DD10" s="501"/>
      <c r="DE10" s="501"/>
      <c r="DF10" s="501"/>
      <c r="DG10" s="495"/>
      <c r="DH10" s="496"/>
      <c r="DI10" s="497"/>
      <c r="DJ10" s="524"/>
      <c r="DK10" s="525"/>
      <c r="DL10" s="526"/>
      <c r="DM10" s="292"/>
      <c r="DN10" s="293"/>
      <c r="DO10" s="293"/>
      <c r="DP10" s="294"/>
      <c r="DQ10" s="294"/>
      <c r="DR10" s="294"/>
      <c r="DS10" s="293"/>
      <c r="DT10" s="293"/>
      <c r="DU10" s="293"/>
      <c r="DV10" s="293"/>
      <c r="DW10" s="293"/>
      <c r="DX10" s="295"/>
      <c r="DY10" s="524"/>
      <c r="DZ10" s="525"/>
      <c r="EA10" s="526"/>
      <c r="EB10" s="524"/>
      <c r="EC10" s="525"/>
      <c r="ED10" s="526"/>
      <c r="EE10" s="524"/>
      <c r="EF10" s="525"/>
      <c r="EG10" s="526"/>
      <c r="EH10" s="524"/>
      <c r="EI10" s="525"/>
      <c r="EJ10" s="526"/>
      <c r="EK10" s="495"/>
      <c r="EL10" s="496"/>
      <c r="EM10" s="497"/>
      <c r="EN10" s="495"/>
      <c r="EO10" s="496"/>
      <c r="EP10" s="497"/>
      <c r="EQ10" s="495"/>
      <c r="ER10" s="496"/>
      <c r="ES10" s="497"/>
      <c r="ET10" s="501"/>
      <c r="EU10" s="501"/>
      <c r="EV10" s="501"/>
      <c r="EW10" s="495"/>
      <c r="EX10" s="496"/>
      <c r="EY10" s="497"/>
    </row>
    <row r="11" spans="1:159" s="161" customFormat="1" ht="109.5" customHeight="1">
      <c r="A11" s="501"/>
      <c r="B11" s="501"/>
      <c r="C11" s="498"/>
      <c r="D11" s="499"/>
      <c r="E11" s="511"/>
      <c r="F11" s="498"/>
      <c r="G11" s="499"/>
      <c r="H11" s="500"/>
      <c r="I11" s="498"/>
      <c r="J11" s="499"/>
      <c r="K11" s="500"/>
      <c r="L11" s="498"/>
      <c r="M11" s="499"/>
      <c r="N11" s="500"/>
      <c r="O11" s="498"/>
      <c r="P11" s="499"/>
      <c r="Q11" s="500"/>
      <c r="R11" s="498"/>
      <c r="S11" s="499"/>
      <c r="T11" s="500"/>
      <c r="U11" s="498"/>
      <c r="V11" s="499"/>
      <c r="W11" s="500"/>
      <c r="X11" s="498"/>
      <c r="Y11" s="499"/>
      <c r="Z11" s="500"/>
      <c r="AA11" s="498"/>
      <c r="AB11" s="499"/>
      <c r="AC11" s="500"/>
      <c r="AD11" s="498"/>
      <c r="AE11" s="499"/>
      <c r="AF11" s="500"/>
      <c r="AG11" s="501"/>
      <c r="AH11" s="501"/>
      <c r="AI11" s="501"/>
      <c r="AJ11" s="498"/>
      <c r="AK11" s="499"/>
      <c r="AL11" s="500"/>
      <c r="AM11" s="498"/>
      <c r="AN11" s="499"/>
      <c r="AO11" s="500"/>
      <c r="AP11" s="498"/>
      <c r="AQ11" s="499"/>
      <c r="AR11" s="500"/>
      <c r="AS11" s="498"/>
      <c r="AT11" s="499"/>
      <c r="AU11" s="500"/>
      <c r="AV11" s="498"/>
      <c r="AW11" s="499"/>
      <c r="AX11" s="500"/>
      <c r="AY11" s="498"/>
      <c r="AZ11" s="499"/>
      <c r="BA11" s="500"/>
      <c r="BB11" s="498"/>
      <c r="BC11" s="499"/>
      <c r="BD11" s="500"/>
      <c r="BE11" s="498"/>
      <c r="BF11" s="499"/>
      <c r="BG11" s="500"/>
      <c r="BH11" s="498"/>
      <c r="BI11" s="499"/>
      <c r="BJ11" s="500"/>
      <c r="BK11" s="498"/>
      <c r="BL11" s="499"/>
      <c r="BM11" s="500"/>
      <c r="BN11" s="498"/>
      <c r="BO11" s="499"/>
      <c r="BP11" s="500"/>
      <c r="BQ11" s="498"/>
      <c r="BR11" s="499"/>
      <c r="BS11" s="500"/>
      <c r="BT11" s="498"/>
      <c r="BU11" s="499"/>
      <c r="BV11" s="500"/>
      <c r="BW11" s="498"/>
      <c r="BX11" s="499"/>
      <c r="BY11" s="499"/>
      <c r="BZ11" s="501"/>
      <c r="CA11" s="501"/>
      <c r="CB11" s="501"/>
      <c r="CC11" s="498"/>
      <c r="CD11" s="499"/>
      <c r="CE11" s="500"/>
      <c r="CF11" s="498"/>
      <c r="CG11" s="499"/>
      <c r="CH11" s="500"/>
      <c r="CI11" s="498"/>
      <c r="CJ11" s="499"/>
      <c r="CK11" s="500"/>
      <c r="CL11" s="498"/>
      <c r="CM11" s="499"/>
      <c r="CN11" s="500"/>
      <c r="CO11" s="498"/>
      <c r="CP11" s="499"/>
      <c r="CQ11" s="500"/>
      <c r="CR11" s="498"/>
      <c r="CS11" s="499"/>
      <c r="CT11" s="500"/>
      <c r="CU11" s="498"/>
      <c r="CV11" s="499"/>
      <c r="CW11" s="500"/>
      <c r="CX11" s="498"/>
      <c r="CY11" s="499"/>
      <c r="CZ11" s="500"/>
      <c r="DA11" s="498"/>
      <c r="DB11" s="499"/>
      <c r="DC11" s="500"/>
      <c r="DD11" s="501"/>
      <c r="DE11" s="501"/>
      <c r="DF11" s="501"/>
      <c r="DG11" s="498"/>
      <c r="DH11" s="499"/>
      <c r="DI11" s="500"/>
      <c r="DJ11" s="518"/>
      <c r="DK11" s="519"/>
      <c r="DL11" s="520"/>
      <c r="DM11" s="518" t="s">
        <v>169</v>
      </c>
      <c r="DN11" s="519"/>
      <c r="DO11" s="520"/>
      <c r="DP11" s="515" t="s">
        <v>170</v>
      </c>
      <c r="DQ11" s="516"/>
      <c r="DR11" s="517"/>
      <c r="DS11" s="518" t="s">
        <v>171</v>
      </c>
      <c r="DT11" s="519"/>
      <c r="DU11" s="520"/>
      <c r="DV11" s="518" t="s">
        <v>239</v>
      </c>
      <c r="DW11" s="519"/>
      <c r="DX11" s="520"/>
      <c r="DY11" s="518"/>
      <c r="DZ11" s="519"/>
      <c r="EA11" s="520"/>
      <c r="EB11" s="518"/>
      <c r="EC11" s="519"/>
      <c r="ED11" s="520"/>
      <c r="EE11" s="518"/>
      <c r="EF11" s="519"/>
      <c r="EG11" s="520"/>
      <c r="EH11" s="518"/>
      <c r="EI11" s="519"/>
      <c r="EJ11" s="520"/>
      <c r="EK11" s="498"/>
      <c r="EL11" s="499"/>
      <c r="EM11" s="500"/>
      <c r="EN11" s="498"/>
      <c r="EO11" s="499"/>
      <c r="EP11" s="500"/>
      <c r="EQ11" s="498"/>
      <c r="ER11" s="499"/>
      <c r="ES11" s="500"/>
      <c r="ET11" s="501"/>
      <c r="EU11" s="501"/>
      <c r="EV11" s="501"/>
      <c r="EW11" s="498"/>
      <c r="EX11" s="499"/>
      <c r="EY11" s="500"/>
      <c r="FA11" s="162"/>
      <c r="FB11" s="162"/>
      <c r="FC11" s="162"/>
    </row>
    <row r="12" spans="1:159" s="161" customFormat="1" ht="42.75" customHeight="1">
      <c r="A12" s="501"/>
      <c r="B12" s="501"/>
      <c r="C12" s="296" t="s">
        <v>172</v>
      </c>
      <c r="D12" s="297" t="s">
        <v>173</v>
      </c>
      <c r="E12" s="296" t="s">
        <v>174</v>
      </c>
      <c r="F12" s="296" t="s">
        <v>172</v>
      </c>
      <c r="G12" s="296" t="s">
        <v>173</v>
      </c>
      <c r="H12" s="296" t="s">
        <v>174</v>
      </c>
      <c r="I12" s="296" t="s">
        <v>172</v>
      </c>
      <c r="J12" s="296" t="s">
        <v>173</v>
      </c>
      <c r="K12" s="296" t="s">
        <v>174</v>
      </c>
      <c r="L12" s="296" t="s">
        <v>172</v>
      </c>
      <c r="M12" s="296" t="s">
        <v>173</v>
      </c>
      <c r="N12" s="296" t="s">
        <v>174</v>
      </c>
      <c r="O12" s="296" t="s">
        <v>172</v>
      </c>
      <c r="P12" s="296" t="s">
        <v>173</v>
      </c>
      <c r="Q12" s="296" t="s">
        <v>174</v>
      </c>
      <c r="R12" s="296" t="s">
        <v>172</v>
      </c>
      <c r="S12" s="296" t="s">
        <v>173</v>
      </c>
      <c r="T12" s="296" t="s">
        <v>174</v>
      </c>
      <c r="U12" s="296" t="s">
        <v>172</v>
      </c>
      <c r="V12" s="296" t="s">
        <v>173</v>
      </c>
      <c r="W12" s="296" t="s">
        <v>174</v>
      </c>
      <c r="X12" s="296" t="s">
        <v>172</v>
      </c>
      <c r="Y12" s="296" t="s">
        <v>173</v>
      </c>
      <c r="Z12" s="296" t="s">
        <v>174</v>
      </c>
      <c r="AA12" s="296" t="s">
        <v>172</v>
      </c>
      <c r="AB12" s="296" t="s">
        <v>173</v>
      </c>
      <c r="AC12" s="296" t="s">
        <v>174</v>
      </c>
      <c r="AD12" s="296" t="s">
        <v>172</v>
      </c>
      <c r="AE12" s="296" t="s">
        <v>173</v>
      </c>
      <c r="AF12" s="296" t="s">
        <v>174</v>
      </c>
      <c r="AG12" s="296" t="s">
        <v>172</v>
      </c>
      <c r="AH12" s="296" t="s">
        <v>173</v>
      </c>
      <c r="AI12" s="296" t="s">
        <v>174</v>
      </c>
      <c r="AJ12" s="296" t="s">
        <v>172</v>
      </c>
      <c r="AK12" s="296" t="s">
        <v>173</v>
      </c>
      <c r="AL12" s="296" t="s">
        <v>174</v>
      </c>
      <c r="AM12" s="296" t="s">
        <v>172</v>
      </c>
      <c r="AN12" s="296" t="s">
        <v>173</v>
      </c>
      <c r="AO12" s="296" t="s">
        <v>174</v>
      </c>
      <c r="AP12" s="296" t="s">
        <v>172</v>
      </c>
      <c r="AQ12" s="296" t="s">
        <v>173</v>
      </c>
      <c r="AR12" s="296" t="s">
        <v>174</v>
      </c>
      <c r="AS12" s="296" t="s">
        <v>172</v>
      </c>
      <c r="AT12" s="296" t="s">
        <v>173</v>
      </c>
      <c r="AU12" s="296" t="s">
        <v>174</v>
      </c>
      <c r="AV12" s="296" t="s">
        <v>172</v>
      </c>
      <c r="AW12" s="296" t="s">
        <v>173</v>
      </c>
      <c r="AX12" s="296" t="s">
        <v>174</v>
      </c>
      <c r="AY12" s="296" t="s">
        <v>172</v>
      </c>
      <c r="AZ12" s="296" t="s">
        <v>173</v>
      </c>
      <c r="BA12" s="296" t="s">
        <v>174</v>
      </c>
      <c r="BB12" s="296"/>
      <c r="BC12" s="296"/>
      <c r="BD12" s="296"/>
      <c r="BE12" s="296" t="s">
        <v>175</v>
      </c>
      <c r="BF12" s="296" t="s">
        <v>173</v>
      </c>
      <c r="BG12" s="296" t="s">
        <v>174</v>
      </c>
      <c r="BH12" s="296" t="s">
        <v>172</v>
      </c>
      <c r="BI12" s="296" t="s">
        <v>173</v>
      </c>
      <c r="BJ12" s="296" t="s">
        <v>174</v>
      </c>
      <c r="BK12" s="296" t="s">
        <v>172</v>
      </c>
      <c r="BL12" s="296" t="s">
        <v>173</v>
      </c>
      <c r="BM12" s="296" t="s">
        <v>174</v>
      </c>
      <c r="BN12" s="296" t="s">
        <v>175</v>
      </c>
      <c r="BO12" s="296" t="s">
        <v>173</v>
      </c>
      <c r="BP12" s="296" t="s">
        <v>174</v>
      </c>
      <c r="BQ12" s="296" t="s">
        <v>175</v>
      </c>
      <c r="BR12" s="296" t="s">
        <v>173</v>
      </c>
      <c r="BS12" s="296" t="s">
        <v>174</v>
      </c>
      <c r="BT12" s="296" t="s">
        <v>175</v>
      </c>
      <c r="BU12" s="296" t="s">
        <v>173</v>
      </c>
      <c r="BV12" s="296" t="s">
        <v>174</v>
      </c>
      <c r="BW12" s="296" t="s">
        <v>175</v>
      </c>
      <c r="BX12" s="296" t="s">
        <v>173</v>
      </c>
      <c r="BY12" s="296" t="s">
        <v>174</v>
      </c>
      <c r="BZ12" s="296" t="s">
        <v>172</v>
      </c>
      <c r="CA12" s="296" t="s">
        <v>173</v>
      </c>
      <c r="CB12" s="296" t="s">
        <v>174</v>
      </c>
      <c r="CC12" s="296" t="s">
        <v>172</v>
      </c>
      <c r="CD12" s="296" t="s">
        <v>173</v>
      </c>
      <c r="CE12" s="296" t="s">
        <v>174</v>
      </c>
      <c r="CF12" s="296" t="s">
        <v>172</v>
      </c>
      <c r="CG12" s="296" t="s">
        <v>173</v>
      </c>
      <c r="CH12" s="296" t="s">
        <v>174</v>
      </c>
      <c r="CI12" s="296" t="s">
        <v>172</v>
      </c>
      <c r="CJ12" s="296" t="s">
        <v>173</v>
      </c>
      <c r="CK12" s="296" t="s">
        <v>174</v>
      </c>
      <c r="CL12" s="296" t="s">
        <v>172</v>
      </c>
      <c r="CM12" s="296" t="s">
        <v>173</v>
      </c>
      <c r="CN12" s="296" t="s">
        <v>174</v>
      </c>
      <c r="CO12" s="296" t="s">
        <v>172</v>
      </c>
      <c r="CP12" s="296" t="s">
        <v>173</v>
      </c>
      <c r="CQ12" s="296" t="s">
        <v>174</v>
      </c>
      <c r="CR12" s="296" t="s">
        <v>172</v>
      </c>
      <c r="CS12" s="296" t="s">
        <v>173</v>
      </c>
      <c r="CT12" s="296" t="s">
        <v>174</v>
      </c>
      <c r="CU12" s="296" t="s">
        <v>172</v>
      </c>
      <c r="CV12" s="296" t="s">
        <v>173</v>
      </c>
      <c r="CW12" s="296" t="s">
        <v>174</v>
      </c>
      <c r="CX12" s="296" t="s">
        <v>172</v>
      </c>
      <c r="CY12" s="296" t="s">
        <v>173</v>
      </c>
      <c r="CZ12" s="296" t="s">
        <v>174</v>
      </c>
      <c r="DA12" s="296" t="s">
        <v>172</v>
      </c>
      <c r="DB12" s="296" t="s">
        <v>173</v>
      </c>
      <c r="DC12" s="296" t="s">
        <v>174</v>
      </c>
      <c r="DD12" s="296" t="s">
        <v>172</v>
      </c>
      <c r="DE12" s="296" t="s">
        <v>173</v>
      </c>
      <c r="DF12" s="296" t="s">
        <v>174</v>
      </c>
      <c r="DG12" s="296" t="s">
        <v>172</v>
      </c>
      <c r="DH12" s="296" t="s">
        <v>173</v>
      </c>
      <c r="DI12" s="296" t="s">
        <v>174</v>
      </c>
      <c r="DJ12" s="296" t="s">
        <v>172</v>
      </c>
      <c r="DK12" s="296" t="s">
        <v>173</v>
      </c>
      <c r="DL12" s="296" t="s">
        <v>174</v>
      </c>
      <c r="DM12" s="296" t="s">
        <v>172</v>
      </c>
      <c r="DN12" s="296" t="s">
        <v>173</v>
      </c>
      <c r="DO12" s="296" t="s">
        <v>174</v>
      </c>
      <c r="DP12" s="296" t="s">
        <v>172</v>
      </c>
      <c r="DQ12" s="296" t="s">
        <v>173</v>
      </c>
      <c r="DR12" s="296" t="s">
        <v>174</v>
      </c>
      <c r="DS12" s="296" t="s">
        <v>172</v>
      </c>
      <c r="DT12" s="296" t="s">
        <v>173</v>
      </c>
      <c r="DU12" s="296" t="s">
        <v>174</v>
      </c>
      <c r="DV12" s="296" t="s">
        <v>172</v>
      </c>
      <c r="DW12" s="296" t="s">
        <v>173</v>
      </c>
      <c r="DX12" s="296" t="s">
        <v>174</v>
      </c>
      <c r="DY12" s="296" t="s">
        <v>172</v>
      </c>
      <c r="DZ12" s="296" t="s">
        <v>173</v>
      </c>
      <c r="EA12" s="296" t="s">
        <v>174</v>
      </c>
      <c r="EB12" s="296" t="s">
        <v>172</v>
      </c>
      <c r="EC12" s="296" t="s">
        <v>173</v>
      </c>
      <c r="ED12" s="296" t="s">
        <v>174</v>
      </c>
      <c r="EE12" s="296" t="s">
        <v>172</v>
      </c>
      <c r="EF12" s="296" t="s">
        <v>173</v>
      </c>
      <c r="EG12" s="296" t="s">
        <v>174</v>
      </c>
      <c r="EH12" s="296" t="s">
        <v>172</v>
      </c>
      <c r="EI12" s="296" t="s">
        <v>173</v>
      </c>
      <c r="EJ12" s="296" t="s">
        <v>174</v>
      </c>
      <c r="EK12" s="296" t="s">
        <v>172</v>
      </c>
      <c r="EL12" s="296" t="s">
        <v>173</v>
      </c>
      <c r="EM12" s="296" t="s">
        <v>174</v>
      </c>
      <c r="EN12" s="296" t="s">
        <v>172</v>
      </c>
      <c r="EO12" s="296" t="s">
        <v>173</v>
      </c>
      <c r="EP12" s="296" t="s">
        <v>174</v>
      </c>
      <c r="EQ12" s="296" t="s">
        <v>172</v>
      </c>
      <c r="ER12" s="296" t="s">
        <v>173</v>
      </c>
      <c r="ES12" s="296" t="s">
        <v>174</v>
      </c>
      <c r="ET12" s="296" t="s">
        <v>172</v>
      </c>
      <c r="EU12" s="296" t="s">
        <v>173</v>
      </c>
      <c r="EV12" s="296" t="s">
        <v>174</v>
      </c>
      <c r="EW12" s="296" t="s">
        <v>172</v>
      </c>
      <c r="EX12" s="296" t="s">
        <v>173</v>
      </c>
      <c r="EY12" s="296" t="s">
        <v>174</v>
      </c>
      <c r="FA12" s="162"/>
      <c r="FB12" s="162"/>
      <c r="FC12" s="162"/>
    </row>
    <row r="13" spans="1:159" s="161" customFormat="1" ht="24" customHeight="1">
      <c r="A13" s="298">
        <v>1</v>
      </c>
      <c r="B13" s="296">
        <v>2</v>
      </c>
      <c r="C13" s="298">
        <v>3</v>
      </c>
      <c r="D13" s="297">
        <v>4</v>
      </c>
      <c r="E13" s="298">
        <v>5</v>
      </c>
      <c r="F13" s="296">
        <v>6</v>
      </c>
      <c r="G13" s="298">
        <v>7</v>
      </c>
      <c r="H13" s="296">
        <v>8</v>
      </c>
      <c r="I13" s="298">
        <v>9</v>
      </c>
      <c r="J13" s="296">
        <v>10</v>
      </c>
      <c r="K13" s="298">
        <v>11</v>
      </c>
      <c r="L13" s="298">
        <v>12</v>
      </c>
      <c r="M13" s="298">
        <v>13</v>
      </c>
      <c r="N13" s="298">
        <v>14</v>
      </c>
      <c r="O13" s="298">
        <v>15</v>
      </c>
      <c r="P13" s="298">
        <v>16</v>
      </c>
      <c r="Q13" s="298">
        <v>17</v>
      </c>
      <c r="R13" s="298">
        <v>18</v>
      </c>
      <c r="S13" s="298">
        <v>19</v>
      </c>
      <c r="T13" s="298">
        <v>20</v>
      </c>
      <c r="U13" s="298">
        <v>21</v>
      </c>
      <c r="V13" s="298">
        <v>22</v>
      </c>
      <c r="W13" s="298">
        <v>23</v>
      </c>
      <c r="X13" s="296">
        <v>24</v>
      </c>
      <c r="Y13" s="298">
        <v>25</v>
      </c>
      <c r="Z13" s="296">
        <v>26</v>
      </c>
      <c r="AA13" s="298">
        <v>27</v>
      </c>
      <c r="AB13" s="296">
        <v>28</v>
      </c>
      <c r="AC13" s="298">
        <v>29</v>
      </c>
      <c r="AD13" s="296">
        <v>30</v>
      </c>
      <c r="AE13" s="298">
        <v>31</v>
      </c>
      <c r="AF13" s="296">
        <v>32</v>
      </c>
      <c r="AG13" s="298">
        <v>33</v>
      </c>
      <c r="AH13" s="296">
        <v>34</v>
      </c>
      <c r="AI13" s="298">
        <v>35</v>
      </c>
      <c r="AJ13" s="298">
        <v>36</v>
      </c>
      <c r="AK13" s="298">
        <v>37</v>
      </c>
      <c r="AL13" s="298">
        <v>38</v>
      </c>
      <c r="AM13" s="296">
        <v>39</v>
      </c>
      <c r="AN13" s="298">
        <v>40</v>
      </c>
      <c r="AO13" s="296">
        <v>41</v>
      </c>
      <c r="AP13" s="298">
        <v>42</v>
      </c>
      <c r="AQ13" s="296">
        <v>43</v>
      </c>
      <c r="AR13" s="298">
        <v>44</v>
      </c>
      <c r="AS13" s="298">
        <v>45</v>
      </c>
      <c r="AT13" s="296">
        <v>46</v>
      </c>
      <c r="AU13" s="298">
        <v>47</v>
      </c>
      <c r="AV13" s="298">
        <v>48</v>
      </c>
      <c r="AW13" s="296">
        <v>49</v>
      </c>
      <c r="AX13" s="298">
        <v>50</v>
      </c>
      <c r="AY13" s="298">
        <v>48</v>
      </c>
      <c r="AZ13" s="296">
        <v>49</v>
      </c>
      <c r="BA13" s="298">
        <v>50</v>
      </c>
      <c r="BB13" s="298">
        <v>51</v>
      </c>
      <c r="BC13" s="298">
        <v>52</v>
      </c>
      <c r="BD13" s="298">
        <v>56</v>
      </c>
      <c r="BE13" s="296">
        <v>51</v>
      </c>
      <c r="BF13" s="298">
        <v>52</v>
      </c>
      <c r="BG13" s="296">
        <v>53</v>
      </c>
      <c r="BH13" s="298">
        <v>60</v>
      </c>
      <c r="BI13" s="299">
        <v>61</v>
      </c>
      <c r="BJ13" s="300">
        <v>62</v>
      </c>
      <c r="BK13" s="298">
        <v>63</v>
      </c>
      <c r="BL13" s="298">
        <v>64</v>
      </c>
      <c r="BM13" s="298">
        <v>65</v>
      </c>
      <c r="BN13" s="298">
        <v>66</v>
      </c>
      <c r="BO13" s="298">
        <v>67</v>
      </c>
      <c r="BP13" s="298">
        <v>68</v>
      </c>
      <c r="BQ13" s="296">
        <v>54</v>
      </c>
      <c r="BR13" s="298">
        <v>55</v>
      </c>
      <c r="BS13" s="296">
        <v>56</v>
      </c>
      <c r="BT13" s="298">
        <v>72</v>
      </c>
      <c r="BU13" s="296">
        <v>73</v>
      </c>
      <c r="BV13" s="298">
        <v>74</v>
      </c>
      <c r="BW13" s="296">
        <v>75</v>
      </c>
      <c r="BX13" s="298">
        <v>76</v>
      </c>
      <c r="BY13" s="296">
        <v>77</v>
      </c>
      <c r="BZ13" s="298">
        <v>57</v>
      </c>
      <c r="CA13" s="296">
        <v>58</v>
      </c>
      <c r="CB13" s="298">
        <v>59</v>
      </c>
      <c r="CC13" s="296">
        <v>60</v>
      </c>
      <c r="CD13" s="298">
        <v>61</v>
      </c>
      <c r="CE13" s="296">
        <v>62</v>
      </c>
      <c r="CF13" s="298">
        <v>63</v>
      </c>
      <c r="CG13" s="296">
        <v>64</v>
      </c>
      <c r="CH13" s="298">
        <v>65</v>
      </c>
      <c r="CI13" s="296">
        <v>66</v>
      </c>
      <c r="CJ13" s="298">
        <v>67</v>
      </c>
      <c r="CK13" s="296">
        <v>68</v>
      </c>
      <c r="CL13" s="298">
        <v>69</v>
      </c>
      <c r="CM13" s="296">
        <v>70</v>
      </c>
      <c r="CN13" s="298">
        <v>71</v>
      </c>
      <c r="CO13" s="298">
        <v>72</v>
      </c>
      <c r="CP13" s="298">
        <v>73</v>
      </c>
      <c r="CQ13" s="298">
        <v>74</v>
      </c>
      <c r="CR13" s="298">
        <v>75</v>
      </c>
      <c r="CS13" s="298">
        <v>76</v>
      </c>
      <c r="CT13" s="298">
        <v>77</v>
      </c>
      <c r="CU13" s="298">
        <v>78</v>
      </c>
      <c r="CV13" s="298">
        <v>79</v>
      </c>
      <c r="CW13" s="298">
        <v>80</v>
      </c>
      <c r="CX13" s="296">
        <v>96</v>
      </c>
      <c r="CY13" s="298">
        <v>97</v>
      </c>
      <c r="CZ13" s="296">
        <v>98</v>
      </c>
      <c r="DA13" s="296">
        <v>99</v>
      </c>
      <c r="DB13" s="296">
        <v>100</v>
      </c>
      <c r="DC13" s="296">
        <v>101</v>
      </c>
      <c r="DD13" s="296">
        <v>102</v>
      </c>
      <c r="DE13" s="296">
        <v>103</v>
      </c>
      <c r="DF13" s="296">
        <v>104</v>
      </c>
      <c r="DG13" s="298">
        <v>81</v>
      </c>
      <c r="DH13" s="296">
        <v>82</v>
      </c>
      <c r="DI13" s="298">
        <v>83</v>
      </c>
      <c r="DJ13" s="296">
        <v>84</v>
      </c>
      <c r="DK13" s="298">
        <v>85</v>
      </c>
      <c r="DL13" s="296">
        <v>86</v>
      </c>
      <c r="DM13" s="298">
        <v>87</v>
      </c>
      <c r="DN13" s="296">
        <v>88</v>
      </c>
      <c r="DO13" s="298">
        <v>89</v>
      </c>
      <c r="DP13" s="296">
        <v>90</v>
      </c>
      <c r="DQ13" s="298">
        <v>91</v>
      </c>
      <c r="DR13" s="296">
        <v>92</v>
      </c>
      <c r="DS13" s="298">
        <v>93</v>
      </c>
      <c r="DT13" s="296">
        <v>94</v>
      </c>
      <c r="DU13" s="298">
        <v>95</v>
      </c>
      <c r="DV13" s="296">
        <v>96</v>
      </c>
      <c r="DW13" s="296">
        <v>97</v>
      </c>
      <c r="DX13" s="296">
        <v>98</v>
      </c>
      <c r="DY13" s="298">
        <v>99</v>
      </c>
      <c r="DZ13" s="296">
        <v>100</v>
      </c>
      <c r="EA13" s="298">
        <v>101</v>
      </c>
      <c r="EB13" s="296">
        <v>102</v>
      </c>
      <c r="EC13" s="298">
        <v>103</v>
      </c>
      <c r="ED13" s="296">
        <v>104</v>
      </c>
      <c r="EE13" s="298">
        <v>105</v>
      </c>
      <c r="EF13" s="296">
        <v>106</v>
      </c>
      <c r="EG13" s="298">
        <v>107</v>
      </c>
      <c r="EH13" s="296">
        <v>108</v>
      </c>
      <c r="EI13" s="298">
        <v>109</v>
      </c>
      <c r="EJ13" s="296">
        <v>110</v>
      </c>
      <c r="EK13" s="298">
        <v>111</v>
      </c>
      <c r="EL13" s="296">
        <v>112</v>
      </c>
      <c r="EM13" s="298">
        <v>113</v>
      </c>
      <c r="EN13" s="296">
        <v>114</v>
      </c>
      <c r="EO13" s="298">
        <v>115</v>
      </c>
      <c r="EP13" s="296">
        <v>116</v>
      </c>
      <c r="EQ13" s="298">
        <v>117</v>
      </c>
      <c r="ER13" s="296">
        <v>118</v>
      </c>
      <c r="ES13" s="298">
        <v>119</v>
      </c>
      <c r="ET13" s="296">
        <v>120</v>
      </c>
      <c r="EU13" s="298">
        <v>121</v>
      </c>
      <c r="EV13" s="296">
        <v>122</v>
      </c>
      <c r="EW13" s="298">
        <v>123</v>
      </c>
      <c r="EX13" s="296">
        <v>124</v>
      </c>
      <c r="EY13" s="298">
        <v>125</v>
      </c>
    </row>
    <row r="14" spans="1:159" s="161" customFormat="1" ht="25.5" customHeight="1">
      <c r="A14" s="346">
        <v>1</v>
      </c>
      <c r="B14" s="347" t="s">
        <v>290</v>
      </c>
      <c r="C14" s="301">
        <f>F14+BZ14</f>
        <v>3015.0029999999997</v>
      </c>
      <c r="D14" s="302">
        <f t="shared" ref="D14:D29" si="0">G14+CA14+CY14</f>
        <v>199.8793</v>
      </c>
      <c r="E14" s="303">
        <f t="shared" ref="E14:E29" si="1">D14/C14*100</f>
        <v>6.6294892575562949</v>
      </c>
      <c r="F14" s="304">
        <f t="shared" ref="F14" si="2">I14+X14+AA14+AD14+AG14+AM14+AS14+BE14+BQ14+BN14+AJ14+AY14+L14+R14+O14+U14+AP14</f>
        <v>639.72</v>
      </c>
      <c r="G14" s="304">
        <f t="shared" ref="G14:G29" si="3">J14+Y14+AB14+AE14+AH14+AN14+AT14+BF14+AK14+BR14+BO14+AZ14+M14+S14+P14+V14+AQ14</f>
        <v>32.802799999999998</v>
      </c>
      <c r="H14" s="303">
        <f>G14/F14*100</f>
        <v>5.1276808603764144</v>
      </c>
      <c r="I14" s="305">
        <f>Але!C6</f>
        <v>62.67</v>
      </c>
      <c r="J14" s="455">
        <f>Але!D6</f>
        <v>8.8133300000000006</v>
      </c>
      <c r="K14" s="303">
        <f>J14/I14*100</f>
        <v>14.063076432104676</v>
      </c>
      <c r="L14" s="303">
        <f>Але!C8</f>
        <v>93.16</v>
      </c>
      <c r="M14" s="303">
        <f>Але!D8</f>
        <v>9.6852900000000002</v>
      </c>
      <c r="N14" s="303">
        <f>M14/L14*100</f>
        <v>10.396404036066983</v>
      </c>
      <c r="O14" s="303">
        <f>Але!C9</f>
        <v>1</v>
      </c>
      <c r="P14" s="303">
        <f>Але!D9</f>
        <v>5.7099999999999998E-2</v>
      </c>
      <c r="Q14" s="303">
        <f>P14/O14*100</f>
        <v>5.71</v>
      </c>
      <c r="R14" s="303">
        <f>Але!C10</f>
        <v>155.59</v>
      </c>
      <c r="S14" s="303">
        <f>Але!D10</f>
        <v>12.99539</v>
      </c>
      <c r="T14" s="303">
        <f>S14/R14*100</f>
        <v>8.3523298412494373</v>
      </c>
      <c r="U14" s="303">
        <f>Але!C11</f>
        <v>0</v>
      </c>
      <c r="V14" s="307">
        <f>Але!D11</f>
        <v>-1.65055</v>
      </c>
      <c r="W14" s="303" t="e">
        <f>V14/U14*100</f>
        <v>#DIV/0!</v>
      </c>
      <c r="X14" s="308">
        <f>Але!C13</f>
        <v>25</v>
      </c>
      <c r="Y14" s="454">
        <f>Але!D13</f>
        <v>0</v>
      </c>
      <c r="Z14" s="303">
        <f>Y14/X14*100</f>
        <v>0</v>
      </c>
      <c r="AA14" s="308">
        <f>Але!C15</f>
        <v>50</v>
      </c>
      <c r="AB14" s="309">
        <f>Але!D15</f>
        <v>0.31758999999999998</v>
      </c>
      <c r="AC14" s="303">
        <f>AB14/AA14*100</f>
        <v>0.63517999999999997</v>
      </c>
      <c r="AD14" s="308">
        <f>Але!C16</f>
        <v>195</v>
      </c>
      <c r="AE14" s="308">
        <f>Але!D16</f>
        <v>2.5846499999999999</v>
      </c>
      <c r="AF14" s="303">
        <f t="shared" ref="AF14:AF29" si="4">AE14/AD14*100</f>
        <v>1.3254615384615385</v>
      </c>
      <c r="AG14" s="303">
        <f>Але!C18</f>
        <v>3</v>
      </c>
      <c r="AH14" s="303">
        <f>Але!D18</f>
        <v>0</v>
      </c>
      <c r="AI14" s="303">
        <f>AH14/AG14*100</f>
        <v>0</v>
      </c>
      <c r="AJ14" s="303"/>
      <c r="AK14" s="303"/>
      <c r="AL14" s="310" t="e">
        <f t="shared" ref="AL14:AL23" si="5">AK14/AJ14*100</f>
        <v>#DIV/0!</v>
      </c>
      <c r="AM14" s="308">
        <v>0</v>
      </c>
      <c r="AN14" s="308">
        <v>0</v>
      </c>
      <c r="AO14" s="310" t="e">
        <f t="shared" ref="AO14:AO29" si="6">AN14/AM14*100</f>
        <v>#DIV/0!</v>
      </c>
      <c r="AP14" s="308">
        <f>Але!C27</f>
        <v>54.3</v>
      </c>
      <c r="AQ14" s="311">
        <f>Але!D27</f>
        <v>0</v>
      </c>
      <c r="AR14" s="303">
        <f>AQ14/AP14*100</f>
        <v>0</v>
      </c>
      <c r="AS14" s="312">
        <f>Але!C28</f>
        <v>0</v>
      </c>
      <c r="AT14" s="311">
        <f>Але!D28</f>
        <v>0</v>
      </c>
      <c r="AU14" s="303" t="e">
        <f>AT14/AS14*100</f>
        <v>#DIV/0!</v>
      </c>
      <c r="AV14" s="308"/>
      <c r="AW14" s="308"/>
      <c r="AX14" s="303" t="e">
        <f>AW14/AV14*100</f>
        <v>#DIV/0!</v>
      </c>
      <c r="AY14" s="303">
        <f>Але!C29</f>
        <v>0</v>
      </c>
      <c r="AZ14" s="313">
        <f>Але!D29</f>
        <v>0</v>
      </c>
      <c r="BA14" s="303" t="e">
        <f>AZ14/AY14*100</f>
        <v>#DIV/0!</v>
      </c>
      <c r="BB14" s="303">
        <f>Але!C30</f>
        <v>0</v>
      </c>
      <c r="BC14" s="303">
        <f>Але!D30</f>
        <v>0</v>
      </c>
      <c r="BD14" s="303" t="e">
        <f>BC14/BB14*100</f>
        <v>#DIV/0!</v>
      </c>
      <c r="BE14" s="303">
        <f>Але!C32</f>
        <v>0</v>
      </c>
      <c r="BF14" s="303">
        <f>Але!D31</f>
        <v>0</v>
      </c>
      <c r="BG14" s="303" t="e">
        <f>BF14/BE14*100</f>
        <v>#DIV/0!</v>
      </c>
      <c r="BH14" s="303"/>
      <c r="BI14" s="303"/>
      <c r="BJ14" s="303" t="e">
        <f>BI14/BH14*100</f>
        <v>#DIV/0!</v>
      </c>
      <c r="BK14" s="303"/>
      <c r="BL14" s="303"/>
      <c r="BM14" s="303"/>
      <c r="BN14" s="303"/>
      <c r="BO14" s="314"/>
      <c r="BP14" s="303" t="e">
        <f>BO14/BN14*100</f>
        <v>#DIV/0!</v>
      </c>
      <c r="BQ14" s="303">
        <f>Але!C34</f>
        <v>0</v>
      </c>
      <c r="BR14" s="303">
        <f>Але!D35</f>
        <v>0</v>
      </c>
      <c r="BS14" s="303" t="e">
        <f>BR14/BQ14*100</f>
        <v>#DIV/0!</v>
      </c>
      <c r="BT14" s="303"/>
      <c r="BU14" s="303"/>
      <c r="BV14" s="315" t="e">
        <f>BT14/BU14*100</f>
        <v>#DIV/0!</v>
      </c>
      <c r="BW14" s="315"/>
      <c r="BX14" s="315"/>
      <c r="BY14" s="315" t="e">
        <f>BW14/BX14*100</f>
        <v>#DIV/0!</v>
      </c>
      <c r="BZ14" s="308">
        <f>CC14+CF14+CI14+CL14+CR14+CO14</f>
        <v>2375.2829999999999</v>
      </c>
      <c r="CA14" s="308">
        <f>CD14+CG14+CJ14+CM14+CS14+CP14+CV14</f>
        <v>167.07650000000001</v>
      </c>
      <c r="CB14" s="303">
        <f>CA14/BZ14*100</f>
        <v>7.0339618479145436</v>
      </c>
      <c r="CC14" s="310">
        <f>Але!C39</f>
        <v>1901.5</v>
      </c>
      <c r="CD14" s="310">
        <f>Але!D39</f>
        <v>158.46</v>
      </c>
      <c r="CE14" s="303">
        <f>CD14/CC14*100</f>
        <v>8.3334209834341308</v>
      </c>
      <c r="CF14" s="303">
        <f>Але!C40</f>
        <v>0</v>
      </c>
      <c r="CG14" s="467">
        <f>Але!D40</f>
        <v>0</v>
      </c>
      <c r="CH14" s="303" t="e">
        <f>CG14/CF14*100</f>
        <v>#DIV/0!</v>
      </c>
      <c r="CI14" s="303">
        <f>Але!C41</f>
        <v>366.14</v>
      </c>
      <c r="CJ14" s="303">
        <f>Але!D41</f>
        <v>0</v>
      </c>
      <c r="CK14" s="303">
        <f t="shared" ref="CK14:CK29" si="7">CJ14/CI14*100</f>
        <v>0</v>
      </c>
      <c r="CL14" s="303">
        <f>Але!C42</f>
        <v>107.643</v>
      </c>
      <c r="CM14" s="303">
        <f>Але!D42</f>
        <v>8.6165000000000003</v>
      </c>
      <c r="CN14" s="303">
        <f t="shared" ref="CN14:CN31" si="8">CM14/CL14*100</f>
        <v>8.0047007236884884</v>
      </c>
      <c r="CO14" s="303">
        <f>Але!C44</f>
        <v>0</v>
      </c>
      <c r="CP14" s="303">
        <f>Але!D44</f>
        <v>0</v>
      </c>
      <c r="CQ14" s="303" t="e">
        <f>CP14/CO14*100</f>
        <v>#DIV/0!</v>
      </c>
      <c r="CR14" s="307">
        <f>Але!C43</f>
        <v>0</v>
      </c>
      <c r="CS14" s="303">
        <f>Але!D43</f>
        <v>0</v>
      </c>
      <c r="CT14" s="303" t="e">
        <f t="shared" ref="CT14:CT31" si="9">CS14/CR14*100</f>
        <v>#DIV/0!</v>
      </c>
      <c r="CU14" s="303"/>
      <c r="CV14" s="303">
        <f>Але!D45</f>
        <v>0</v>
      </c>
      <c r="CW14" s="303" t="e">
        <f>CV13:CV14/CU14*100</f>
        <v>#DIV/0!</v>
      </c>
      <c r="CX14" s="308"/>
      <c r="CY14" s="308"/>
      <c r="CZ14" s="303" t="e">
        <f>CY14/CX14*100</f>
        <v>#DIV/0!</v>
      </c>
      <c r="DA14" s="303"/>
      <c r="DB14" s="303"/>
      <c r="DC14" s="303"/>
      <c r="DD14" s="303"/>
      <c r="DE14" s="303"/>
      <c r="DF14" s="303"/>
      <c r="DG14" s="312">
        <f>DJ14+DY14+EB14+EE14+EH14+EK14+EN14+EQ14+ET14</f>
        <v>3015.0030000000002</v>
      </c>
      <c r="DH14" s="312">
        <f>DK14+DZ14+EC14+EF14+EI14+EL14+EO14+ER14+EU14</f>
        <v>31.032920000000001</v>
      </c>
      <c r="DI14" s="303">
        <f>DH14/DG14*100</f>
        <v>1.02928322127706</v>
      </c>
      <c r="DJ14" s="308">
        <f>DM14+DP14+DS14+DV14</f>
        <v>1206.6660000000002</v>
      </c>
      <c r="DK14" s="308">
        <f>DN14+DQ14+DT14+DW14</f>
        <v>25.171230000000001</v>
      </c>
      <c r="DL14" s="303">
        <f>DK14/DJ14*100</f>
        <v>2.0860146884059052</v>
      </c>
      <c r="DM14" s="303">
        <f>Але!C54</f>
        <v>1154.4000000000001</v>
      </c>
      <c r="DN14" s="303">
        <f>Але!D54</f>
        <v>25.171230000000001</v>
      </c>
      <c r="DO14" s="303">
        <f>DN14/DM14*100</f>
        <v>2.1804599792099792</v>
      </c>
      <c r="DP14" s="303">
        <f>Але!C57</f>
        <v>0</v>
      </c>
      <c r="DQ14" s="303">
        <f>Але!D57</f>
        <v>0</v>
      </c>
      <c r="DR14" s="303" t="e">
        <f>DQ14/DP14*100</f>
        <v>#DIV/0!</v>
      </c>
      <c r="DS14" s="303">
        <f>Але!C58</f>
        <v>50</v>
      </c>
      <c r="DT14" s="303">
        <f>Але!D58</f>
        <v>0</v>
      </c>
      <c r="DU14" s="303">
        <f>DT14/DS14*100</f>
        <v>0</v>
      </c>
      <c r="DV14" s="303">
        <f>Але!C59</f>
        <v>2.266</v>
      </c>
      <c r="DW14" s="303">
        <f>Але!D59</f>
        <v>0</v>
      </c>
      <c r="DX14" s="303">
        <f>DW14/DV14*100</f>
        <v>0</v>
      </c>
      <c r="DY14" s="303">
        <f>Але!C61</f>
        <v>103.383</v>
      </c>
      <c r="DZ14" s="303">
        <f>Але!D61</f>
        <v>2</v>
      </c>
      <c r="EA14" s="303">
        <f>DZ14/DY14*100</f>
        <v>1.9345540369306369</v>
      </c>
      <c r="EB14" s="303">
        <f>Але!C62</f>
        <v>15</v>
      </c>
      <c r="EC14" s="303">
        <f>Але!D62</f>
        <v>0</v>
      </c>
      <c r="ED14" s="303">
        <f>EC14/EB14*100</f>
        <v>0</v>
      </c>
      <c r="EE14" s="308">
        <f>Але!C68</f>
        <v>692.15</v>
      </c>
      <c r="EF14" s="308">
        <f>Але!D68</f>
        <v>0</v>
      </c>
      <c r="EG14" s="303">
        <f>EF14/EE14*100</f>
        <v>0</v>
      </c>
      <c r="EH14" s="308">
        <f>Але!C73</f>
        <v>633.6</v>
      </c>
      <c r="EI14" s="308">
        <f>Але!D73</f>
        <v>3.8616899999999998</v>
      </c>
      <c r="EJ14" s="303">
        <f>EI14/EH14*100</f>
        <v>0.60948390151515153</v>
      </c>
      <c r="EK14" s="308">
        <f>Але!C77</f>
        <v>334.20400000000001</v>
      </c>
      <c r="EL14" s="316">
        <f>Але!D77</f>
        <v>0</v>
      </c>
      <c r="EM14" s="303">
        <f t="shared" ref="EM14:EM29" si="10">EL14/EK14*100</f>
        <v>0</v>
      </c>
      <c r="EN14" s="303">
        <f>Але!C79</f>
        <v>0</v>
      </c>
      <c r="EO14" s="303">
        <f>Але!D79</f>
        <v>0</v>
      </c>
      <c r="EP14" s="303" t="e">
        <f t="shared" ref="EP14:EP29" si="11">EO14/EN14*100</f>
        <v>#DIV/0!</v>
      </c>
      <c r="EQ14" s="304">
        <f>Але!C84</f>
        <v>30</v>
      </c>
      <c r="ER14" s="304">
        <f>Але!D84</f>
        <v>0</v>
      </c>
      <c r="ES14" s="303">
        <f>ER14/EQ14*100</f>
        <v>0</v>
      </c>
      <c r="ET14" s="303">
        <f>Але!C90</f>
        <v>0</v>
      </c>
      <c r="EU14" s="303">
        <f>Але!D90</f>
        <v>0</v>
      </c>
      <c r="EV14" s="303" t="e">
        <f>EU14/ET14*100</f>
        <v>#DIV/0!</v>
      </c>
      <c r="EW14" s="317">
        <f t="shared" ref="EW14:EW29" si="12">SUM(C14-DG14)</f>
        <v>-4.5474735088646412E-13</v>
      </c>
      <c r="EX14" s="317">
        <f t="shared" ref="EX14:EX29" si="13">SUM(D14-DH14)</f>
        <v>168.84638000000001</v>
      </c>
      <c r="EY14" s="303">
        <f>EX14/EW14*100%</f>
        <v>-371297116235770.12</v>
      </c>
      <c r="EZ14" s="163"/>
      <c r="FA14" s="164"/>
      <c r="FC14" s="164"/>
    </row>
    <row r="15" spans="1:159" s="165" customFormat="1" ht="22.5" customHeight="1">
      <c r="A15" s="346">
        <v>2</v>
      </c>
      <c r="B15" s="348" t="s">
        <v>291</v>
      </c>
      <c r="C15" s="301">
        <f t="shared" ref="C15:C29" si="14">F15+BZ15</f>
        <v>13307.498029999999</v>
      </c>
      <c r="D15" s="302">
        <f>G15+CA15+CY15</f>
        <v>667.94889000000001</v>
      </c>
      <c r="E15" s="310">
        <f t="shared" si="1"/>
        <v>5.0193423924932947</v>
      </c>
      <c r="F15" s="304">
        <f t="shared" ref="F15:F29" si="15">I15+X15+AA15+AD15+AG15+AM15+AS15+BE15+BQ15+BN15+AJ15+AY15+L15+R15+O15+U15+AP15</f>
        <v>3475.32</v>
      </c>
      <c r="G15" s="304">
        <f>J15+Y15+AB15+AE15+AH15+AN15+AT15+BF15+AK15+BR15+BO15+AZ15+M15+S15+P15+V15+AQ15</f>
        <v>147.67848999999998</v>
      </c>
      <c r="H15" s="310">
        <f t="shared" ref="H15:H29" si="16">G15/F15*100</f>
        <v>4.2493494124282067</v>
      </c>
      <c r="I15" s="318">
        <f>Сун!C6</f>
        <v>350.22</v>
      </c>
      <c r="J15" s="456">
        <f>Сун!D6</f>
        <v>19.637720000000002</v>
      </c>
      <c r="K15" s="310">
        <f t="shared" ref="K15:K29" si="17">J15/I15*100</f>
        <v>5.6072525840900012</v>
      </c>
      <c r="L15" s="310">
        <f>Сун!C8</f>
        <v>267.48</v>
      </c>
      <c r="M15" s="310">
        <f>Сун!D8</f>
        <v>27.809249999999999</v>
      </c>
      <c r="N15" s="303">
        <f t="shared" ref="N15:N29" si="18">M15/L15*100</f>
        <v>10.396758636159712</v>
      </c>
      <c r="O15" s="303">
        <f>Сун!C9</f>
        <v>2.87</v>
      </c>
      <c r="P15" s="303">
        <f>Сун!D9</f>
        <v>0.16391</v>
      </c>
      <c r="Q15" s="303">
        <f t="shared" ref="Q15:Q29" si="19">P15/O15*100</f>
        <v>5.7111498257839717</v>
      </c>
      <c r="R15" s="303">
        <f>Сун!C10</f>
        <v>446.75</v>
      </c>
      <c r="S15" s="303">
        <f>Сун!D10</f>
        <v>37.313519999999997</v>
      </c>
      <c r="T15" s="303">
        <f t="shared" ref="T15:T29" si="20">S15/R15*100</f>
        <v>8.3522148852825957</v>
      </c>
      <c r="U15" s="303">
        <f>Сун!C11</f>
        <v>0</v>
      </c>
      <c r="V15" s="307">
        <f>Сун!D11</f>
        <v>-4.7392000000000003</v>
      </c>
      <c r="W15" s="303" t="e">
        <f t="shared" ref="W15:W29" si="21">V15/U15*100</f>
        <v>#DIV/0!</v>
      </c>
      <c r="X15" s="318">
        <f>Сун!C13</f>
        <v>40</v>
      </c>
      <c r="Y15" s="318">
        <f>Сун!D13</f>
        <v>0</v>
      </c>
      <c r="Z15" s="310">
        <f t="shared" ref="Z15:Z29" si="22">Y15/X15*100</f>
        <v>0</v>
      </c>
      <c r="AA15" s="318">
        <f>Сун!C15</f>
        <v>943</v>
      </c>
      <c r="AB15" s="309">
        <f>Сун!D15</f>
        <v>5.2468199999999996</v>
      </c>
      <c r="AC15" s="310">
        <f t="shared" ref="AC15:AC29" si="23">AB15/AA15*100</f>
        <v>0.55639660657476142</v>
      </c>
      <c r="AD15" s="318">
        <f>Сун!C16</f>
        <v>1200</v>
      </c>
      <c r="AE15" s="318">
        <f>Сун!D16</f>
        <v>60.052619999999997</v>
      </c>
      <c r="AF15" s="310">
        <f t="shared" si="4"/>
        <v>5.0043850000000001</v>
      </c>
      <c r="AG15" s="310">
        <f>Сун!C18</f>
        <v>10</v>
      </c>
      <c r="AH15" s="310">
        <f>Сун!D18</f>
        <v>0.6</v>
      </c>
      <c r="AI15" s="310">
        <f t="shared" ref="AI15:AI31" si="24">AH15/AG15*100</f>
        <v>6</v>
      </c>
      <c r="AJ15" s="310"/>
      <c r="AK15" s="310"/>
      <c r="AL15" s="310" t="e">
        <f t="shared" si="5"/>
        <v>#DIV/0!</v>
      </c>
      <c r="AM15" s="318">
        <f>Сун!C27</f>
        <v>0</v>
      </c>
      <c r="AN15" s="318">
        <f>Сун!D27</f>
        <v>0</v>
      </c>
      <c r="AO15" s="310" t="e">
        <f t="shared" si="6"/>
        <v>#DIV/0!</v>
      </c>
      <c r="AP15" s="318">
        <f>Сун!C28</f>
        <v>165</v>
      </c>
      <c r="AQ15" s="319">
        <f>Сун!D28</f>
        <v>0</v>
      </c>
      <c r="AR15" s="310">
        <f t="shared" ref="AR15:AR29" si="25">AQ15/AP15*100</f>
        <v>0</v>
      </c>
      <c r="AS15" s="312">
        <f>Сун!C29</f>
        <v>50</v>
      </c>
      <c r="AT15" s="319">
        <f>Сун!D29</f>
        <v>4.1669999999999998</v>
      </c>
      <c r="AU15" s="310">
        <f t="shared" ref="AU15:AU29" si="26">AT15/AS15*100</f>
        <v>8.3339999999999996</v>
      </c>
      <c r="AV15" s="318"/>
      <c r="AW15" s="318"/>
      <c r="AX15" s="310" t="e">
        <f t="shared" ref="AX15:AX29" si="27">AW15/AV15*100</f>
        <v>#DIV/0!</v>
      </c>
      <c r="AY15" s="310">
        <f>Сун!C31</f>
        <v>0</v>
      </c>
      <c r="AZ15" s="313">
        <f>Сун!D31</f>
        <v>0</v>
      </c>
      <c r="BA15" s="310" t="e">
        <f t="shared" ref="BA15:BA31" si="28">AZ15/AY15*100</f>
        <v>#DIV/0!</v>
      </c>
      <c r="BB15" s="310"/>
      <c r="BC15" s="310"/>
      <c r="BD15" s="310"/>
      <c r="BE15" s="310">
        <f>Сун!C32</f>
        <v>0</v>
      </c>
      <c r="BF15" s="310">
        <f>Сун!D32</f>
        <v>0</v>
      </c>
      <c r="BG15" s="310" t="e">
        <f t="shared" ref="BG15:BG31" si="29">BF15/BE15*100</f>
        <v>#DIV/0!</v>
      </c>
      <c r="BH15" s="310"/>
      <c r="BI15" s="310"/>
      <c r="BJ15" s="310" t="e">
        <f t="shared" ref="BJ15:BJ29" si="30">BI15/BH15*100</f>
        <v>#DIV/0!</v>
      </c>
      <c r="BK15" s="310">
        <f>Сун!C35</f>
        <v>0</v>
      </c>
      <c r="BL15" s="310">
        <f>Сун!D35</f>
        <v>0</v>
      </c>
      <c r="BM15" s="310"/>
      <c r="BN15" s="310">
        <f>Сун!C35</f>
        <v>0</v>
      </c>
      <c r="BO15" s="310">
        <f>Сун!D35</f>
        <v>0</v>
      </c>
      <c r="BP15" s="303" t="e">
        <f t="shared" ref="BP15:BP29" si="31">BO15/BN15*100</f>
        <v>#DIV/0!</v>
      </c>
      <c r="BQ15" s="310">
        <f>Сун!C37</f>
        <v>0</v>
      </c>
      <c r="BR15" s="310">
        <f>Сун!D37</f>
        <v>-2.57315</v>
      </c>
      <c r="BS15" s="310" t="e">
        <f t="shared" ref="BS15:BS29" si="32">BR15/BQ15*100</f>
        <v>#DIV/0!</v>
      </c>
      <c r="BT15" s="310"/>
      <c r="BU15" s="310"/>
      <c r="BV15" s="320" t="e">
        <f t="shared" ref="BV15:BV29" si="33">BT15/BU15*100</f>
        <v>#DIV/0!</v>
      </c>
      <c r="BW15" s="320"/>
      <c r="BX15" s="320"/>
      <c r="BY15" s="320" t="e">
        <f t="shared" ref="BY15:BY29" si="34">BW15/BX15*100</f>
        <v>#DIV/0!</v>
      </c>
      <c r="BZ15" s="308">
        <f t="shared" ref="BZ15:BZ29" si="35">CC15+CF15+CI15+CL15+CR15+CO15</f>
        <v>9832.1780299999991</v>
      </c>
      <c r="CA15" s="308">
        <f t="shared" ref="CA15:CA29" si="36">CD15+CG15+CJ15+CM15+CS15+CP15+CV15</f>
        <v>520.2704</v>
      </c>
      <c r="CB15" s="310">
        <f>CA15/BZ15*100</f>
        <v>5.2915071148279447</v>
      </c>
      <c r="CC15" s="310">
        <f>Сун!C42</f>
        <v>6036.4</v>
      </c>
      <c r="CD15" s="310">
        <f>Сун!D42</f>
        <v>503.03699999999998</v>
      </c>
      <c r="CE15" s="310">
        <f t="shared" ref="CE15:CE29" si="37">CD15/CC15*100</f>
        <v>8.3333940759393013</v>
      </c>
      <c r="CF15" s="310">
        <f>Сун!C43</f>
        <v>0</v>
      </c>
      <c r="CG15" s="468">
        <f>Сун!D43</f>
        <v>0</v>
      </c>
      <c r="CH15" s="310" t="e">
        <f t="shared" ref="CH15:CH29" si="38">CG15/CF15*100</f>
        <v>#DIV/0!</v>
      </c>
      <c r="CI15" s="321">
        <f>Сун!C44</f>
        <v>3555.4910300000001</v>
      </c>
      <c r="CJ15" s="310">
        <f>Сун!D44</f>
        <v>0</v>
      </c>
      <c r="CK15" s="310">
        <f t="shared" si="7"/>
        <v>0</v>
      </c>
      <c r="CL15" s="310">
        <f>Сун!C46</f>
        <v>215.28700000000001</v>
      </c>
      <c r="CM15" s="310">
        <f>Сун!D46</f>
        <v>17.2334</v>
      </c>
      <c r="CN15" s="310">
        <f t="shared" si="8"/>
        <v>8.0048493406476009</v>
      </c>
      <c r="CO15" s="310">
        <f>Сун!C47</f>
        <v>25</v>
      </c>
      <c r="CP15" s="310">
        <f>Сун!D47</f>
        <v>0</v>
      </c>
      <c r="CQ15" s="303">
        <f t="shared" ref="CQ15:CQ29" si="39">CP15/CO15*100</f>
        <v>0</v>
      </c>
      <c r="CR15" s="322">
        <f>Сун!C48</f>
        <v>0</v>
      </c>
      <c r="CS15" s="310">
        <f>Сун!D48</f>
        <v>0</v>
      </c>
      <c r="CT15" s="310" t="e">
        <f t="shared" si="9"/>
        <v>#DIV/0!</v>
      </c>
      <c r="CU15" s="310"/>
      <c r="CV15" s="310"/>
      <c r="CW15" s="310"/>
      <c r="CX15" s="318"/>
      <c r="CY15" s="318"/>
      <c r="CZ15" s="310" t="e">
        <f t="shared" ref="CZ15:CZ29" si="40">CY15/CX15*100</f>
        <v>#DIV/0!</v>
      </c>
      <c r="DA15" s="310"/>
      <c r="DB15" s="310"/>
      <c r="DC15" s="310"/>
      <c r="DD15" s="310"/>
      <c r="DE15" s="310"/>
      <c r="DF15" s="310"/>
      <c r="DG15" s="312">
        <f>DJ15+DY15+EB15+EE15+EH15+EK15+EN15+EQ15+ET15</f>
        <v>13307.498029999999</v>
      </c>
      <c r="DH15" s="312">
        <f t="shared" ref="DG15:DH29" si="41">DK15+DZ15+EC15+EF15+EI15+EL15+EO15+ER15+EU15</f>
        <v>41</v>
      </c>
      <c r="DI15" s="310">
        <f t="shared" ref="DI15:DI29" si="42">DH15/DG15*100</f>
        <v>0.3080969834267186</v>
      </c>
      <c r="DJ15" s="318">
        <f>DM15+DP15+DS15+DV15</f>
        <v>2045.3389999999999</v>
      </c>
      <c r="DK15" s="318">
        <f t="shared" ref="DJ15:DK29" si="43">DN15+DQ15+DT15+DW15</f>
        <v>37</v>
      </c>
      <c r="DL15" s="310">
        <f t="shared" ref="DL15:DL29" si="44">DK15/DJ15*100</f>
        <v>1.8089910767848265</v>
      </c>
      <c r="DM15" s="310">
        <f>Сун!C59</f>
        <v>1939.6</v>
      </c>
      <c r="DN15" s="310">
        <f>Сун!D59</f>
        <v>37</v>
      </c>
      <c r="DO15" s="310">
        <f t="shared" ref="DO15:DO29" si="45">DN15/DM15*100</f>
        <v>1.9076098164570017</v>
      </c>
      <c r="DP15" s="310">
        <f>Сун!C62</f>
        <v>0</v>
      </c>
      <c r="DQ15" s="310">
        <f>Сун!D62</f>
        <v>0</v>
      </c>
      <c r="DR15" s="310" t="e">
        <f t="shared" ref="DR15:DR29" si="46">DQ15/DP15*100</f>
        <v>#DIV/0!</v>
      </c>
      <c r="DS15" s="310">
        <f>Сун!C63</f>
        <v>100</v>
      </c>
      <c r="DT15" s="310">
        <f>Сун!D63</f>
        <v>0</v>
      </c>
      <c r="DU15" s="310">
        <f t="shared" ref="DU15:DU29" si="47">DT15/DS15*100</f>
        <v>0</v>
      </c>
      <c r="DV15" s="310">
        <f>Сун!C64</f>
        <v>5.7389999999999999</v>
      </c>
      <c r="DW15" s="310">
        <f>Сун!D64</f>
        <v>0</v>
      </c>
      <c r="DX15" s="310">
        <f t="shared" ref="DX15:DX29" si="48">DW15/DV15*100</f>
        <v>0</v>
      </c>
      <c r="DY15" s="310">
        <f>Сун!C66</f>
        <v>206.767</v>
      </c>
      <c r="DZ15" s="310">
        <f>Сун!D66</f>
        <v>4</v>
      </c>
      <c r="EA15" s="310">
        <f t="shared" ref="EA15:EA31" si="49">DZ15/DY15*100</f>
        <v>1.9345446807275821</v>
      </c>
      <c r="EB15" s="310">
        <f>Сун!C67</f>
        <v>315</v>
      </c>
      <c r="EC15" s="310">
        <f>Сун!D67</f>
        <v>0</v>
      </c>
      <c r="ED15" s="310">
        <f t="shared" ref="ED15:ED31" si="50">EC15/EB15*100</f>
        <v>0</v>
      </c>
      <c r="EE15" s="318">
        <f>Сун!C73</f>
        <v>2118.9299999999998</v>
      </c>
      <c r="EF15" s="318">
        <f>Сун!D73</f>
        <v>0</v>
      </c>
      <c r="EG15" s="310">
        <f t="shared" ref="EG15:EG29" si="51">EF15/EE15*100</f>
        <v>0</v>
      </c>
      <c r="EH15" s="318">
        <f>Сун!C78</f>
        <v>5123.2620299999999</v>
      </c>
      <c r="EI15" s="318">
        <f>Сун!D78</f>
        <v>0</v>
      </c>
      <c r="EJ15" s="310">
        <f t="shared" ref="EJ15:EJ29" si="52">EI15/EH15*100</f>
        <v>0</v>
      </c>
      <c r="EK15" s="318">
        <f>Сун!C83</f>
        <v>3448.2</v>
      </c>
      <c r="EL15" s="323">
        <f>Сун!D83</f>
        <v>0</v>
      </c>
      <c r="EM15" s="310">
        <f t="shared" si="10"/>
        <v>0</v>
      </c>
      <c r="EN15" s="310">
        <f>Сун!C86</f>
        <v>0</v>
      </c>
      <c r="EO15" s="310">
        <f>Сун!D86</f>
        <v>0</v>
      </c>
      <c r="EP15" s="310" t="e">
        <f t="shared" si="11"/>
        <v>#DIV/0!</v>
      </c>
      <c r="EQ15" s="324">
        <f>Сун!C91</f>
        <v>50</v>
      </c>
      <c r="ER15" s="324">
        <f>Сун!D91</f>
        <v>0</v>
      </c>
      <c r="ES15" s="310">
        <f t="shared" ref="ES15:ES29" si="53">ER15/EQ15*100</f>
        <v>0</v>
      </c>
      <c r="ET15" s="310">
        <f>Сун!C97</f>
        <v>0</v>
      </c>
      <c r="EU15" s="310">
        <f>Сун!D97</f>
        <v>0</v>
      </c>
      <c r="EV15" s="303" t="e">
        <f>EU15/ET15*100</f>
        <v>#DIV/0!</v>
      </c>
      <c r="EW15" s="317">
        <f t="shared" si="12"/>
        <v>0</v>
      </c>
      <c r="EX15" s="317">
        <f t="shared" si="13"/>
        <v>626.94889000000001</v>
      </c>
      <c r="EY15" s="303" t="e">
        <f>EX15/EW15*100%</f>
        <v>#DIV/0!</v>
      </c>
      <c r="EZ15" s="163"/>
      <c r="FA15" s="164"/>
      <c r="FC15" s="164"/>
    </row>
    <row r="16" spans="1:159" s="161" customFormat="1" ht="25.5" customHeight="1">
      <c r="A16" s="346">
        <v>3</v>
      </c>
      <c r="B16" s="348" t="s">
        <v>292</v>
      </c>
      <c r="C16" s="325">
        <f t="shared" si="14"/>
        <v>6587.1469999999999</v>
      </c>
      <c r="D16" s="302">
        <f t="shared" si="0"/>
        <v>367.91537999999997</v>
      </c>
      <c r="E16" s="310">
        <f t="shared" si="1"/>
        <v>5.5853525054169886</v>
      </c>
      <c r="F16" s="304">
        <f t="shared" si="15"/>
        <v>2230.79</v>
      </c>
      <c r="G16" s="304">
        <f t="shared" si="3"/>
        <v>100.48797999999999</v>
      </c>
      <c r="H16" s="310">
        <f t="shared" si="16"/>
        <v>4.5045916469053555</v>
      </c>
      <c r="I16" s="326">
        <f>Иль!C6</f>
        <v>70.650000000000006</v>
      </c>
      <c r="J16" s="455">
        <f>Иль!D6</f>
        <v>3.2137500000000001</v>
      </c>
      <c r="K16" s="310">
        <f t="shared" si="17"/>
        <v>4.5488322717622074</v>
      </c>
      <c r="L16" s="310">
        <f>Иль!C8</f>
        <v>252.72</v>
      </c>
      <c r="M16" s="310">
        <f>Иль!D8</f>
        <v>26.27495</v>
      </c>
      <c r="N16" s="303">
        <f t="shared" si="18"/>
        <v>10.396862139917696</v>
      </c>
      <c r="O16" s="303">
        <f>Иль!C9</f>
        <v>2.71</v>
      </c>
      <c r="P16" s="303">
        <f>Иль!D9</f>
        <v>0.15489</v>
      </c>
      <c r="Q16" s="303">
        <f t="shared" si="19"/>
        <v>5.7154981549815496</v>
      </c>
      <c r="R16" s="303">
        <f>Иль!C10</f>
        <v>422.11</v>
      </c>
      <c r="S16" s="303">
        <f>Иль!D10</f>
        <v>35.254840000000002</v>
      </c>
      <c r="T16" s="303">
        <f t="shared" si="20"/>
        <v>8.3520504133993505</v>
      </c>
      <c r="U16" s="303">
        <f>Иль!C11</f>
        <v>0</v>
      </c>
      <c r="V16" s="307">
        <f>Иль!D11</f>
        <v>-4.4777399999999998</v>
      </c>
      <c r="W16" s="303" t="e">
        <f t="shared" si="21"/>
        <v>#DIV/0!</v>
      </c>
      <c r="X16" s="318">
        <f>Иль!C13</f>
        <v>10</v>
      </c>
      <c r="Y16" s="318">
        <f>Иль!D13</f>
        <v>0</v>
      </c>
      <c r="Z16" s="310">
        <f t="shared" si="22"/>
        <v>0</v>
      </c>
      <c r="AA16" s="318">
        <f>Иль!C15</f>
        <v>334</v>
      </c>
      <c r="AB16" s="309">
        <f>Иль!D15</f>
        <v>2.6290900000000001</v>
      </c>
      <c r="AC16" s="310">
        <f t="shared" si="23"/>
        <v>0.78715269461077841</v>
      </c>
      <c r="AD16" s="318">
        <f>Иль!C16</f>
        <v>750</v>
      </c>
      <c r="AE16" s="318">
        <f>Иль!D16</f>
        <v>12.684799999999999</v>
      </c>
      <c r="AF16" s="310">
        <f t="shared" si="4"/>
        <v>1.6913066666666667</v>
      </c>
      <c r="AG16" s="310">
        <f>Иль!C18</f>
        <v>4</v>
      </c>
      <c r="AH16" s="310">
        <f>Иль!D18</f>
        <v>0</v>
      </c>
      <c r="AI16" s="310">
        <f t="shared" si="24"/>
        <v>0</v>
      </c>
      <c r="AJ16" s="310"/>
      <c r="AK16" s="310"/>
      <c r="AL16" s="310" t="e">
        <f t="shared" si="5"/>
        <v>#DIV/0!</v>
      </c>
      <c r="AM16" s="318">
        <f>Иль!C27</f>
        <v>0</v>
      </c>
      <c r="AN16" s="318">
        <f>Иль!D27</f>
        <v>0</v>
      </c>
      <c r="AO16" s="310" t="e">
        <f t="shared" si="6"/>
        <v>#DIV/0!</v>
      </c>
      <c r="AP16" s="318">
        <f>Иль!C28</f>
        <v>354</v>
      </c>
      <c r="AQ16" s="319">
        <f>Иль!D28</f>
        <v>3.05</v>
      </c>
      <c r="AR16" s="310">
        <f t="shared" si="25"/>
        <v>0.8615819209039548</v>
      </c>
      <c r="AS16" s="312">
        <f>Иль!C29</f>
        <v>30.6</v>
      </c>
      <c r="AT16" s="319">
        <f>Иль!D29</f>
        <v>0</v>
      </c>
      <c r="AU16" s="310">
        <f t="shared" si="26"/>
        <v>0</v>
      </c>
      <c r="AV16" s="318"/>
      <c r="AW16" s="318"/>
      <c r="AX16" s="310" t="e">
        <f t="shared" si="27"/>
        <v>#DIV/0!</v>
      </c>
      <c r="AY16" s="310">
        <f>Иль!C30</f>
        <v>0</v>
      </c>
      <c r="AZ16" s="313">
        <f>Иль!D30</f>
        <v>0</v>
      </c>
      <c r="BA16" s="310" t="e">
        <f t="shared" si="28"/>
        <v>#DIV/0!</v>
      </c>
      <c r="BB16" s="310"/>
      <c r="BC16" s="310"/>
      <c r="BD16" s="310"/>
      <c r="BE16" s="310">
        <f>Иль!C34</f>
        <v>0</v>
      </c>
      <c r="BF16" s="310">
        <f>SUM(Иль!D32)</f>
        <v>21.555</v>
      </c>
      <c r="BG16" s="310" t="e">
        <f t="shared" si="29"/>
        <v>#DIV/0!</v>
      </c>
      <c r="BH16" s="310"/>
      <c r="BI16" s="310"/>
      <c r="BJ16" s="310" t="e">
        <f t="shared" si="30"/>
        <v>#DIV/0!</v>
      </c>
      <c r="BK16" s="310"/>
      <c r="BL16" s="310"/>
      <c r="BM16" s="310"/>
      <c r="BN16" s="310">
        <f>Иль!C35</f>
        <v>0</v>
      </c>
      <c r="BO16" s="310">
        <f>Иль!D35</f>
        <v>0.1484</v>
      </c>
      <c r="BP16" s="303" t="e">
        <f t="shared" si="31"/>
        <v>#DIV/0!</v>
      </c>
      <c r="BQ16" s="310">
        <v>0</v>
      </c>
      <c r="BR16" s="310">
        <f>Иль!D38</f>
        <v>0</v>
      </c>
      <c r="BS16" s="310" t="e">
        <f t="shared" si="32"/>
        <v>#DIV/0!</v>
      </c>
      <c r="BT16" s="310"/>
      <c r="BU16" s="310"/>
      <c r="BV16" s="320" t="e">
        <f t="shared" si="33"/>
        <v>#DIV/0!</v>
      </c>
      <c r="BW16" s="320"/>
      <c r="BX16" s="320"/>
      <c r="BY16" s="320" t="e">
        <f t="shared" si="34"/>
        <v>#DIV/0!</v>
      </c>
      <c r="BZ16" s="308">
        <f>CC16+CF16+CI16+CL16+CR16+CO16</f>
        <v>4356.357</v>
      </c>
      <c r="CA16" s="308">
        <f t="shared" si="36"/>
        <v>267.42739999999998</v>
      </c>
      <c r="CB16" s="310">
        <f>CA16/BZ16*100</f>
        <v>6.1387852281160606</v>
      </c>
      <c r="CC16" s="310">
        <f>Иль!C43</f>
        <v>3002.3</v>
      </c>
      <c r="CD16" s="310">
        <f>Иль!D43</f>
        <v>250.19399999999999</v>
      </c>
      <c r="CE16" s="310">
        <f t="shared" si="37"/>
        <v>8.3334110515271611</v>
      </c>
      <c r="CF16" s="310">
        <f>Иль!C44</f>
        <v>0</v>
      </c>
      <c r="CG16" s="468">
        <f>Иль!D44</f>
        <v>0</v>
      </c>
      <c r="CH16" s="310" t="e">
        <f t="shared" si="38"/>
        <v>#DIV/0!</v>
      </c>
      <c r="CI16" s="303">
        <f>Иль!C45</f>
        <v>1093.03</v>
      </c>
      <c r="CJ16" s="310">
        <f>Иль!D45</f>
        <v>0</v>
      </c>
      <c r="CK16" s="310">
        <f t="shared" si="7"/>
        <v>0</v>
      </c>
      <c r="CL16" s="310">
        <f>Иль!C47</f>
        <v>211.02699999999999</v>
      </c>
      <c r="CM16" s="310">
        <f>Иль!D47</f>
        <v>17.2334</v>
      </c>
      <c r="CN16" s="310">
        <f t="shared" si="8"/>
        <v>8.1664431565629041</v>
      </c>
      <c r="CO16" s="310">
        <f>Иль!C48</f>
        <v>50</v>
      </c>
      <c r="CP16" s="310">
        <f>Иль!D48</f>
        <v>0</v>
      </c>
      <c r="CQ16" s="303">
        <f t="shared" si="39"/>
        <v>0</v>
      </c>
      <c r="CR16" s="322">
        <f>Иль!C52</f>
        <v>0</v>
      </c>
      <c r="CS16" s="310">
        <f>Иль!D52</f>
        <v>0</v>
      </c>
      <c r="CT16" s="310" t="e">
        <f t="shared" si="9"/>
        <v>#DIV/0!</v>
      </c>
      <c r="CU16" s="310"/>
      <c r="CV16" s="310"/>
      <c r="CW16" s="310"/>
      <c r="CX16" s="318"/>
      <c r="CY16" s="318"/>
      <c r="CZ16" s="310" t="e">
        <f t="shared" si="40"/>
        <v>#DIV/0!</v>
      </c>
      <c r="DA16" s="310"/>
      <c r="DB16" s="310"/>
      <c r="DC16" s="310"/>
      <c r="DD16" s="310"/>
      <c r="DE16" s="310"/>
      <c r="DF16" s="310">
        <v>0</v>
      </c>
      <c r="DG16" s="312">
        <f t="shared" si="41"/>
        <v>6587.1470000000008</v>
      </c>
      <c r="DH16" s="312">
        <f t="shared" si="41"/>
        <v>70.45917</v>
      </c>
      <c r="DI16" s="310">
        <f t="shared" si="42"/>
        <v>1.0696462368306034</v>
      </c>
      <c r="DJ16" s="318">
        <f t="shared" si="43"/>
        <v>1544.307</v>
      </c>
      <c r="DK16" s="318">
        <f t="shared" si="43"/>
        <v>51.25712</v>
      </c>
      <c r="DL16" s="310">
        <f t="shared" si="44"/>
        <v>3.319101707108755</v>
      </c>
      <c r="DM16" s="310">
        <f>Иль!C60</f>
        <v>1523.7</v>
      </c>
      <c r="DN16" s="310">
        <f>Иль!D60</f>
        <v>51.25712</v>
      </c>
      <c r="DO16" s="310">
        <f t="shared" si="45"/>
        <v>3.3639902868018634</v>
      </c>
      <c r="DP16" s="310">
        <f>Иль!C63</f>
        <v>0</v>
      </c>
      <c r="DQ16" s="310">
        <f>Иль!D63</f>
        <v>0</v>
      </c>
      <c r="DR16" s="310" t="e">
        <f t="shared" si="46"/>
        <v>#DIV/0!</v>
      </c>
      <c r="DS16" s="310">
        <f>Иль!C64</f>
        <v>17</v>
      </c>
      <c r="DT16" s="310">
        <f>Иль!D64</f>
        <v>0</v>
      </c>
      <c r="DU16" s="310">
        <f t="shared" si="47"/>
        <v>0</v>
      </c>
      <c r="DV16" s="310">
        <f>Иль!C65</f>
        <v>3.6070000000000002</v>
      </c>
      <c r="DW16" s="310">
        <f>Иль!D65</f>
        <v>0</v>
      </c>
      <c r="DX16" s="310">
        <f t="shared" si="48"/>
        <v>0</v>
      </c>
      <c r="DY16" s="310">
        <f>Иль!C67</f>
        <v>206.767</v>
      </c>
      <c r="DZ16" s="310">
        <f>Иль!D67</f>
        <v>4</v>
      </c>
      <c r="EA16" s="310">
        <f t="shared" si="49"/>
        <v>1.9345446807275821</v>
      </c>
      <c r="EB16" s="310">
        <f>Иль!C68</f>
        <v>15</v>
      </c>
      <c r="EC16" s="310">
        <f>Иль!D68</f>
        <v>0</v>
      </c>
      <c r="ED16" s="310">
        <f t="shared" si="50"/>
        <v>0</v>
      </c>
      <c r="EE16" s="318">
        <f>Иль!C74</f>
        <v>2196.98</v>
      </c>
      <c r="EF16" s="318">
        <f>Иль!D74</f>
        <v>0</v>
      </c>
      <c r="EG16" s="310">
        <f t="shared" si="51"/>
        <v>0</v>
      </c>
      <c r="EH16" s="318">
        <f>Иль!C81</f>
        <v>814.99299999999994</v>
      </c>
      <c r="EI16" s="318">
        <f>Иль!D81</f>
        <v>0</v>
      </c>
      <c r="EJ16" s="310">
        <f t="shared" si="52"/>
        <v>0</v>
      </c>
      <c r="EK16" s="318">
        <f>Иль!C85</f>
        <v>1799.1</v>
      </c>
      <c r="EL16" s="323">
        <f>Иль!D85</f>
        <v>15.20205</v>
      </c>
      <c r="EM16" s="310">
        <f t="shared" si="10"/>
        <v>0.84498082374520589</v>
      </c>
      <c r="EN16" s="310">
        <f>Иль!C87</f>
        <v>0</v>
      </c>
      <c r="EO16" s="310">
        <f>Иль!D87</f>
        <v>0</v>
      </c>
      <c r="EP16" s="310" t="e">
        <f t="shared" si="11"/>
        <v>#DIV/0!</v>
      </c>
      <c r="EQ16" s="324">
        <f>Иль!C92</f>
        <v>10</v>
      </c>
      <c r="ER16" s="324">
        <f>Иль!D92</f>
        <v>0</v>
      </c>
      <c r="ES16" s="310">
        <f t="shared" si="53"/>
        <v>0</v>
      </c>
      <c r="ET16" s="310">
        <f>Иль!C98</f>
        <v>0</v>
      </c>
      <c r="EU16" s="310">
        <f>Иль!D98</f>
        <v>0</v>
      </c>
      <c r="EV16" s="303" t="e">
        <f t="shared" ref="EV16:EV29" si="54">EU16/ET16*100</f>
        <v>#DIV/0!</v>
      </c>
      <c r="EW16" s="317">
        <f t="shared" si="12"/>
        <v>-9.0949470177292824E-13</v>
      </c>
      <c r="EX16" s="317">
        <f t="shared" si="13"/>
        <v>297.45620999999994</v>
      </c>
      <c r="EY16" s="303">
        <f>EX16/EW16*100</f>
        <v>-3.2705656164917964E+16</v>
      </c>
      <c r="EZ16" s="163"/>
      <c r="FA16" s="164"/>
      <c r="FC16" s="164"/>
    </row>
    <row r="17" spans="1:170" s="161" customFormat="1" ht="22.5" customHeight="1">
      <c r="A17" s="346">
        <v>4</v>
      </c>
      <c r="B17" s="348" t="s">
        <v>293</v>
      </c>
      <c r="C17" s="325">
        <f t="shared" si="14"/>
        <v>9236.5169999999998</v>
      </c>
      <c r="D17" s="302">
        <f t="shared" si="0"/>
        <v>400.20839999999998</v>
      </c>
      <c r="E17" s="310">
        <f t="shared" si="1"/>
        <v>4.3328930158413614</v>
      </c>
      <c r="F17" s="304">
        <f t="shared" si="15"/>
        <v>4848.53</v>
      </c>
      <c r="G17" s="304">
        <f t="shared" si="3"/>
        <v>139.90700000000001</v>
      </c>
      <c r="H17" s="310">
        <f t="shared" si="16"/>
        <v>2.8855550032690322</v>
      </c>
      <c r="I17" s="318">
        <f>Кад!C6</f>
        <v>486</v>
      </c>
      <c r="J17" s="456">
        <f>Кад!D6</f>
        <v>11.30884</v>
      </c>
      <c r="K17" s="310">
        <f t="shared" si="17"/>
        <v>2.3269218106995884</v>
      </c>
      <c r="L17" s="310">
        <f>Кад!C8</f>
        <v>300.69</v>
      </c>
      <c r="M17" s="310">
        <f>Кад!D8</f>
        <v>31.261430000000001</v>
      </c>
      <c r="N17" s="303">
        <f t="shared" si="18"/>
        <v>10.396564568159899</v>
      </c>
      <c r="O17" s="303">
        <f>Кад!C9</f>
        <v>3.22</v>
      </c>
      <c r="P17" s="303">
        <f>Кад!D9</f>
        <v>0.18426000000000001</v>
      </c>
      <c r="Q17" s="303">
        <f t="shared" si="19"/>
        <v>5.7223602484472051</v>
      </c>
      <c r="R17" s="303">
        <f>Кад!C10</f>
        <v>502.22</v>
      </c>
      <c r="S17" s="303">
        <f>Кад!D10</f>
        <v>41.945529999999998</v>
      </c>
      <c r="T17" s="303">
        <f t="shared" si="20"/>
        <v>8.3520230178009616</v>
      </c>
      <c r="U17" s="303">
        <f>Кад!C11</f>
        <v>0</v>
      </c>
      <c r="V17" s="307">
        <f>Кад!D11</f>
        <v>-5.3274999999999997</v>
      </c>
      <c r="W17" s="303" t="e">
        <f t="shared" si="21"/>
        <v>#DIV/0!</v>
      </c>
      <c r="X17" s="318">
        <f>Кад!C13</f>
        <v>95</v>
      </c>
      <c r="Y17" s="318">
        <f>Кад!D13</f>
        <v>0.59157999999999999</v>
      </c>
      <c r="Z17" s="310">
        <f t="shared" si="22"/>
        <v>0.62271578947368422</v>
      </c>
      <c r="AA17" s="318">
        <f>Кад!C15</f>
        <v>400</v>
      </c>
      <c r="AB17" s="309">
        <f>Кад!D15</f>
        <v>1.0607</v>
      </c>
      <c r="AC17" s="310">
        <f t="shared" si="23"/>
        <v>0.26517499999999999</v>
      </c>
      <c r="AD17" s="318">
        <f>Кад!C16</f>
        <v>2950</v>
      </c>
      <c r="AE17" s="318">
        <f>Кад!D16</f>
        <v>57.882159999999999</v>
      </c>
      <c r="AF17" s="310">
        <f t="shared" si="4"/>
        <v>1.9621071186440679</v>
      </c>
      <c r="AG17" s="310">
        <f>Кад!C18</f>
        <v>20</v>
      </c>
      <c r="AH17" s="310">
        <f>Кад!D18</f>
        <v>1</v>
      </c>
      <c r="AI17" s="310">
        <f t="shared" si="24"/>
        <v>5</v>
      </c>
      <c r="AJ17" s="310"/>
      <c r="AK17" s="310"/>
      <c r="AL17" s="310" t="e">
        <f t="shared" si="5"/>
        <v>#DIV/0!</v>
      </c>
      <c r="AM17" s="318">
        <v>0</v>
      </c>
      <c r="AN17" s="318">
        <v>0</v>
      </c>
      <c r="AO17" s="310" t="e">
        <f t="shared" si="6"/>
        <v>#DIV/0!</v>
      </c>
      <c r="AP17" s="318">
        <f>Кад!C27</f>
        <v>79.400000000000006</v>
      </c>
      <c r="AQ17" s="319">
        <f>Кад!D27</f>
        <v>0</v>
      </c>
      <c r="AR17" s="310">
        <f t="shared" si="25"/>
        <v>0</v>
      </c>
      <c r="AS17" s="312">
        <f>Кад!C28</f>
        <v>12</v>
      </c>
      <c r="AT17" s="319">
        <f>Кад!D28</f>
        <v>0</v>
      </c>
      <c r="AU17" s="310">
        <f t="shared" si="26"/>
        <v>0</v>
      </c>
      <c r="AV17" s="318"/>
      <c r="AW17" s="318"/>
      <c r="AX17" s="310" t="e">
        <f t="shared" si="27"/>
        <v>#DIV/0!</v>
      </c>
      <c r="AY17" s="310">
        <f>Кад!C30</f>
        <v>0</v>
      </c>
      <c r="AZ17" s="313">
        <f>Кад!D30</f>
        <v>0</v>
      </c>
      <c r="BA17" s="310" t="e">
        <f t="shared" si="28"/>
        <v>#DIV/0!</v>
      </c>
      <c r="BB17" s="310"/>
      <c r="BC17" s="310"/>
      <c r="BD17" s="310"/>
      <c r="BE17" s="310">
        <f>Кад!C33</f>
        <v>0</v>
      </c>
      <c r="BF17" s="310">
        <f>Кад!D33</f>
        <v>0</v>
      </c>
      <c r="BG17" s="310" t="e">
        <f t="shared" si="29"/>
        <v>#DIV/0!</v>
      </c>
      <c r="BH17" s="310"/>
      <c r="BI17" s="310"/>
      <c r="BJ17" s="310" t="e">
        <f t="shared" si="30"/>
        <v>#DIV/0!</v>
      </c>
      <c r="BK17" s="310"/>
      <c r="BL17" s="310"/>
      <c r="BM17" s="310"/>
      <c r="BN17" s="310">
        <f>Кад!C34</f>
        <v>0</v>
      </c>
      <c r="BO17" s="310">
        <f>Кад!D34</f>
        <v>0</v>
      </c>
      <c r="BP17" s="303" t="e">
        <f t="shared" si="31"/>
        <v>#DIV/0!</v>
      </c>
      <c r="BQ17" s="310">
        <f>Кад!C36</f>
        <v>0</v>
      </c>
      <c r="BR17" s="310">
        <f>Кад!D36</f>
        <v>0</v>
      </c>
      <c r="BS17" s="310" t="e">
        <f t="shared" si="32"/>
        <v>#DIV/0!</v>
      </c>
      <c r="BT17" s="310"/>
      <c r="BU17" s="310"/>
      <c r="BV17" s="320" t="e">
        <f t="shared" si="33"/>
        <v>#DIV/0!</v>
      </c>
      <c r="BW17" s="320"/>
      <c r="BX17" s="320"/>
      <c r="BY17" s="320" t="e">
        <f t="shared" si="34"/>
        <v>#DIV/0!</v>
      </c>
      <c r="BZ17" s="308">
        <f t="shared" si="35"/>
        <v>4387.9870000000001</v>
      </c>
      <c r="CA17" s="308">
        <f>CD17+CG17+CJ17+CM17+CS17+CP17+CV17</f>
        <v>260.3014</v>
      </c>
      <c r="CB17" s="310">
        <f>CA17/BZ17*100</f>
        <v>5.9321369912900836</v>
      </c>
      <c r="CC17" s="310">
        <f>Кад!C41</f>
        <v>2916.8</v>
      </c>
      <c r="CD17" s="310">
        <f>Кад!D41</f>
        <v>243.06800000000001</v>
      </c>
      <c r="CE17" s="310">
        <f t="shared" si="37"/>
        <v>8.3333790455293482</v>
      </c>
      <c r="CF17" s="310">
        <f>Кад!C42</f>
        <v>0</v>
      </c>
      <c r="CG17" s="468">
        <f>Кад!D42</f>
        <v>0</v>
      </c>
      <c r="CH17" s="310" t="e">
        <f t="shared" si="38"/>
        <v>#DIV/0!</v>
      </c>
      <c r="CI17" s="303">
        <f>Кад!C43</f>
        <v>1260.1600000000001</v>
      </c>
      <c r="CJ17" s="310">
        <f>Кад!D43</f>
        <v>0</v>
      </c>
      <c r="CK17" s="310">
        <f t="shared" si="7"/>
        <v>0</v>
      </c>
      <c r="CL17" s="310">
        <f>Кад!C45</f>
        <v>211.02699999999999</v>
      </c>
      <c r="CM17" s="310">
        <f>Кад!D45</f>
        <v>17.2334</v>
      </c>
      <c r="CN17" s="310">
        <f t="shared" si="8"/>
        <v>8.1664431565629041</v>
      </c>
      <c r="CO17" s="310">
        <f>Кад!C46</f>
        <v>0</v>
      </c>
      <c r="CP17" s="310">
        <f>Кад!D46</f>
        <v>0</v>
      </c>
      <c r="CQ17" s="303" t="e">
        <f t="shared" si="39"/>
        <v>#DIV/0!</v>
      </c>
      <c r="CR17" s="322">
        <f>Кад!C47</f>
        <v>0</v>
      </c>
      <c r="CS17" s="310">
        <f>Кад!D47</f>
        <v>0</v>
      </c>
      <c r="CT17" s="310" t="e">
        <f t="shared" si="9"/>
        <v>#DIV/0!</v>
      </c>
      <c r="CU17" s="310"/>
      <c r="CV17" s="310"/>
      <c r="CW17" s="310"/>
      <c r="CX17" s="318"/>
      <c r="CY17" s="318"/>
      <c r="CZ17" s="310" t="e">
        <f t="shared" si="40"/>
        <v>#DIV/0!</v>
      </c>
      <c r="DA17" s="310"/>
      <c r="DB17" s="310"/>
      <c r="DC17" s="310"/>
      <c r="DD17" s="310"/>
      <c r="DE17" s="310"/>
      <c r="DF17" s="310"/>
      <c r="DG17" s="312">
        <f t="shared" si="41"/>
        <v>9236.5170000000016</v>
      </c>
      <c r="DH17" s="312">
        <f t="shared" si="41"/>
        <v>33.5</v>
      </c>
      <c r="DI17" s="310">
        <f t="shared" si="42"/>
        <v>0.36269082815524506</v>
      </c>
      <c r="DJ17" s="318">
        <f t="shared" si="43"/>
        <v>1893.269</v>
      </c>
      <c r="DK17" s="318">
        <f t="shared" si="43"/>
        <v>28.7</v>
      </c>
      <c r="DL17" s="310">
        <f t="shared" si="44"/>
        <v>1.515896578880233</v>
      </c>
      <c r="DM17" s="310">
        <f>Кад!C57</f>
        <v>1768.4</v>
      </c>
      <c r="DN17" s="310">
        <f>Кад!D57</f>
        <v>28.7</v>
      </c>
      <c r="DO17" s="310">
        <f t="shared" si="45"/>
        <v>1.6229359873331826</v>
      </c>
      <c r="DP17" s="310">
        <f>Кад!C60</f>
        <v>0</v>
      </c>
      <c r="DQ17" s="310">
        <f>Кад!D60</f>
        <v>0</v>
      </c>
      <c r="DR17" s="310" t="e">
        <f t="shared" si="46"/>
        <v>#DIV/0!</v>
      </c>
      <c r="DS17" s="310">
        <f>Кад!C61</f>
        <v>100</v>
      </c>
      <c r="DT17" s="310">
        <f>Кад!D61</f>
        <v>0</v>
      </c>
      <c r="DU17" s="310">
        <f t="shared" si="47"/>
        <v>0</v>
      </c>
      <c r="DV17" s="310">
        <f>Кад!C62</f>
        <v>24.869</v>
      </c>
      <c r="DW17" s="310">
        <f>Кад!D62</f>
        <v>0</v>
      </c>
      <c r="DX17" s="310">
        <f t="shared" si="48"/>
        <v>0</v>
      </c>
      <c r="DY17" s="310">
        <f>Кад!C64</f>
        <v>206.767</v>
      </c>
      <c r="DZ17" s="310">
        <f>Кад!D64</f>
        <v>4.8</v>
      </c>
      <c r="EA17" s="310">
        <f t="shared" si="49"/>
        <v>2.3214536168730984</v>
      </c>
      <c r="EB17" s="310">
        <f>Кад!C65</f>
        <v>15</v>
      </c>
      <c r="EC17" s="310">
        <f>Кад!D65</f>
        <v>0</v>
      </c>
      <c r="ED17" s="310">
        <f t="shared" si="50"/>
        <v>0</v>
      </c>
      <c r="EE17" s="318">
        <f>Кад!C71</f>
        <v>2499.9500000000003</v>
      </c>
      <c r="EF17" s="318">
        <f>Кад!D71</f>
        <v>0</v>
      </c>
      <c r="EG17" s="310">
        <f t="shared" si="51"/>
        <v>0</v>
      </c>
      <c r="EH17" s="318">
        <f>Кад!C76</f>
        <v>2576.3310000000001</v>
      </c>
      <c r="EI17" s="318">
        <f>Кад!D76</f>
        <v>0</v>
      </c>
      <c r="EJ17" s="310">
        <f t="shared" si="52"/>
        <v>0</v>
      </c>
      <c r="EK17" s="318">
        <f>Кад!C80</f>
        <v>1995.2</v>
      </c>
      <c r="EL17" s="323">
        <f>Кад!D80</f>
        <v>0</v>
      </c>
      <c r="EM17" s="310">
        <f t="shared" si="10"/>
        <v>0</v>
      </c>
      <c r="EN17" s="310">
        <f>Кад!C82</f>
        <v>0</v>
      </c>
      <c r="EO17" s="310">
        <f>Кад!D82</f>
        <v>0</v>
      </c>
      <c r="EP17" s="310" t="e">
        <f t="shared" si="11"/>
        <v>#DIV/0!</v>
      </c>
      <c r="EQ17" s="324">
        <f>Кад!C87</f>
        <v>50</v>
      </c>
      <c r="ER17" s="324">
        <f>Кад!D87</f>
        <v>0</v>
      </c>
      <c r="ES17" s="310">
        <f t="shared" si="53"/>
        <v>0</v>
      </c>
      <c r="ET17" s="310">
        <f>Кад!C93</f>
        <v>0</v>
      </c>
      <c r="EU17" s="310">
        <f>Кад!D93</f>
        <v>0</v>
      </c>
      <c r="EV17" s="303" t="e">
        <f t="shared" si="54"/>
        <v>#DIV/0!</v>
      </c>
      <c r="EW17" s="317">
        <f t="shared" si="12"/>
        <v>-1.8189894035458565E-12</v>
      </c>
      <c r="EX17" s="317">
        <f t="shared" si="13"/>
        <v>366.70839999999998</v>
      </c>
      <c r="EY17" s="303">
        <f>EX17/EW17*100</f>
        <v>-2.0160007490156624E+16</v>
      </c>
      <c r="EZ17" s="163"/>
      <c r="FA17" s="164"/>
      <c r="FC17" s="164"/>
    </row>
    <row r="18" spans="1:170" s="173" customFormat="1" ht="20.25" customHeight="1">
      <c r="A18" s="349">
        <v>5</v>
      </c>
      <c r="B18" s="350" t="s">
        <v>294</v>
      </c>
      <c r="C18" s="327">
        <f t="shared" si="14"/>
        <v>19097.673500000001</v>
      </c>
      <c r="D18" s="328">
        <f t="shared" si="0"/>
        <v>539.51353999999992</v>
      </c>
      <c r="E18" s="313">
        <f t="shared" si="1"/>
        <v>2.825022325363348</v>
      </c>
      <c r="F18" s="304">
        <f t="shared" si="15"/>
        <v>5006.5199999999995</v>
      </c>
      <c r="G18" s="329">
        <f t="shared" si="3"/>
        <v>271.31175999999999</v>
      </c>
      <c r="H18" s="313">
        <f t="shared" si="16"/>
        <v>5.4191686041402019</v>
      </c>
      <c r="I18" s="306">
        <f>Мор!C6</f>
        <v>1988.4</v>
      </c>
      <c r="J18" s="455">
        <f>Мор!D6</f>
        <v>110.82531</v>
      </c>
      <c r="K18" s="313">
        <f t="shared" si="17"/>
        <v>5.5735923355461674</v>
      </c>
      <c r="L18" s="313">
        <f>Мор!C8</f>
        <v>148.5</v>
      </c>
      <c r="M18" s="313">
        <f>Мор!D8</f>
        <v>15.43891</v>
      </c>
      <c r="N18" s="313">
        <f t="shared" si="18"/>
        <v>10.396572390572391</v>
      </c>
      <c r="O18" s="313">
        <f>Мор!C9</f>
        <v>1.59</v>
      </c>
      <c r="P18" s="313">
        <f>Мор!D9</f>
        <v>9.1009999999999994E-2</v>
      </c>
      <c r="Q18" s="313">
        <f t="shared" si="19"/>
        <v>5.7238993710691819</v>
      </c>
      <c r="R18" s="313">
        <f>Мор!C10</f>
        <v>248.03</v>
      </c>
      <c r="S18" s="313">
        <f>Мор!D10</f>
        <v>20.715420000000002</v>
      </c>
      <c r="T18" s="313">
        <f t="shared" si="20"/>
        <v>8.3519816151272028</v>
      </c>
      <c r="U18" s="313">
        <f>Мор!C11</f>
        <v>0</v>
      </c>
      <c r="V18" s="330">
        <f>Мор!D11</f>
        <v>-2.63104</v>
      </c>
      <c r="W18" s="313" t="e">
        <f t="shared" si="21"/>
        <v>#DIV/0!</v>
      </c>
      <c r="X18" s="312">
        <f>Мор!C13</f>
        <v>70</v>
      </c>
      <c r="Y18" s="312">
        <f>Мор!D13</f>
        <v>0</v>
      </c>
      <c r="Z18" s="313">
        <f t="shared" si="22"/>
        <v>0</v>
      </c>
      <c r="AA18" s="312">
        <f>Мор!C15</f>
        <v>1000</v>
      </c>
      <c r="AB18" s="309">
        <f>Мор!D15</f>
        <v>22.36918</v>
      </c>
      <c r="AC18" s="313">
        <f t="shared" si="23"/>
        <v>2.2369179999999997</v>
      </c>
      <c r="AD18" s="312">
        <f>Мор!C16</f>
        <v>1550</v>
      </c>
      <c r="AE18" s="312">
        <f>Мор!D16</f>
        <v>104.50297</v>
      </c>
      <c r="AF18" s="313">
        <f t="shared" si="4"/>
        <v>6.7421270967741931</v>
      </c>
      <c r="AG18" s="313">
        <f>Мор!C18</f>
        <v>0</v>
      </c>
      <c r="AH18" s="313">
        <f>Мор!D18</f>
        <v>0</v>
      </c>
      <c r="AI18" s="313" t="e">
        <f t="shared" si="24"/>
        <v>#DIV/0!</v>
      </c>
      <c r="AJ18" s="313">
        <f>Мор!C22</f>
        <v>0</v>
      </c>
      <c r="AK18" s="313">
        <f>Мор!D22</f>
        <v>0</v>
      </c>
      <c r="AL18" s="313" t="e">
        <f t="shared" si="5"/>
        <v>#DIV/0!</v>
      </c>
      <c r="AM18" s="312">
        <v>0</v>
      </c>
      <c r="AN18" s="312"/>
      <c r="AO18" s="313" t="e">
        <f t="shared" si="6"/>
        <v>#DIV/0!</v>
      </c>
      <c r="AP18" s="312">
        <f>Мор!C27</f>
        <v>0</v>
      </c>
      <c r="AQ18" s="319">
        <f>Мор!D27</f>
        <v>0</v>
      </c>
      <c r="AR18" s="313" t="e">
        <f t="shared" si="25"/>
        <v>#DIV/0!</v>
      </c>
      <c r="AS18" s="312">
        <f>Мор!C28</f>
        <v>0</v>
      </c>
      <c r="AT18" s="309">
        <f>Мор!D28</f>
        <v>0</v>
      </c>
      <c r="AU18" s="313" t="e">
        <f t="shared" si="26"/>
        <v>#DIV/0!</v>
      </c>
      <c r="AV18" s="312"/>
      <c r="AW18" s="312"/>
      <c r="AX18" s="313" t="e">
        <f t="shared" si="27"/>
        <v>#DIV/0!</v>
      </c>
      <c r="AY18" s="313">
        <f>Мор!C29</f>
        <v>0</v>
      </c>
      <c r="AZ18" s="313">
        <f>Мор!D29</f>
        <v>0</v>
      </c>
      <c r="BA18" s="313" t="e">
        <f t="shared" si="28"/>
        <v>#DIV/0!</v>
      </c>
      <c r="BB18" s="313"/>
      <c r="BC18" s="313"/>
      <c r="BD18" s="313"/>
      <c r="BE18" s="313">
        <f>Мор!C33</f>
        <v>0</v>
      </c>
      <c r="BF18" s="313">
        <f>Мор!D33</f>
        <v>0</v>
      </c>
      <c r="BG18" s="313" t="e">
        <f>Мор!E33</f>
        <v>#DIV/0!</v>
      </c>
      <c r="BH18" s="313">
        <f>Мор!F33</f>
        <v>0</v>
      </c>
      <c r="BI18" s="313">
        <f>Мор!G33</f>
        <v>0</v>
      </c>
      <c r="BJ18" s="313">
        <f>Мор!H33</f>
        <v>0</v>
      </c>
      <c r="BK18" s="313">
        <f>Мор!I33</f>
        <v>0</v>
      </c>
      <c r="BL18" s="313">
        <f>Мор!J33</f>
        <v>0</v>
      </c>
      <c r="BM18" s="313">
        <f>Мор!K33</f>
        <v>0</v>
      </c>
      <c r="BN18" s="313">
        <f>Мор!C34</f>
        <v>0</v>
      </c>
      <c r="BO18" s="313">
        <f>Мор!D34</f>
        <v>0</v>
      </c>
      <c r="BP18" s="303" t="e">
        <f t="shared" si="31"/>
        <v>#DIV/0!</v>
      </c>
      <c r="BQ18" s="313">
        <f>Мор!C36</f>
        <v>0</v>
      </c>
      <c r="BR18" s="313">
        <f>Мор!D36</f>
        <v>0</v>
      </c>
      <c r="BS18" s="313" t="e">
        <f t="shared" si="32"/>
        <v>#DIV/0!</v>
      </c>
      <c r="BT18" s="313"/>
      <c r="BU18" s="313"/>
      <c r="BV18" s="331" t="e">
        <f t="shared" si="33"/>
        <v>#DIV/0!</v>
      </c>
      <c r="BW18" s="331"/>
      <c r="BX18" s="331"/>
      <c r="BY18" s="331" t="e">
        <f t="shared" si="34"/>
        <v>#DIV/0!</v>
      </c>
      <c r="BZ18" s="312">
        <f t="shared" si="35"/>
        <v>14091.1535</v>
      </c>
      <c r="CA18" s="308">
        <f t="shared" si="36"/>
        <v>268.20177999999999</v>
      </c>
      <c r="CB18" s="313">
        <f t="shared" ref="CB18:CB31" si="55">CA18/BZ18*100</f>
        <v>1.9033344573245898</v>
      </c>
      <c r="CC18" s="313">
        <f>Мор!C41</f>
        <v>8831.9</v>
      </c>
      <c r="CD18" s="313">
        <f>Мор!D41</f>
        <v>735.99699999999996</v>
      </c>
      <c r="CE18" s="313">
        <f t="shared" si="37"/>
        <v>8.3333937204904949</v>
      </c>
      <c r="CF18" s="313">
        <f>Мор!C42</f>
        <v>0</v>
      </c>
      <c r="CG18" s="469">
        <f>Мор!D42</f>
        <v>0</v>
      </c>
      <c r="CH18" s="313" t="e">
        <f t="shared" si="38"/>
        <v>#DIV/0!</v>
      </c>
      <c r="CI18" s="313">
        <f>Мор!C43</f>
        <v>5150.7134999999998</v>
      </c>
      <c r="CJ18" s="313">
        <f>Мор!D43</f>
        <v>0</v>
      </c>
      <c r="CK18" s="313">
        <f t="shared" si="7"/>
        <v>0</v>
      </c>
      <c r="CL18" s="313">
        <f>Мор!C45</f>
        <v>8.5399999999999991</v>
      </c>
      <c r="CM18" s="313">
        <f>Мор!D45</f>
        <v>0</v>
      </c>
      <c r="CN18" s="313">
        <f t="shared" si="8"/>
        <v>0</v>
      </c>
      <c r="CO18" s="469">
        <f>Мор!C46</f>
        <v>100</v>
      </c>
      <c r="CP18" s="469">
        <f>Мор!D46</f>
        <v>0</v>
      </c>
      <c r="CQ18" s="303">
        <f t="shared" si="39"/>
        <v>0</v>
      </c>
      <c r="CR18" s="330">
        <f>Мор!C48</f>
        <v>0</v>
      </c>
      <c r="CS18" s="313">
        <f>Мор!D48</f>
        <v>0</v>
      </c>
      <c r="CT18" s="313" t="e">
        <f t="shared" si="9"/>
        <v>#DIV/0!</v>
      </c>
      <c r="CU18" s="313"/>
      <c r="CV18" s="313">
        <f>SUM(Мор!D49)</f>
        <v>-467.79521999999997</v>
      </c>
      <c r="CW18" s="313"/>
      <c r="CX18" s="312"/>
      <c r="CY18" s="312"/>
      <c r="CZ18" s="313" t="e">
        <f t="shared" si="40"/>
        <v>#DIV/0!</v>
      </c>
      <c r="DA18" s="313"/>
      <c r="DB18" s="313"/>
      <c r="DC18" s="313"/>
      <c r="DD18" s="313"/>
      <c r="DE18" s="313"/>
      <c r="DF18" s="313"/>
      <c r="DG18" s="312">
        <f t="shared" si="41"/>
        <v>19097.673500000001</v>
      </c>
      <c r="DH18" s="312">
        <f t="shared" si="41"/>
        <v>292.20677000000001</v>
      </c>
      <c r="DI18" s="313">
        <f t="shared" si="42"/>
        <v>1.5300647484626859</v>
      </c>
      <c r="DJ18" s="312">
        <f t="shared" si="43"/>
        <v>2455.5940000000001</v>
      </c>
      <c r="DK18" s="312">
        <f t="shared" si="43"/>
        <v>184.6</v>
      </c>
      <c r="DL18" s="313">
        <f t="shared" si="44"/>
        <v>7.5175293635674292</v>
      </c>
      <c r="DM18" s="313">
        <f>Мор!C58</f>
        <v>2153.6999999999998</v>
      </c>
      <c r="DN18" s="313">
        <f>Мор!D58</f>
        <v>44.6</v>
      </c>
      <c r="DO18" s="313">
        <f t="shared" si="45"/>
        <v>2.070854808004829</v>
      </c>
      <c r="DP18" s="313">
        <f>Мор!C61</f>
        <v>0</v>
      </c>
      <c r="DQ18" s="313">
        <f>Мор!D61</f>
        <v>0</v>
      </c>
      <c r="DR18" s="313" t="e">
        <f t="shared" si="46"/>
        <v>#DIV/0!</v>
      </c>
      <c r="DS18" s="313">
        <f>Мор!C62</f>
        <v>100</v>
      </c>
      <c r="DT18" s="313">
        <f>Мор!D62</f>
        <v>0</v>
      </c>
      <c r="DU18" s="313">
        <f t="shared" si="47"/>
        <v>0</v>
      </c>
      <c r="DV18" s="313">
        <f>Мор!C63</f>
        <v>201.89400000000001</v>
      </c>
      <c r="DW18" s="313">
        <f>Мор!D63</f>
        <v>140</v>
      </c>
      <c r="DX18" s="313">
        <f t="shared" si="48"/>
        <v>69.343318771236383</v>
      </c>
      <c r="DY18" s="313">
        <f>Мор!C64</f>
        <v>0</v>
      </c>
      <c r="DZ18" s="313">
        <f>Мор!D64</f>
        <v>0</v>
      </c>
      <c r="EA18" s="313" t="e">
        <f t="shared" si="49"/>
        <v>#DIV/0!</v>
      </c>
      <c r="EB18" s="313">
        <f>Мор!C66</f>
        <v>105</v>
      </c>
      <c r="EC18" s="313">
        <f>Мор!D66</f>
        <v>0</v>
      </c>
      <c r="ED18" s="313">
        <f t="shared" si="50"/>
        <v>0</v>
      </c>
      <c r="EE18" s="312">
        <f>Мор!C72</f>
        <v>1282.33</v>
      </c>
      <c r="EF18" s="312">
        <f>Мор!D72</f>
        <v>1.865</v>
      </c>
      <c r="EG18" s="313">
        <f t="shared" si="51"/>
        <v>0.14543838169581935</v>
      </c>
      <c r="EH18" s="312">
        <f>Мор!C77</f>
        <v>10318.949500000001</v>
      </c>
      <c r="EI18" s="312">
        <f>Мор!D77</f>
        <v>105.74177</v>
      </c>
      <c r="EJ18" s="313">
        <f t="shared" si="52"/>
        <v>1.024733864624495</v>
      </c>
      <c r="EK18" s="312">
        <f>Мор!C81</f>
        <v>4885.8</v>
      </c>
      <c r="EL18" s="332">
        <f>Мор!D81</f>
        <v>0</v>
      </c>
      <c r="EM18" s="313">
        <f t="shared" si="10"/>
        <v>0</v>
      </c>
      <c r="EN18" s="313">
        <f>Мор!C84</f>
        <v>0</v>
      </c>
      <c r="EO18" s="313">
        <f>Мор!D84</f>
        <v>0</v>
      </c>
      <c r="EP18" s="313" t="e">
        <f t="shared" si="11"/>
        <v>#DIV/0!</v>
      </c>
      <c r="EQ18" s="329">
        <f>Мор!C89</f>
        <v>50</v>
      </c>
      <c r="ER18" s="329">
        <f>Мор!D89</f>
        <v>0</v>
      </c>
      <c r="ES18" s="313">
        <f t="shared" si="53"/>
        <v>0</v>
      </c>
      <c r="ET18" s="313">
        <f>Мор!C95</f>
        <v>0</v>
      </c>
      <c r="EU18" s="313">
        <f>Мор!D95</f>
        <v>0</v>
      </c>
      <c r="EV18" s="313" t="e">
        <f t="shared" si="54"/>
        <v>#DIV/0!</v>
      </c>
      <c r="EW18" s="333">
        <f t="shared" si="12"/>
        <v>0</v>
      </c>
      <c r="EX18" s="333">
        <f t="shared" si="13"/>
        <v>247.30676999999991</v>
      </c>
      <c r="EY18" s="313" t="e">
        <f t="shared" ref="EY18:EY30" si="56">EX18/EW18*100</f>
        <v>#DIV/0!</v>
      </c>
      <c r="EZ18" s="171"/>
      <c r="FA18" s="172"/>
      <c r="FC18" s="172"/>
    </row>
    <row r="19" spans="1:170" s="258" customFormat="1" ht="27.75" customHeight="1">
      <c r="A19" s="351">
        <v>6</v>
      </c>
      <c r="B19" s="348" t="s">
        <v>295</v>
      </c>
      <c r="C19" s="325">
        <f t="shared" si="14"/>
        <v>13747.246940000001</v>
      </c>
      <c r="D19" s="302">
        <f t="shared" si="0"/>
        <v>372.75603000000001</v>
      </c>
      <c r="E19" s="310">
        <f t="shared" si="1"/>
        <v>2.7114958480552325</v>
      </c>
      <c r="F19" s="304">
        <f t="shared" si="15"/>
        <v>5874.35</v>
      </c>
      <c r="G19" s="324">
        <f t="shared" si="3"/>
        <v>276.98063000000002</v>
      </c>
      <c r="H19" s="310">
        <f t="shared" si="16"/>
        <v>4.7150855839369461</v>
      </c>
      <c r="I19" s="318">
        <f>Мос!C6</f>
        <v>1697.1</v>
      </c>
      <c r="J19" s="456">
        <f>Мос!D6</f>
        <v>157.96709000000001</v>
      </c>
      <c r="K19" s="310">
        <f t="shared" si="17"/>
        <v>9.3080602203759373</v>
      </c>
      <c r="L19" s="310">
        <f>Мос!C8</f>
        <v>279.47000000000003</v>
      </c>
      <c r="M19" s="310">
        <f>Мос!D8</f>
        <v>29.055869999999999</v>
      </c>
      <c r="N19" s="310">
        <f t="shared" si="18"/>
        <v>10.396776040362113</v>
      </c>
      <c r="O19" s="310">
        <f>Мос!C9</f>
        <v>3</v>
      </c>
      <c r="P19" s="310">
        <f>Мос!D9</f>
        <v>0.17129</v>
      </c>
      <c r="Q19" s="310">
        <f t="shared" si="19"/>
        <v>5.7096666666666662</v>
      </c>
      <c r="R19" s="310">
        <f>Мос!C10</f>
        <v>466.78</v>
      </c>
      <c r="S19" s="310">
        <f>Мос!D10</f>
        <v>38.986190000000001</v>
      </c>
      <c r="T19" s="310">
        <f t="shared" si="20"/>
        <v>8.3521551908822147</v>
      </c>
      <c r="U19" s="310">
        <f>Мос!C11</f>
        <v>0</v>
      </c>
      <c r="V19" s="322">
        <f>Мос!D11</f>
        <v>-4.95167</v>
      </c>
      <c r="W19" s="310" t="e">
        <f t="shared" si="21"/>
        <v>#DIV/0!</v>
      </c>
      <c r="X19" s="318">
        <f>Мос!C13</f>
        <v>20</v>
      </c>
      <c r="Y19" s="318">
        <f>Мос!D13</f>
        <v>0</v>
      </c>
      <c r="Z19" s="310">
        <f t="shared" si="22"/>
        <v>0</v>
      </c>
      <c r="AA19" s="318">
        <f>Мос!C15</f>
        <v>1200</v>
      </c>
      <c r="AB19" s="309">
        <f>Мос!D15</f>
        <v>3.5874799999999998</v>
      </c>
      <c r="AC19" s="310">
        <f t="shared" si="23"/>
        <v>0.29895666666666665</v>
      </c>
      <c r="AD19" s="318">
        <f>Мос!C16</f>
        <v>2200</v>
      </c>
      <c r="AE19" s="318">
        <f>Мос!D16</f>
        <v>52.06438</v>
      </c>
      <c r="AF19" s="310">
        <f t="shared" si="4"/>
        <v>2.3665627272727274</v>
      </c>
      <c r="AG19" s="310">
        <f>Мос!C18</f>
        <v>8</v>
      </c>
      <c r="AH19" s="310">
        <f>Мос!D18</f>
        <v>0.1</v>
      </c>
      <c r="AI19" s="310">
        <f t="shared" si="24"/>
        <v>1.25</v>
      </c>
      <c r="AJ19" s="310"/>
      <c r="AK19" s="310"/>
      <c r="AL19" s="310" t="e">
        <f t="shared" si="5"/>
        <v>#DIV/0!</v>
      </c>
      <c r="AM19" s="318">
        <f>Мос!C27</f>
        <v>0</v>
      </c>
      <c r="AN19" s="318">
        <v>0</v>
      </c>
      <c r="AO19" s="310" t="e">
        <f t="shared" si="6"/>
        <v>#DIV/0!</v>
      </c>
      <c r="AP19" s="318">
        <v>0</v>
      </c>
      <c r="AQ19" s="319">
        <f>Мос!D27</f>
        <v>0</v>
      </c>
      <c r="AR19" s="310" t="e">
        <f t="shared" si="25"/>
        <v>#DIV/0!</v>
      </c>
      <c r="AS19" s="318">
        <f>Мос!C26</f>
        <v>0</v>
      </c>
      <c r="AT19" s="319">
        <f>Мос!D28</f>
        <v>0</v>
      </c>
      <c r="AU19" s="310" t="e">
        <f t="shared" si="26"/>
        <v>#DIV/0!</v>
      </c>
      <c r="AV19" s="318"/>
      <c r="AW19" s="318"/>
      <c r="AX19" s="310" t="e">
        <f t="shared" si="27"/>
        <v>#DIV/0!</v>
      </c>
      <c r="AY19" s="310">
        <f>Мос!C30</f>
        <v>0</v>
      </c>
      <c r="AZ19" s="313">
        <f>Мос!D30</f>
        <v>0</v>
      </c>
      <c r="BA19" s="310" t="e">
        <f t="shared" si="28"/>
        <v>#DIV/0!</v>
      </c>
      <c r="BB19" s="310"/>
      <c r="BC19" s="310"/>
      <c r="BD19" s="310"/>
      <c r="BE19" s="310">
        <f>Мос!C33</f>
        <v>0</v>
      </c>
      <c r="BF19" s="310">
        <f>Мос!D33</f>
        <v>0</v>
      </c>
      <c r="BG19" s="310" t="e">
        <f t="shared" si="29"/>
        <v>#DIV/0!</v>
      </c>
      <c r="BH19" s="310"/>
      <c r="BI19" s="310"/>
      <c r="BJ19" s="310" t="e">
        <f t="shared" si="30"/>
        <v>#DIV/0!</v>
      </c>
      <c r="BK19" s="310"/>
      <c r="BL19" s="310"/>
      <c r="BM19" s="310"/>
      <c r="BN19" s="310">
        <f>Мос!C34</f>
        <v>0</v>
      </c>
      <c r="BO19" s="310">
        <f>Мос!D35</f>
        <v>0</v>
      </c>
      <c r="BP19" s="303" t="e">
        <f t="shared" si="31"/>
        <v>#DIV/0!</v>
      </c>
      <c r="BQ19" s="310">
        <f>Мос!C36</f>
        <v>0</v>
      </c>
      <c r="BR19" s="310">
        <f>Мос!D36</f>
        <v>0</v>
      </c>
      <c r="BS19" s="310" t="e">
        <f t="shared" si="32"/>
        <v>#DIV/0!</v>
      </c>
      <c r="BT19" s="310"/>
      <c r="BU19" s="310"/>
      <c r="BV19" s="320" t="e">
        <f t="shared" si="33"/>
        <v>#DIV/0!</v>
      </c>
      <c r="BW19" s="320"/>
      <c r="BX19" s="320"/>
      <c r="BY19" s="320" t="e">
        <f t="shared" si="34"/>
        <v>#DIV/0!</v>
      </c>
      <c r="BZ19" s="318">
        <f t="shared" si="35"/>
        <v>7872.8969400000005</v>
      </c>
      <c r="CA19" s="318">
        <f t="shared" si="36"/>
        <v>95.775400000000005</v>
      </c>
      <c r="CB19" s="310">
        <f t="shared" si="55"/>
        <v>1.2165204337096276</v>
      </c>
      <c r="CC19" s="310">
        <f>SUM(Мос!C41)</f>
        <v>942.5</v>
      </c>
      <c r="CD19" s="310">
        <f>SUM(Мос!D41)</f>
        <v>78.542000000000002</v>
      </c>
      <c r="CE19" s="310">
        <f>CD19/CC19*100</f>
        <v>8.3333687002652521</v>
      </c>
      <c r="CF19" s="310">
        <f>Мос!C42</f>
        <v>1250</v>
      </c>
      <c r="CG19" s="468">
        <f>Мос!D42</f>
        <v>0</v>
      </c>
      <c r="CH19" s="310">
        <f t="shared" si="38"/>
        <v>0</v>
      </c>
      <c r="CI19" s="310">
        <f>Мос!C43</f>
        <v>2097.6639399999999</v>
      </c>
      <c r="CJ19" s="310">
        <f>Мос!D43</f>
        <v>0</v>
      </c>
      <c r="CK19" s="310">
        <f t="shared" si="7"/>
        <v>0</v>
      </c>
      <c r="CL19" s="310">
        <f>Мос!C45</f>
        <v>3582.7330000000002</v>
      </c>
      <c r="CM19" s="310">
        <f>Мос!D45</f>
        <v>17.2334</v>
      </c>
      <c r="CN19" s="310">
        <f t="shared" si="8"/>
        <v>0.48101267942657178</v>
      </c>
      <c r="CO19" s="310">
        <f>Мос!C46</f>
        <v>0</v>
      </c>
      <c r="CP19" s="310">
        <f>Мос!D46</f>
        <v>0</v>
      </c>
      <c r="CQ19" s="303" t="e">
        <f t="shared" si="39"/>
        <v>#DIV/0!</v>
      </c>
      <c r="CR19" s="322">
        <f>Мос!C51</f>
        <v>0</v>
      </c>
      <c r="CS19" s="310">
        <f>Мос!D51</f>
        <v>0</v>
      </c>
      <c r="CT19" s="310" t="e">
        <f t="shared" si="9"/>
        <v>#DIV/0!</v>
      </c>
      <c r="CU19" s="310"/>
      <c r="CV19" s="310"/>
      <c r="CW19" s="310"/>
      <c r="CX19" s="318"/>
      <c r="CY19" s="318"/>
      <c r="CZ19" s="310" t="e">
        <f t="shared" si="40"/>
        <v>#DIV/0!</v>
      </c>
      <c r="DA19" s="310"/>
      <c r="DB19" s="310"/>
      <c r="DC19" s="310"/>
      <c r="DD19" s="310"/>
      <c r="DE19" s="310"/>
      <c r="DF19" s="310"/>
      <c r="DG19" s="312">
        <f t="shared" si="41"/>
        <v>13747.246940000001</v>
      </c>
      <c r="DH19" s="312">
        <f t="shared" si="41"/>
        <v>80.616500000000002</v>
      </c>
      <c r="DI19" s="310">
        <f t="shared" si="42"/>
        <v>0.58641923253325945</v>
      </c>
      <c r="DJ19" s="318">
        <f t="shared" si="43"/>
        <v>2179.6669999999999</v>
      </c>
      <c r="DK19" s="318">
        <f t="shared" si="43"/>
        <v>46.3</v>
      </c>
      <c r="DL19" s="310">
        <f t="shared" si="44"/>
        <v>2.1241776840223761</v>
      </c>
      <c r="DM19" s="310">
        <f>Мос!C59</f>
        <v>2174.6669999999999</v>
      </c>
      <c r="DN19" s="310">
        <f>Мос!D59</f>
        <v>46.3</v>
      </c>
      <c r="DO19" s="310">
        <f t="shared" si="45"/>
        <v>2.1290615988562847</v>
      </c>
      <c r="DP19" s="310">
        <f>Мос!C62</f>
        <v>0</v>
      </c>
      <c r="DQ19" s="310">
        <f>Мос!D62</f>
        <v>0</v>
      </c>
      <c r="DR19" s="310" t="e">
        <f t="shared" si="46"/>
        <v>#DIV/0!</v>
      </c>
      <c r="DS19" s="310">
        <f>Мос!C63</f>
        <v>5</v>
      </c>
      <c r="DT19" s="310">
        <f>Мос!D63</f>
        <v>0</v>
      </c>
      <c r="DU19" s="310">
        <f t="shared" si="47"/>
        <v>0</v>
      </c>
      <c r="DV19" s="310">
        <f>Мос!C64</f>
        <v>0</v>
      </c>
      <c r="DW19" s="310">
        <f>Мос!D64</f>
        <v>0</v>
      </c>
      <c r="DX19" s="310" t="e">
        <f t="shared" si="48"/>
        <v>#DIV/0!</v>
      </c>
      <c r="DY19" s="310">
        <f>Мос!C66</f>
        <v>206.767</v>
      </c>
      <c r="DZ19" s="310">
        <f>Мос!D66</f>
        <v>4.8</v>
      </c>
      <c r="EA19" s="310">
        <f t="shared" si="49"/>
        <v>2.3214536168730984</v>
      </c>
      <c r="EB19" s="310">
        <f>Мос!C67</f>
        <v>7</v>
      </c>
      <c r="EC19" s="310">
        <f>Мос!D67</f>
        <v>0</v>
      </c>
      <c r="ED19" s="310">
        <f t="shared" si="50"/>
        <v>0</v>
      </c>
      <c r="EE19" s="318">
        <f>Мос!C73</f>
        <v>2870.48</v>
      </c>
      <c r="EF19" s="318">
        <f>Мос!D73</f>
        <v>0</v>
      </c>
      <c r="EG19" s="310">
        <f t="shared" si="51"/>
        <v>0</v>
      </c>
      <c r="EH19" s="318">
        <f>Мос!C78</f>
        <v>7236.3329400000002</v>
      </c>
      <c r="EI19" s="318">
        <f>Мос!D78</f>
        <v>29.516500000000001</v>
      </c>
      <c r="EJ19" s="310">
        <f t="shared" si="52"/>
        <v>0.40789306192426239</v>
      </c>
      <c r="EK19" s="318">
        <f>Мос!C83</f>
        <v>1212</v>
      </c>
      <c r="EL19" s="323">
        <f>Мос!D83</f>
        <v>0</v>
      </c>
      <c r="EM19" s="310">
        <f t="shared" si="10"/>
        <v>0</v>
      </c>
      <c r="EN19" s="310">
        <f>Мос!C91</f>
        <v>0</v>
      </c>
      <c r="EO19" s="310">
        <f>Мос!D91</f>
        <v>0</v>
      </c>
      <c r="EP19" s="310" t="e">
        <f t="shared" si="11"/>
        <v>#DIV/0!</v>
      </c>
      <c r="EQ19" s="324">
        <f>Мос!C93</f>
        <v>35</v>
      </c>
      <c r="ER19" s="324">
        <f>Мос!D93</f>
        <v>0</v>
      </c>
      <c r="ES19" s="310">
        <f t="shared" si="53"/>
        <v>0</v>
      </c>
      <c r="ET19" s="310">
        <f>Мос!C99</f>
        <v>0</v>
      </c>
      <c r="EU19" s="310">
        <f>Мос!D99</f>
        <v>0</v>
      </c>
      <c r="EV19" s="310" t="e">
        <f t="shared" si="54"/>
        <v>#DIV/0!</v>
      </c>
      <c r="EW19" s="334">
        <f t="shared" si="12"/>
        <v>0</v>
      </c>
      <c r="EX19" s="334">
        <f t="shared" si="13"/>
        <v>292.13953000000004</v>
      </c>
      <c r="EY19" s="310" t="e">
        <f t="shared" si="56"/>
        <v>#DIV/0!</v>
      </c>
      <c r="EZ19" s="256"/>
      <c r="FA19" s="257"/>
      <c r="FC19" s="257"/>
    </row>
    <row r="20" spans="1:170" s="161" customFormat="1" ht="24.75" customHeight="1">
      <c r="A20" s="346">
        <v>7</v>
      </c>
      <c r="B20" s="348" t="s">
        <v>296</v>
      </c>
      <c r="C20" s="301">
        <f t="shared" si="14"/>
        <v>6990.8870000000006</v>
      </c>
      <c r="D20" s="302">
        <f t="shared" si="0"/>
        <v>395.02847000000003</v>
      </c>
      <c r="E20" s="310">
        <f t="shared" si="1"/>
        <v>5.6506201573562844</v>
      </c>
      <c r="F20" s="304">
        <f t="shared" si="15"/>
        <v>2774.1200000000003</v>
      </c>
      <c r="G20" s="304">
        <f t="shared" si="3"/>
        <v>108.89307000000001</v>
      </c>
      <c r="H20" s="310">
        <f t="shared" si="16"/>
        <v>3.9253193805603215</v>
      </c>
      <c r="I20" s="326">
        <f>Ори!C6</f>
        <v>227.4</v>
      </c>
      <c r="J20" s="455">
        <f>Ори!D6</f>
        <v>12.97113</v>
      </c>
      <c r="K20" s="310">
        <f t="shared" si="17"/>
        <v>5.7041029023746708</v>
      </c>
      <c r="L20" s="310">
        <f>Ори!C8</f>
        <v>178.94</v>
      </c>
      <c r="M20" s="310">
        <f>Ори!D8</f>
        <v>18.603429999999999</v>
      </c>
      <c r="N20" s="303">
        <f t="shared" si="18"/>
        <v>10.396462501397115</v>
      </c>
      <c r="O20" s="303">
        <f>Ори!C9</f>
        <v>1.92</v>
      </c>
      <c r="P20" s="303">
        <f>Ори!D9</f>
        <v>0.10965999999999999</v>
      </c>
      <c r="Q20" s="303">
        <f t="shared" si="19"/>
        <v>5.7114583333333329</v>
      </c>
      <c r="R20" s="303">
        <f>Ори!C10</f>
        <v>298.86</v>
      </c>
      <c r="S20" s="303">
        <f>Ори!D10</f>
        <v>24.961459999999999</v>
      </c>
      <c r="T20" s="303">
        <f t="shared" si="20"/>
        <v>8.3522251221307631</v>
      </c>
      <c r="U20" s="303">
        <f>Ори!C11</f>
        <v>0</v>
      </c>
      <c r="V20" s="307">
        <f>Ори!D11</f>
        <v>-3.1703700000000001</v>
      </c>
      <c r="W20" s="303" t="e">
        <f t="shared" si="21"/>
        <v>#DIV/0!</v>
      </c>
      <c r="X20" s="318">
        <f>Ори!C13</f>
        <v>15</v>
      </c>
      <c r="Y20" s="318">
        <f>Ори!D13</f>
        <v>1.4910000000000001</v>
      </c>
      <c r="Z20" s="310">
        <f t="shared" si="22"/>
        <v>9.94</v>
      </c>
      <c r="AA20" s="318">
        <f>Ори!C15</f>
        <v>350</v>
      </c>
      <c r="AB20" s="309">
        <f>Ори!D15</f>
        <v>3.2356400000000001</v>
      </c>
      <c r="AC20" s="310">
        <f t="shared" si="23"/>
        <v>0.92446857142857142</v>
      </c>
      <c r="AD20" s="318">
        <f>Ори!C16</f>
        <v>1370</v>
      </c>
      <c r="AE20" s="318">
        <f>Ори!D16</f>
        <v>45.103909999999999</v>
      </c>
      <c r="AF20" s="310">
        <f t="shared" si="4"/>
        <v>3.2922562043795622</v>
      </c>
      <c r="AG20" s="310">
        <f>Ори!C18</f>
        <v>8</v>
      </c>
      <c r="AH20" s="310">
        <f>Ори!D18</f>
        <v>0</v>
      </c>
      <c r="AI20" s="310">
        <f t="shared" si="24"/>
        <v>0</v>
      </c>
      <c r="AJ20" s="310"/>
      <c r="AK20" s="310"/>
      <c r="AL20" s="310" t="e">
        <f t="shared" si="5"/>
        <v>#DIV/0!</v>
      </c>
      <c r="AM20" s="318">
        <v>0</v>
      </c>
      <c r="AN20" s="318">
        <v>0</v>
      </c>
      <c r="AO20" s="310" t="e">
        <f t="shared" si="6"/>
        <v>#DIV/0!</v>
      </c>
      <c r="AP20" s="318">
        <f>Ори!C27</f>
        <v>270</v>
      </c>
      <c r="AQ20" s="319">
        <f>Ори!D27</f>
        <v>4.6500000000000004</v>
      </c>
      <c r="AR20" s="310">
        <f t="shared" si="25"/>
        <v>1.7222222222222223</v>
      </c>
      <c r="AS20" s="312">
        <f>Ори!C28</f>
        <v>54</v>
      </c>
      <c r="AT20" s="319">
        <f>Ори!D28</f>
        <v>0</v>
      </c>
      <c r="AU20" s="310">
        <f t="shared" si="26"/>
        <v>0</v>
      </c>
      <c r="AV20" s="318"/>
      <c r="AW20" s="318"/>
      <c r="AX20" s="310" t="e">
        <f t="shared" si="27"/>
        <v>#DIV/0!</v>
      </c>
      <c r="AY20" s="310">
        <f>Ори!C30</f>
        <v>0</v>
      </c>
      <c r="AZ20" s="313">
        <f>Ори!D30</f>
        <v>5.3297999999999996</v>
      </c>
      <c r="BA20" s="310" t="e">
        <f t="shared" si="28"/>
        <v>#DIV/0!</v>
      </c>
      <c r="BB20" s="310"/>
      <c r="BC20" s="310"/>
      <c r="BD20" s="310"/>
      <c r="BE20" s="310">
        <f>Ори!C33</f>
        <v>0</v>
      </c>
      <c r="BF20" s="310">
        <f>Ори!D33</f>
        <v>0</v>
      </c>
      <c r="BG20" s="310" t="e">
        <f t="shared" si="29"/>
        <v>#DIV/0!</v>
      </c>
      <c r="BH20" s="310"/>
      <c r="BI20" s="310"/>
      <c r="BJ20" s="310" t="e">
        <f t="shared" si="30"/>
        <v>#DIV/0!</v>
      </c>
      <c r="BK20" s="310"/>
      <c r="BL20" s="310"/>
      <c r="BM20" s="310"/>
      <c r="BN20" s="310">
        <f>Ори!C35</f>
        <v>0</v>
      </c>
      <c r="BO20" s="310">
        <f>Ори!D34</f>
        <v>0</v>
      </c>
      <c r="BP20" s="303" t="e">
        <f t="shared" si="31"/>
        <v>#DIV/0!</v>
      </c>
      <c r="BQ20" s="310">
        <f>Ори!C36</f>
        <v>0</v>
      </c>
      <c r="BR20" s="310">
        <f>Ори!D36</f>
        <v>-4.3925900000000002</v>
      </c>
      <c r="BS20" s="310" t="e">
        <f t="shared" si="32"/>
        <v>#DIV/0!</v>
      </c>
      <c r="BT20" s="310"/>
      <c r="BU20" s="310"/>
      <c r="BV20" s="320" t="e">
        <f t="shared" si="33"/>
        <v>#DIV/0!</v>
      </c>
      <c r="BW20" s="320"/>
      <c r="BX20" s="320"/>
      <c r="BY20" s="320" t="e">
        <f t="shared" si="34"/>
        <v>#DIV/0!</v>
      </c>
      <c r="BZ20" s="308">
        <f t="shared" si="35"/>
        <v>4216.7669999999998</v>
      </c>
      <c r="CA20" s="308">
        <f t="shared" si="36"/>
        <v>286.1354</v>
      </c>
      <c r="CB20" s="310">
        <f t="shared" si="55"/>
        <v>6.7856583017273664</v>
      </c>
      <c r="CC20" s="310">
        <f>Ори!C41</f>
        <v>3226.8</v>
      </c>
      <c r="CD20" s="310">
        <f>Ори!D41</f>
        <v>268.90199999999999</v>
      </c>
      <c r="CE20" s="310">
        <f t="shared" si="37"/>
        <v>8.3333953142432122</v>
      </c>
      <c r="CF20" s="310">
        <f>Ори!C42</f>
        <v>0</v>
      </c>
      <c r="CG20" s="468">
        <f>Ори!D42</f>
        <v>0</v>
      </c>
      <c r="CH20" s="310" t="e">
        <f t="shared" si="38"/>
        <v>#DIV/0!</v>
      </c>
      <c r="CI20" s="310">
        <f>Ори!C43</f>
        <v>678.94</v>
      </c>
      <c r="CJ20" s="310">
        <f>Ори!D43</f>
        <v>0</v>
      </c>
      <c r="CK20" s="310">
        <f t="shared" si="7"/>
        <v>0</v>
      </c>
      <c r="CL20" s="310">
        <f>Ори!C45</f>
        <v>211.02699999999999</v>
      </c>
      <c r="CM20" s="310">
        <f>Ори!D45</f>
        <v>17.2334</v>
      </c>
      <c r="CN20" s="310">
        <f t="shared" si="8"/>
        <v>8.1664431565629041</v>
      </c>
      <c r="CO20" s="310">
        <f>Ори!C46</f>
        <v>100</v>
      </c>
      <c r="CP20" s="310">
        <f>Ори!D46</f>
        <v>0</v>
      </c>
      <c r="CQ20" s="303">
        <f t="shared" si="39"/>
        <v>0</v>
      </c>
      <c r="CR20" s="322">
        <f>Ори!C47</f>
        <v>0</v>
      </c>
      <c r="CS20" s="310">
        <f>Ори!D47</f>
        <v>0</v>
      </c>
      <c r="CT20" s="310" t="e">
        <f t="shared" si="9"/>
        <v>#DIV/0!</v>
      </c>
      <c r="CU20" s="310"/>
      <c r="CV20" s="310"/>
      <c r="CW20" s="310"/>
      <c r="CX20" s="318"/>
      <c r="CY20" s="318"/>
      <c r="CZ20" s="310" t="e">
        <f t="shared" si="40"/>
        <v>#DIV/0!</v>
      </c>
      <c r="DA20" s="310"/>
      <c r="DB20" s="310"/>
      <c r="DC20" s="310"/>
      <c r="DD20" s="310"/>
      <c r="DE20" s="310"/>
      <c r="DF20" s="310"/>
      <c r="DG20" s="312">
        <f t="shared" si="41"/>
        <v>6990.8870000000006</v>
      </c>
      <c r="DH20" s="312">
        <f t="shared" si="41"/>
        <v>31</v>
      </c>
      <c r="DI20" s="310">
        <f t="shared" si="42"/>
        <v>0.44343443113870956</v>
      </c>
      <c r="DJ20" s="318">
        <f t="shared" si="43"/>
        <v>1575.69</v>
      </c>
      <c r="DK20" s="318">
        <f t="shared" si="43"/>
        <v>27</v>
      </c>
      <c r="DL20" s="310">
        <f t="shared" si="44"/>
        <v>1.7135350227519373</v>
      </c>
      <c r="DM20" s="310">
        <f>Ори!C58</f>
        <v>1471.7</v>
      </c>
      <c r="DN20" s="310">
        <f>Ори!D58</f>
        <v>27</v>
      </c>
      <c r="DO20" s="310">
        <f t="shared" si="45"/>
        <v>1.8346130325473942</v>
      </c>
      <c r="DP20" s="310">
        <f>Ори!C61</f>
        <v>0</v>
      </c>
      <c r="DQ20" s="310">
        <f>Ори!D61</f>
        <v>0</v>
      </c>
      <c r="DR20" s="310" t="e">
        <f t="shared" si="46"/>
        <v>#DIV/0!</v>
      </c>
      <c r="DS20" s="310">
        <f>Ори!C62</f>
        <v>100</v>
      </c>
      <c r="DT20" s="310">
        <f>Ори!D62</f>
        <v>0</v>
      </c>
      <c r="DU20" s="310">
        <f t="shared" si="47"/>
        <v>0</v>
      </c>
      <c r="DV20" s="310">
        <f>Ори!C63</f>
        <v>3.99</v>
      </c>
      <c r="DW20" s="310">
        <f>Ори!D63</f>
        <v>0</v>
      </c>
      <c r="DX20" s="310">
        <f t="shared" si="48"/>
        <v>0</v>
      </c>
      <c r="DY20" s="310">
        <f>Ори!C65</f>
        <v>206.767</v>
      </c>
      <c r="DZ20" s="310">
        <f>Ори!D65</f>
        <v>4</v>
      </c>
      <c r="EA20" s="310">
        <f t="shared" si="49"/>
        <v>1.9345446807275821</v>
      </c>
      <c r="EB20" s="310">
        <f>Ори!C66</f>
        <v>15</v>
      </c>
      <c r="EC20" s="310">
        <f>Ори!D66</f>
        <v>0</v>
      </c>
      <c r="ED20" s="310">
        <f t="shared" si="50"/>
        <v>0</v>
      </c>
      <c r="EE20" s="318">
        <f>Ори!C72</f>
        <v>1582.92</v>
      </c>
      <c r="EF20" s="318">
        <f>Ори!D72</f>
        <v>0</v>
      </c>
      <c r="EG20" s="310">
        <f t="shared" si="51"/>
        <v>0</v>
      </c>
      <c r="EH20" s="318">
        <f>Ори!C77</f>
        <v>1626.75</v>
      </c>
      <c r="EI20" s="318">
        <f>Ори!D77</f>
        <v>0</v>
      </c>
      <c r="EJ20" s="310">
        <f t="shared" si="52"/>
        <v>0</v>
      </c>
      <c r="EK20" s="318">
        <f>Ори!C82</f>
        <v>1933.76</v>
      </c>
      <c r="EL20" s="323">
        <f>Ори!D82</f>
        <v>0</v>
      </c>
      <c r="EM20" s="310">
        <f t="shared" si="10"/>
        <v>0</v>
      </c>
      <c r="EN20" s="310">
        <f>Ори!C84</f>
        <v>0</v>
      </c>
      <c r="EO20" s="310">
        <f>Ори!D84</f>
        <v>0</v>
      </c>
      <c r="EP20" s="310" t="e">
        <f t="shared" si="11"/>
        <v>#DIV/0!</v>
      </c>
      <c r="EQ20" s="324">
        <f>Ори!C89</f>
        <v>50</v>
      </c>
      <c r="ER20" s="324">
        <f>Ори!D89</f>
        <v>0</v>
      </c>
      <c r="ES20" s="310">
        <f t="shared" si="53"/>
        <v>0</v>
      </c>
      <c r="ET20" s="310">
        <f>Ори!C95</f>
        <v>0</v>
      </c>
      <c r="EU20" s="310">
        <f>Ори!D95</f>
        <v>0</v>
      </c>
      <c r="EV20" s="303" t="e">
        <f t="shared" si="54"/>
        <v>#DIV/0!</v>
      </c>
      <c r="EW20" s="317">
        <f t="shared" si="12"/>
        <v>0</v>
      </c>
      <c r="EX20" s="317">
        <f t="shared" si="13"/>
        <v>364.02847000000003</v>
      </c>
      <c r="EY20" s="303" t="e">
        <f t="shared" si="56"/>
        <v>#DIV/0!</v>
      </c>
      <c r="EZ20" s="163"/>
      <c r="FA20" s="164"/>
      <c r="FC20" s="164"/>
      <c r="FF20" s="166"/>
      <c r="FG20" s="166"/>
      <c r="FH20" s="166"/>
      <c r="FI20" s="166"/>
      <c r="FJ20" s="166"/>
      <c r="FK20" s="166"/>
      <c r="FL20" s="166"/>
      <c r="FM20" s="166"/>
      <c r="FN20" s="166"/>
    </row>
    <row r="21" spans="1:170" s="161" customFormat="1" ht="24.75" customHeight="1">
      <c r="A21" s="346">
        <v>8</v>
      </c>
      <c r="B21" s="348" t="s">
        <v>297</v>
      </c>
      <c r="C21" s="301">
        <f t="shared" si="14"/>
        <v>7912.1270000000004</v>
      </c>
      <c r="D21" s="302">
        <f t="shared" si="0"/>
        <v>494.13097000000005</v>
      </c>
      <c r="E21" s="310">
        <f t="shared" si="1"/>
        <v>6.2452355731903699</v>
      </c>
      <c r="F21" s="304">
        <f t="shared" si="15"/>
        <v>2161.15</v>
      </c>
      <c r="G21" s="304">
        <f t="shared" si="3"/>
        <v>90.419570000000007</v>
      </c>
      <c r="H21" s="310">
        <f t="shared" si="16"/>
        <v>4.1838636836869263</v>
      </c>
      <c r="I21" s="318">
        <f>Сят!C6</f>
        <v>127.65</v>
      </c>
      <c r="J21" s="456">
        <f>Сят!D6</f>
        <v>1.8184199999999999</v>
      </c>
      <c r="K21" s="310">
        <f t="shared" si="17"/>
        <v>1.4245358401880139</v>
      </c>
      <c r="L21" s="310">
        <f>Сят!C8</f>
        <v>220.44</v>
      </c>
      <c r="M21" s="310">
        <f>Сят!D8</f>
        <v>22.91864</v>
      </c>
      <c r="N21" s="303">
        <f t="shared" si="18"/>
        <v>10.396770096171295</v>
      </c>
      <c r="O21" s="303">
        <f>Сят!C9</f>
        <v>2.36</v>
      </c>
      <c r="P21" s="303">
        <f>Сят!D9</f>
        <v>0.13508999999999999</v>
      </c>
      <c r="Q21" s="303">
        <f t="shared" si="19"/>
        <v>5.724152542372881</v>
      </c>
      <c r="R21" s="303">
        <f>Сят!C10</f>
        <v>368.2</v>
      </c>
      <c r="S21" s="303">
        <f>Сят!D10</f>
        <v>30.751480000000001</v>
      </c>
      <c r="T21" s="303">
        <f t="shared" si="20"/>
        <v>8.351841390548616</v>
      </c>
      <c r="U21" s="303">
        <f>Сят!C11</f>
        <v>0</v>
      </c>
      <c r="V21" s="307">
        <f>Сят!D11</f>
        <v>-3.9057300000000001</v>
      </c>
      <c r="W21" s="303" t="e">
        <f t="shared" si="21"/>
        <v>#DIV/0!</v>
      </c>
      <c r="X21" s="318">
        <f>Сят!C13</f>
        <v>90</v>
      </c>
      <c r="Y21" s="318">
        <f>Сят!D13</f>
        <v>17.828099999999999</v>
      </c>
      <c r="Z21" s="310">
        <f t="shared" si="22"/>
        <v>19.808999999999997</v>
      </c>
      <c r="AA21" s="318">
        <f>Сят!C15</f>
        <v>180</v>
      </c>
      <c r="AB21" s="309">
        <f>Сят!D15</f>
        <v>2.3117899999999998</v>
      </c>
      <c r="AC21" s="310">
        <f t="shared" si="23"/>
        <v>1.2843277777777777</v>
      </c>
      <c r="AD21" s="318">
        <f>Сят!C16</f>
        <v>919</v>
      </c>
      <c r="AE21" s="318">
        <f>Сят!D16</f>
        <v>17.7973</v>
      </c>
      <c r="AF21" s="310">
        <f t="shared" si="4"/>
        <v>1.9365941240478781</v>
      </c>
      <c r="AG21" s="310">
        <f>Сят!C18</f>
        <v>4</v>
      </c>
      <c r="AH21" s="310">
        <f>Сят!D18</f>
        <v>0.2</v>
      </c>
      <c r="AI21" s="310">
        <f t="shared" si="24"/>
        <v>5</v>
      </c>
      <c r="AJ21" s="310">
        <f>Сят!C22</f>
        <v>0</v>
      </c>
      <c r="AK21" s="310">
        <f>Сят!D20</f>
        <v>0</v>
      </c>
      <c r="AL21" s="310" t="e">
        <f t="shared" si="5"/>
        <v>#DIV/0!</v>
      </c>
      <c r="AM21" s="318">
        <v>0</v>
      </c>
      <c r="AN21" s="318">
        <v>0</v>
      </c>
      <c r="AO21" s="310" t="e">
        <f t="shared" si="6"/>
        <v>#DIV/0!</v>
      </c>
      <c r="AP21" s="318">
        <f>Сят!C27</f>
        <v>242.8</v>
      </c>
      <c r="AQ21" s="319">
        <f>Сят!D27</f>
        <v>0</v>
      </c>
      <c r="AR21" s="310">
        <f t="shared" si="25"/>
        <v>0</v>
      </c>
      <c r="AS21" s="312">
        <f>Сят!C28</f>
        <v>6.7</v>
      </c>
      <c r="AT21" s="319">
        <f>Сят!D28</f>
        <v>0.56447999999999998</v>
      </c>
      <c r="AU21" s="310">
        <f t="shared" si="26"/>
        <v>8.4250746268656709</v>
      </c>
      <c r="AV21" s="318"/>
      <c r="AW21" s="318"/>
      <c r="AX21" s="310" t="e">
        <f t="shared" si="27"/>
        <v>#DIV/0!</v>
      </c>
      <c r="AY21" s="310">
        <f>Сят!C30</f>
        <v>0</v>
      </c>
      <c r="AZ21" s="313">
        <f>Сят!D30</f>
        <v>0</v>
      </c>
      <c r="BA21" s="310" t="e">
        <f t="shared" si="28"/>
        <v>#DIV/0!</v>
      </c>
      <c r="BB21" s="310"/>
      <c r="BC21" s="310"/>
      <c r="BD21" s="310"/>
      <c r="BE21" s="310">
        <f>Сят!C33</f>
        <v>0</v>
      </c>
      <c r="BF21" s="310">
        <f>Сят!D33</f>
        <v>0</v>
      </c>
      <c r="BG21" s="310" t="e">
        <f t="shared" si="29"/>
        <v>#DIV/0!</v>
      </c>
      <c r="BH21" s="310"/>
      <c r="BI21" s="310"/>
      <c r="BJ21" s="310" t="e">
        <f t="shared" si="30"/>
        <v>#DIV/0!</v>
      </c>
      <c r="BK21" s="310"/>
      <c r="BL21" s="310"/>
      <c r="BM21" s="310"/>
      <c r="BN21" s="310">
        <f>Сят!C34</f>
        <v>0</v>
      </c>
      <c r="BO21" s="310">
        <f>Сят!D34</f>
        <v>0</v>
      </c>
      <c r="BP21" s="303" t="e">
        <f t="shared" si="31"/>
        <v>#DIV/0!</v>
      </c>
      <c r="BQ21" s="310">
        <f>Сят!C36</f>
        <v>0</v>
      </c>
      <c r="BR21" s="310">
        <f>Сят!D36</f>
        <v>0</v>
      </c>
      <c r="BS21" s="310" t="e">
        <f t="shared" si="32"/>
        <v>#DIV/0!</v>
      </c>
      <c r="BT21" s="310"/>
      <c r="BU21" s="310"/>
      <c r="BV21" s="320" t="e">
        <f t="shared" si="33"/>
        <v>#DIV/0!</v>
      </c>
      <c r="BW21" s="320"/>
      <c r="BX21" s="320"/>
      <c r="BY21" s="320" t="e">
        <f t="shared" si="34"/>
        <v>#DIV/0!</v>
      </c>
      <c r="BZ21" s="308">
        <f t="shared" si="35"/>
        <v>5750.9769999999999</v>
      </c>
      <c r="CA21" s="308">
        <f t="shared" si="36"/>
        <v>403.71140000000003</v>
      </c>
      <c r="CB21" s="310">
        <f t="shared" si="55"/>
        <v>7.0198750577510571</v>
      </c>
      <c r="CC21" s="310">
        <f>Сят!C41</f>
        <v>4637.7</v>
      </c>
      <c r="CD21" s="310">
        <f>Сят!D41</f>
        <v>386.47800000000001</v>
      </c>
      <c r="CE21" s="310">
        <f t="shared" si="37"/>
        <v>8.3333980205705416</v>
      </c>
      <c r="CF21" s="310">
        <f>Сят!C42</f>
        <v>0</v>
      </c>
      <c r="CG21" s="468">
        <f>Сят!D42</f>
        <v>0</v>
      </c>
      <c r="CH21" s="310" t="e">
        <f t="shared" si="38"/>
        <v>#DIV/0!</v>
      </c>
      <c r="CI21" s="310">
        <f>Сят!C43</f>
        <v>827.25</v>
      </c>
      <c r="CJ21" s="310">
        <f>Сят!D43</f>
        <v>0</v>
      </c>
      <c r="CK21" s="310">
        <f t="shared" si="7"/>
        <v>0</v>
      </c>
      <c r="CL21" s="310">
        <f>Сят!C44</f>
        <v>211.02699999999999</v>
      </c>
      <c r="CM21" s="310">
        <f>Сят!D44</f>
        <v>17.2334</v>
      </c>
      <c r="CN21" s="310">
        <f t="shared" si="8"/>
        <v>8.1664431565629041</v>
      </c>
      <c r="CO21" s="310">
        <f>Сят!C48</f>
        <v>75</v>
      </c>
      <c r="CP21" s="310">
        <f>Сят!D48</f>
        <v>0</v>
      </c>
      <c r="CQ21" s="303">
        <f t="shared" si="39"/>
        <v>0</v>
      </c>
      <c r="CR21" s="322">
        <f>Сят!C49</f>
        <v>0</v>
      </c>
      <c r="CS21" s="310">
        <f>Сят!D49</f>
        <v>0</v>
      </c>
      <c r="CT21" s="310" t="e">
        <f t="shared" si="9"/>
        <v>#DIV/0!</v>
      </c>
      <c r="CU21" s="310"/>
      <c r="CV21" s="310">
        <f>Сят!D50</f>
        <v>0</v>
      </c>
      <c r="CW21" s="310"/>
      <c r="CX21" s="318"/>
      <c r="CY21" s="318"/>
      <c r="CZ21" s="310" t="e">
        <f t="shared" si="40"/>
        <v>#DIV/0!</v>
      </c>
      <c r="DA21" s="310"/>
      <c r="DB21" s="310"/>
      <c r="DC21" s="310"/>
      <c r="DD21" s="310"/>
      <c r="DE21" s="310"/>
      <c r="DF21" s="310"/>
      <c r="DG21" s="312">
        <f t="shared" si="41"/>
        <v>7912.1270000000004</v>
      </c>
      <c r="DH21" s="312">
        <f t="shared" si="41"/>
        <v>74.32732</v>
      </c>
      <c r="DI21" s="310">
        <f t="shared" si="42"/>
        <v>0.93941009794205788</v>
      </c>
      <c r="DJ21" s="318">
        <f t="shared" si="43"/>
        <v>1645.8869999999999</v>
      </c>
      <c r="DK21" s="318">
        <f>Сят!D56</f>
        <v>69.527320000000003</v>
      </c>
      <c r="DL21" s="310">
        <f t="shared" si="44"/>
        <v>4.2243070150016377</v>
      </c>
      <c r="DM21" s="310">
        <f>Сят!C58</f>
        <v>1506.5</v>
      </c>
      <c r="DN21" s="310">
        <f>Сят!D58</f>
        <v>69.527320000000003</v>
      </c>
      <c r="DO21" s="310">
        <f t="shared" si="45"/>
        <v>4.6151556588118154</v>
      </c>
      <c r="DP21" s="310">
        <f>Сят!C61</f>
        <v>0</v>
      </c>
      <c r="DQ21" s="310">
        <f>Сят!D61</f>
        <v>0</v>
      </c>
      <c r="DR21" s="310" t="e">
        <f t="shared" si="46"/>
        <v>#DIV/0!</v>
      </c>
      <c r="DS21" s="310">
        <f>Сят!C62</f>
        <v>100</v>
      </c>
      <c r="DT21" s="310">
        <f>Сят!D62</f>
        <v>0</v>
      </c>
      <c r="DU21" s="310">
        <f t="shared" si="47"/>
        <v>0</v>
      </c>
      <c r="DV21" s="310">
        <f>Сят!C63</f>
        <v>39.387</v>
      </c>
      <c r="DW21" s="310">
        <f>Сят!D63</f>
        <v>0</v>
      </c>
      <c r="DX21" s="310">
        <f t="shared" si="48"/>
        <v>0</v>
      </c>
      <c r="DY21" s="310">
        <f>Сят!C65</f>
        <v>206.767</v>
      </c>
      <c r="DZ21" s="310">
        <f>Сят!D65</f>
        <v>4.8</v>
      </c>
      <c r="EA21" s="310">
        <f t="shared" si="49"/>
        <v>2.3214536168730984</v>
      </c>
      <c r="EB21" s="310">
        <f>Сят!C66</f>
        <v>115</v>
      </c>
      <c r="EC21" s="310">
        <f>Сят!D66</f>
        <v>0</v>
      </c>
      <c r="ED21" s="310">
        <f t="shared" si="50"/>
        <v>0</v>
      </c>
      <c r="EE21" s="318">
        <f>Сят!C72</f>
        <v>1965.31</v>
      </c>
      <c r="EF21" s="318">
        <f>Сят!D72</f>
        <v>0</v>
      </c>
      <c r="EG21" s="310">
        <f t="shared" si="51"/>
        <v>0</v>
      </c>
      <c r="EH21" s="318">
        <f>Сят!C77</f>
        <v>1328.59</v>
      </c>
      <c r="EI21" s="318">
        <f>Сят!D77</f>
        <v>0</v>
      </c>
      <c r="EJ21" s="310">
        <f t="shared" si="52"/>
        <v>0</v>
      </c>
      <c r="EK21" s="318">
        <f>Сят!C81</f>
        <v>2600.5729999999999</v>
      </c>
      <c r="EL21" s="323">
        <f>Сят!D81</f>
        <v>0</v>
      </c>
      <c r="EM21" s="310">
        <f t="shared" si="10"/>
        <v>0</v>
      </c>
      <c r="EN21" s="310">
        <f>Сят!C83</f>
        <v>0</v>
      </c>
      <c r="EO21" s="310">
        <f>Сят!D83</f>
        <v>0</v>
      </c>
      <c r="EP21" s="310" t="e">
        <f t="shared" si="11"/>
        <v>#DIV/0!</v>
      </c>
      <c r="EQ21" s="324">
        <f>Сят!C88</f>
        <v>50</v>
      </c>
      <c r="ER21" s="324">
        <f>Сят!D88</f>
        <v>0</v>
      </c>
      <c r="ES21" s="310">
        <f t="shared" si="53"/>
        <v>0</v>
      </c>
      <c r="ET21" s="310">
        <f>Сят!C94</f>
        <v>0</v>
      </c>
      <c r="EU21" s="310">
        <f>Сят!D94</f>
        <v>0</v>
      </c>
      <c r="EV21" s="303" t="e">
        <f t="shared" si="54"/>
        <v>#DIV/0!</v>
      </c>
      <c r="EW21" s="317">
        <f t="shared" si="12"/>
        <v>0</v>
      </c>
      <c r="EX21" s="317">
        <f t="shared" si="13"/>
        <v>419.80365000000006</v>
      </c>
      <c r="EY21" s="303" t="e">
        <f t="shared" si="56"/>
        <v>#DIV/0!</v>
      </c>
      <c r="EZ21" s="163"/>
      <c r="FA21" s="164"/>
      <c r="FB21" s="166"/>
      <c r="FC21" s="164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</row>
    <row r="22" spans="1:170" s="173" customFormat="1" ht="22.5" customHeight="1">
      <c r="A22" s="349">
        <v>9</v>
      </c>
      <c r="B22" s="350" t="s">
        <v>298</v>
      </c>
      <c r="C22" s="327">
        <f>F22+BZ22</f>
        <v>6051.0460000000003</v>
      </c>
      <c r="D22" s="328">
        <f t="shared" si="0"/>
        <v>412.00525000000005</v>
      </c>
      <c r="E22" s="313">
        <f t="shared" si="1"/>
        <v>6.8088269366982175</v>
      </c>
      <c r="F22" s="304">
        <f t="shared" si="15"/>
        <v>2043.44</v>
      </c>
      <c r="G22" s="329">
        <f t="shared" si="3"/>
        <v>186.92085000000003</v>
      </c>
      <c r="H22" s="313">
        <f t="shared" si="16"/>
        <v>9.1473618016677776</v>
      </c>
      <c r="I22" s="312">
        <f>Тор!C6</f>
        <v>112.95</v>
      </c>
      <c r="J22" s="456">
        <f>Тор!D6</f>
        <v>5.1153199999999996</v>
      </c>
      <c r="K22" s="313">
        <f t="shared" si="17"/>
        <v>4.528835768038955</v>
      </c>
      <c r="L22" s="313">
        <f>Тор!C8</f>
        <v>305.3</v>
      </c>
      <c r="M22" s="313">
        <f>Тор!D8</f>
        <v>31.7409</v>
      </c>
      <c r="N22" s="313">
        <f t="shared" si="18"/>
        <v>10.396626269243367</v>
      </c>
      <c r="O22" s="313">
        <f>Тор!C9</f>
        <v>3.27</v>
      </c>
      <c r="P22" s="313">
        <f>Тор!D9</f>
        <v>0.18711</v>
      </c>
      <c r="Q22" s="313">
        <f t="shared" si="19"/>
        <v>5.7220183486238527</v>
      </c>
      <c r="R22" s="313">
        <f>Тор!C10</f>
        <v>509.92</v>
      </c>
      <c r="S22" s="313">
        <f>Тор!D10</f>
        <v>42.58887</v>
      </c>
      <c r="T22" s="313">
        <f t="shared" si="20"/>
        <v>8.3520689519924698</v>
      </c>
      <c r="U22" s="313">
        <f>Тор!C11</f>
        <v>0</v>
      </c>
      <c r="V22" s="330">
        <f>Тор!D11</f>
        <v>-5.4092399999999996</v>
      </c>
      <c r="W22" s="313" t="e">
        <f t="shared" si="21"/>
        <v>#DIV/0!</v>
      </c>
      <c r="X22" s="312">
        <f>Тор!C13</f>
        <v>35</v>
      </c>
      <c r="Y22" s="312">
        <f>Тор!D13</f>
        <v>0</v>
      </c>
      <c r="Z22" s="313">
        <f t="shared" si="22"/>
        <v>0</v>
      </c>
      <c r="AA22" s="312">
        <f>Тор!C15</f>
        <v>160</v>
      </c>
      <c r="AB22" s="309">
        <f>Тор!D15</f>
        <v>1.16072</v>
      </c>
      <c r="AC22" s="313">
        <f t="shared" si="23"/>
        <v>0.72544999999999993</v>
      </c>
      <c r="AD22" s="312">
        <f>Тор!C16</f>
        <v>382</v>
      </c>
      <c r="AE22" s="312">
        <f>Тор!D16</f>
        <v>11.48602</v>
      </c>
      <c r="AF22" s="313">
        <f t="shared" si="4"/>
        <v>3.0068115183246076</v>
      </c>
      <c r="AG22" s="313">
        <f>Тор!C18</f>
        <v>8</v>
      </c>
      <c r="AH22" s="313">
        <f>Тор!D18</f>
        <v>0.3</v>
      </c>
      <c r="AI22" s="313">
        <f t="shared" si="24"/>
        <v>3.75</v>
      </c>
      <c r="AJ22" s="313"/>
      <c r="AK22" s="313">
        <f>Тор!D20</f>
        <v>0</v>
      </c>
      <c r="AL22" s="313" t="e">
        <f t="shared" si="5"/>
        <v>#DIV/0!</v>
      </c>
      <c r="AM22" s="312">
        <v>0</v>
      </c>
      <c r="AN22" s="312">
        <v>0</v>
      </c>
      <c r="AO22" s="313" t="e">
        <f t="shared" si="6"/>
        <v>#DIV/0!</v>
      </c>
      <c r="AP22" s="312">
        <f>Тор!C27</f>
        <v>450</v>
      </c>
      <c r="AQ22" s="309">
        <f>Тор!D27</f>
        <v>99.207800000000006</v>
      </c>
      <c r="AR22" s="313">
        <f t="shared" si="25"/>
        <v>22.046177777777778</v>
      </c>
      <c r="AS22" s="312">
        <f>Тор!C28</f>
        <v>77</v>
      </c>
      <c r="AT22" s="309">
        <f>Тор!D28</f>
        <v>0.54335</v>
      </c>
      <c r="AU22" s="313">
        <f t="shared" si="26"/>
        <v>0.70564935064935064</v>
      </c>
      <c r="AV22" s="312"/>
      <c r="AW22" s="312"/>
      <c r="AX22" s="313" t="e">
        <f t="shared" si="27"/>
        <v>#DIV/0!</v>
      </c>
      <c r="AY22" s="313">
        <f>Тор!C29</f>
        <v>0</v>
      </c>
      <c r="AZ22" s="313">
        <f>Тор!D29</f>
        <v>0</v>
      </c>
      <c r="BA22" s="313" t="e">
        <f t="shared" si="28"/>
        <v>#DIV/0!</v>
      </c>
      <c r="BB22" s="313"/>
      <c r="BC22" s="313"/>
      <c r="BD22" s="313"/>
      <c r="BE22" s="313">
        <f>Тор!C34+Тор!C33</f>
        <v>0</v>
      </c>
      <c r="BF22" s="313">
        <f>Тор!D32</f>
        <v>0</v>
      </c>
      <c r="BG22" s="313" t="e">
        <f t="shared" si="29"/>
        <v>#DIV/0!</v>
      </c>
      <c r="BH22" s="313"/>
      <c r="BI22" s="313"/>
      <c r="BJ22" s="313" t="e">
        <f t="shared" si="30"/>
        <v>#DIV/0!</v>
      </c>
      <c r="BK22" s="313"/>
      <c r="BL22" s="313"/>
      <c r="BM22" s="313"/>
      <c r="BN22" s="313">
        <f>Тор!C35</f>
        <v>0</v>
      </c>
      <c r="BO22" s="313">
        <f>Тор!D35</f>
        <v>0</v>
      </c>
      <c r="BP22" s="303" t="e">
        <f t="shared" si="31"/>
        <v>#DIV/0!</v>
      </c>
      <c r="BQ22" s="313">
        <f>Тор!C37</f>
        <v>0</v>
      </c>
      <c r="BR22" s="313">
        <f>Тор!D37</f>
        <v>0</v>
      </c>
      <c r="BS22" s="313" t="e">
        <f t="shared" si="32"/>
        <v>#DIV/0!</v>
      </c>
      <c r="BT22" s="313"/>
      <c r="BU22" s="313"/>
      <c r="BV22" s="331" t="e">
        <f t="shared" si="33"/>
        <v>#DIV/0!</v>
      </c>
      <c r="BW22" s="331"/>
      <c r="BX22" s="331"/>
      <c r="BY22" s="331" t="e">
        <f t="shared" si="34"/>
        <v>#DIV/0!</v>
      </c>
      <c r="BZ22" s="312">
        <f t="shared" si="35"/>
        <v>4007.6059999999998</v>
      </c>
      <c r="CA22" s="308">
        <f t="shared" si="36"/>
        <v>225.08439999999999</v>
      </c>
      <c r="CB22" s="313">
        <f t="shared" si="55"/>
        <v>5.6164303576748811</v>
      </c>
      <c r="CC22" s="313">
        <f>Тор!C42</f>
        <v>2494.1999999999998</v>
      </c>
      <c r="CD22" s="313">
        <f>Тор!D42</f>
        <v>207.851</v>
      </c>
      <c r="CE22" s="313">
        <f t="shared" si="37"/>
        <v>8.3333734263491301</v>
      </c>
      <c r="CF22" s="313">
        <f>Тор!C43</f>
        <v>0</v>
      </c>
      <c r="CG22" s="469">
        <f>Тор!D43</f>
        <v>0</v>
      </c>
      <c r="CH22" s="313" t="e">
        <f t="shared" si="38"/>
        <v>#DIV/0!</v>
      </c>
      <c r="CI22" s="313">
        <f>Тор!C44</f>
        <v>1227.3800000000001</v>
      </c>
      <c r="CJ22" s="313">
        <f>Тор!D44</f>
        <v>0</v>
      </c>
      <c r="CK22" s="313">
        <f t="shared" si="7"/>
        <v>0</v>
      </c>
      <c r="CL22" s="313">
        <f>Тор!C45</f>
        <v>211.02600000000001</v>
      </c>
      <c r="CM22" s="313">
        <f>Тор!D45</f>
        <v>17.2334</v>
      </c>
      <c r="CN22" s="313">
        <f t="shared" si="8"/>
        <v>8.1664818553164054</v>
      </c>
      <c r="CO22" s="313">
        <f>Тор!C46</f>
        <v>75</v>
      </c>
      <c r="CP22" s="313">
        <f>Тор!D46</f>
        <v>0</v>
      </c>
      <c r="CQ22" s="303">
        <f t="shared" si="39"/>
        <v>0</v>
      </c>
      <c r="CR22" s="330">
        <f>Тор!C48</f>
        <v>0</v>
      </c>
      <c r="CS22" s="313">
        <f>Тор!D48</f>
        <v>0</v>
      </c>
      <c r="CT22" s="313" t="e">
        <f t="shared" si="9"/>
        <v>#DIV/0!</v>
      </c>
      <c r="CU22" s="313"/>
      <c r="CV22" s="313">
        <f>Тор!D49</f>
        <v>0</v>
      </c>
      <c r="CW22" s="313"/>
      <c r="CX22" s="312"/>
      <c r="CY22" s="312"/>
      <c r="CZ22" s="313" t="e">
        <f t="shared" si="40"/>
        <v>#DIV/0!</v>
      </c>
      <c r="DA22" s="313"/>
      <c r="DB22" s="313"/>
      <c r="DC22" s="313"/>
      <c r="DD22" s="313"/>
      <c r="DE22" s="313"/>
      <c r="DF22" s="313"/>
      <c r="DG22" s="312">
        <f t="shared" si="41"/>
        <v>6051.0460000000003</v>
      </c>
      <c r="DH22" s="312">
        <f t="shared" si="41"/>
        <v>34.270359999999997</v>
      </c>
      <c r="DI22" s="313">
        <f t="shared" si="42"/>
        <v>0.56635431295680105</v>
      </c>
      <c r="DJ22" s="312">
        <f t="shared" si="43"/>
        <v>1308.961</v>
      </c>
      <c r="DK22" s="312">
        <f t="shared" si="43"/>
        <v>25.2</v>
      </c>
      <c r="DL22" s="313">
        <f t="shared" si="44"/>
        <v>1.9251910484727963</v>
      </c>
      <c r="DM22" s="313">
        <f>Тор!C58</f>
        <v>1205.7</v>
      </c>
      <c r="DN22" s="313">
        <f>Тор!D58</f>
        <v>25.2</v>
      </c>
      <c r="DO22" s="313">
        <f t="shared" si="45"/>
        <v>2.0900721572530481</v>
      </c>
      <c r="DP22" s="313">
        <f>Тор!C61</f>
        <v>0</v>
      </c>
      <c r="DQ22" s="313">
        <f>Тор!D61</f>
        <v>0</v>
      </c>
      <c r="DR22" s="313" t="e">
        <f t="shared" si="46"/>
        <v>#DIV/0!</v>
      </c>
      <c r="DS22" s="313">
        <f>Тор!C62</f>
        <v>100</v>
      </c>
      <c r="DT22" s="313">
        <f>Тор!D62</f>
        <v>0</v>
      </c>
      <c r="DU22" s="313">
        <f t="shared" si="47"/>
        <v>0</v>
      </c>
      <c r="DV22" s="313">
        <f>Тор!C63</f>
        <v>3.2610000000000001</v>
      </c>
      <c r="DW22" s="313">
        <f>Тор!D63</f>
        <v>0</v>
      </c>
      <c r="DX22" s="313">
        <f t="shared" si="48"/>
        <v>0</v>
      </c>
      <c r="DY22" s="313">
        <f>Тор!C65</f>
        <v>206.76599999999999</v>
      </c>
      <c r="DZ22" s="313">
        <f>+Тор!D64</f>
        <v>4.8</v>
      </c>
      <c r="EA22" s="313">
        <f t="shared" si="49"/>
        <v>2.3214648443167638</v>
      </c>
      <c r="EB22" s="313">
        <f>Тор!C66</f>
        <v>15</v>
      </c>
      <c r="EC22" s="313">
        <f>Тор!D66</f>
        <v>0</v>
      </c>
      <c r="ED22" s="313">
        <f t="shared" si="50"/>
        <v>0</v>
      </c>
      <c r="EE22" s="312">
        <f>Тор!C72</f>
        <v>2505.13</v>
      </c>
      <c r="EF22" s="312">
        <f>Тор!D72</f>
        <v>0</v>
      </c>
      <c r="EG22" s="313">
        <f t="shared" si="51"/>
        <v>0</v>
      </c>
      <c r="EH22" s="312">
        <f>Тор!C78</f>
        <v>667.08900000000006</v>
      </c>
      <c r="EI22" s="312">
        <f>Тор!D78</f>
        <v>4.2703600000000002</v>
      </c>
      <c r="EJ22" s="313">
        <f t="shared" si="52"/>
        <v>0.64014846594682262</v>
      </c>
      <c r="EK22" s="312">
        <f>Тор!C82</f>
        <v>1328.1</v>
      </c>
      <c r="EL22" s="332">
        <f>Тор!D82</f>
        <v>0</v>
      </c>
      <c r="EM22" s="313">
        <f t="shared" si="10"/>
        <v>0</v>
      </c>
      <c r="EN22" s="313">
        <f>Тор!C84</f>
        <v>0</v>
      </c>
      <c r="EO22" s="313">
        <f>Тор!D84</f>
        <v>0</v>
      </c>
      <c r="EP22" s="313" t="e">
        <f t="shared" si="11"/>
        <v>#DIV/0!</v>
      </c>
      <c r="EQ22" s="329">
        <f>Тор!C96</f>
        <v>20</v>
      </c>
      <c r="ER22" s="329">
        <f>Тор!D96</f>
        <v>0</v>
      </c>
      <c r="ES22" s="313">
        <f t="shared" si="53"/>
        <v>0</v>
      </c>
      <c r="ET22" s="313">
        <f>Тор!C94</f>
        <v>0</v>
      </c>
      <c r="EU22" s="313">
        <f>Тор!D94</f>
        <v>0</v>
      </c>
      <c r="EV22" s="313" t="e">
        <f t="shared" si="54"/>
        <v>#DIV/0!</v>
      </c>
      <c r="EW22" s="333">
        <f t="shared" si="12"/>
        <v>0</v>
      </c>
      <c r="EX22" s="333">
        <f t="shared" si="13"/>
        <v>377.73489000000006</v>
      </c>
      <c r="EY22" s="313" t="e">
        <f t="shared" si="56"/>
        <v>#DIV/0!</v>
      </c>
      <c r="EZ22" s="171"/>
      <c r="FA22" s="172"/>
      <c r="FC22" s="172"/>
      <c r="FF22" s="215"/>
      <c r="FG22" s="215"/>
      <c r="FH22" s="215"/>
      <c r="FI22" s="215"/>
      <c r="FJ22" s="215"/>
      <c r="FK22" s="215"/>
      <c r="FL22" s="215"/>
      <c r="FM22" s="215"/>
      <c r="FN22" s="215"/>
    </row>
    <row r="23" spans="1:170" s="161" customFormat="1" ht="23.25" customHeight="1">
      <c r="A23" s="346">
        <v>10</v>
      </c>
      <c r="B23" s="348" t="s">
        <v>299</v>
      </c>
      <c r="C23" s="301">
        <f t="shared" si="14"/>
        <v>3995.1210000000001</v>
      </c>
      <c r="D23" s="302">
        <f t="shared" si="0"/>
        <v>488.01906000000002</v>
      </c>
      <c r="E23" s="310">
        <f t="shared" si="1"/>
        <v>12.215376205126203</v>
      </c>
      <c r="F23" s="304">
        <f t="shared" si="15"/>
        <v>1117.8600000000001</v>
      </c>
      <c r="G23" s="304">
        <f t="shared" si="3"/>
        <v>50.309459999999994</v>
      </c>
      <c r="H23" s="310">
        <f t="shared" si="16"/>
        <v>4.5005152702485098</v>
      </c>
      <c r="I23" s="318">
        <f>Хор!C6</f>
        <v>55.5</v>
      </c>
      <c r="J23" s="456">
        <f>Хор!D6</f>
        <v>10.00691</v>
      </c>
      <c r="K23" s="310">
        <f t="shared" si="17"/>
        <v>18.030468468468467</v>
      </c>
      <c r="L23" s="310">
        <f>Хор!C8</f>
        <v>140.19999999999999</v>
      </c>
      <c r="M23" s="310">
        <f>Хор!D8</f>
        <v>14.57587</v>
      </c>
      <c r="N23" s="303">
        <f t="shared" si="18"/>
        <v>10.396483594864481</v>
      </c>
      <c r="O23" s="303">
        <f>Хор!C9</f>
        <v>1.5</v>
      </c>
      <c r="P23" s="303">
        <f>Хор!D9</f>
        <v>8.591E-2</v>
      </c>
      <c r="Q23" s="303">
        <f t="shared" si="19"/>
        <v>5.7273333333333332</v>
      </c>
      <c r="R23" s="303">
        <f>Хор!C10</f>
        <v>234.16</v>
      </c>
      <c r="S23" s="303">
        <f>Хор!D10</f>
        <v>19.55742</v>
      </c>
      <c r="T23" s="303">
        <f t="shared" si="20"/>
        <v>8.3521609156132559</v>
      </c>
      <c r="U23" s="303">
        <f>Хор!C11</f>
        <v>0</v>
      </c>
      <c r="V23" s="307">
        <f>Хор!D11</f>
        <v>-2.4839799999999999</v>
      </c>
      <c r="W23" s="303" t="e">
        <f t="shared" si="21"/>
        <v>#DIV/0!</v>
      </c>
      <c r="X23" s="318">
        <f>Хор!C13</f>
        <v>10</v>
      </c>
      <c r="Y23" s="318">
        <f>Хор!D13</f>
        <v>0</v>
      </c>
      <c r="Z23" s="310">
        <f t="shared" si="22"/>
        <v>0</v>
      </c>
      <c r="AA23" s="318">
        <f>Хор!C15</f>
        <v>230</v>
      </c>
      <c r="AB23" s="309">
        <f>Хор!D15</f>
        <v>0.17846000000000001</v>
      </c>
      <c r="AC23" s="310">
        <f t="shared" si="23"/>
        <v>7.7591304347826087E-2</v>
      </c>
      <c r="AD23" s="318">
        <f>Хор!C16</f>
        <v>390</v>
      </c>
      <c r="AE23" s="318">
        <f>Хор!D16</f>
        <v>5.7888700000000002</v>
      </c>
      <c r="AF23" s="310">
        <f t="shared" si="4"/>
        <v>1.4843256410256411</v>
      </c>
      <c r="AG23" s="310">
        <f>Хор!C18</f>
        <v>5</v>
      </c>
      <c r="AH23" s="310">
        <f>Хор!D18</f>
        <v>0.4</v>
      </c>
      <c r="AI23" s="310">
        <f t="shared" si="24"/>
        <v>8</v>
      </c>
      <c r="AJ23" s="310"/>
      <c r="AK23" s="310"/>
      <c r="AL23" s="310" t="e">
        <f t="shared" si="5"/>
        <v>#DIV/0!</v>
      </c>
      <c r="AM23" s="318">
        <v>0</v>
      </c>
      <c r="AN23" s="318">
        <v>0</v>
      </c>
      <c r="AO23" s="310" t="e">
        <f t="shared" si="6"/>
        <v>#DIV/0!</v>
      </c>
      <c r="AP23" s="318">
        <f>Хор!C27</f>
        <v>51.5</v>
      </c>
      <c r="AQ23" s="319">
        <f>Хор!D27</f>
        <v>2.2000000000000002</v>
      </c>
      <c r="AR23" s="310">
        <f t="shared" si="25"/>
        <v>4.2718446601941755</v>
      </c>
      <c r="AS23" s="312">
        <f>Хор!C28</f>
        <v>0</v>
      </c>
      <c r="AT23" s="319">
        <f>Хор!D28</f>
        <v>0</v>
      </c>
      <c r="AU23" s="310" t="e">
        <f t="shared" si="26"/>
        <v>#DIV/0!</v>
      </c>
      <c r="AV23" s="318"/>
      <c r="AW23" s="318"/>
      <c r="AX23" s="310" t="e">
        <f t="shared" si="27"/>
        <v>#DIV/0!</v>
      </c>
      <c r="AY23" s="310">
        <f>Хор!C29</f>
        <v>0</v>
      </c>
      <c r="AZ23" s="313">
        <f>Хор!D29</f>
        <v>0</v>
      </c>
      <c r="BA23" s="310" t="e">
        <f t="shared" si="28"/>
        <v>#DIV/0!</v>
      </c>
      <c r="BB23" s="310"/>
      <c r="BC23" s="310"/>
      <c r="BD23" s="310"/>
      <c r="BE23" s="310">
        <f>Хор!C33</f>
        <v>0</v>
      </c>
      <c r="BF23" s="310">
        <f>Хор!D33</f>
        <v>0</v>
      </c>
      <c r="BG23" s="310" t="e">
        <f t="shared" si="29"/>
        <v>#DIV/0!</v>
      </c>
      <c r="BH23" s="310"/>
      <c r="BI23" s="310"/>
      <c r="BJ23" s="310" t="e">
        <f t="shared" si="30"/>
        <v>#DIV/0!</v>
      </c>
      <c r="BK23" s="310"/>
      <c r="BL23" s="310"/>
      <c r="BM23" s="310"/>
      <c r="BN23" s="310"/>
      <c r="BO23" s="310"/>
      <c r="BP23" s="303" t="e">
        <f t="shared" si="31"/>
        <v>#DIV/0!</v>
      </c>
      <c r="BQ23" s="310">
        <f>Хор!C34</f>
        <v>0</v>
      </c>
      <c r="BR23" s="310">
        <f>Хор!D34</f>
        <v>0</v>
      </c>
      <c r="BS23" s="310" t="e">
        <f t="shared" si="32"/>
        <v>#DIV/0!</v>
      </c>
      <c r="BT23" s="310"/>
      <c r="BU23" s="310"/>
      <c r="BV23" s="320" t="e">
        <f t="shared" si="33"/>
        <v>#DIV/0!</v>
      </c>
      <c r="BW23" s="320"/>
      <c r="BX23" s="320"/>
      <c r="BY23" s="320" t="e">
        <f t="shared" si="34"/>
        <v>#DIV/0!</v>
      </c>
      <c r="BZ23" s="308">
        <f t="shared" si="35"/>
        <v>2877.261</v>
      </c>
      <c r="CA23" s="308">
        <f>CD23+CG23+CJ23+CM23+CS23+CP23+CV23</f>
        <v>437.70960000000002</v>
      </c>
      <c r="CB23" s="310">
        <f t="shared" si="55"/>
        <v>15.212717928613358</v>
      </c>
      <c r="CC23" s="310">
        <f>Хор!C39</f>
        <v>2155.1</v>
      </c>
      <c r="CD23" s="310">
        <f>Хор!D39</f>
        <v>179.59299999999999</v>
      </c>
      <c r="CE23" s="310">
        <f t="shared" si="37"/>
        <v>8.3333952020787905</v>
      </c>
      <c r="CF23" s="310">
        <f>Хор!C41</f>
        <v>0</v>
      </c>
      <c r="CG23" s="468">
        <f>Хор!D41</f>
        <v>0</v>
      </c>
      <c r="CH23" s="310" t="e">
        <f t="shared" si="38"/>
        <v>#DIV/0!</v>
      </c>
      <c r="CI23" s="310">
        <f>Хор!C42</f>
        <v>532.69000000000005</v>
      </c>
      <c r="CJ23" s="310">
        <f>Хор!D42</f>
        <v>0</v>
      </c>
      <c r="CK23" s="310">
        <f t="shared" si="7"/>
        <v>0</v>
      </c>
      <c r="CL23" s="310">
        <f>Хор!C43</f>
        <v>107.643</v>
      </c>
      <c r="CM23" s="310">
        <f>Хор!D43</f>
        <v>8.6166</v>
      </c>
      <c r="CN23" s="310">
        <f t="shared" si="8"/>
        <v>8.0047936233661279</v>
      </c>
      <c r="CO23" s="310">
        <f>Хор!C44</f>
        <v>81.828000000000003</v>
      </c>
      <c r="CP23" s="310">
        <f>Хор!D44</f>
        <v>0</v>
      </c>
      <c r="CQ23" s="303">
        <f t="shared" si="39"/>
        <v>0</v>
      </c>
      <c r="CR23" s="322">
        <f>Хор!C45</f>
        <v>0</v>
      </c>
      <c r="CS23" s="310">
        <f>Хор!D45</f>
        <v>249.5</v>
      </c>
      <c r="CT23" s="310" t="e">
        <f t="shared" si="9"/>
        <v>#DIV/0!</v>
      </c>
      <c r="CU23" s="310"/>
      <c r="CV23" s="310"/>
      <c r="CW23" s="310"/>
      <c r="CX23" s="318"/>
      <c r="CY23" s="318"/>
      <c r="CZ23" s="310" t="e">
        <f t="shared" si="40"/>
        <v>#DIV/0!</v>
      </c>
      <c r="DA23" s="310"/>
      <c r="DB23" s="310"/>
      <c r="DC23" s="310"/>
      <c r="DD23" s="310"/>
      <c r="DE23" s="310">
        <f>Хор!D48</f>
        <v>0</v>
      </c>
      <c r="DF23" s="310"/>
      <c r="DG23" s="312">
        <f t="shared" si="41"/>
        <v>3995.1210000000001</v>
      </c>
      <c r="DH23" s="312">
        <f t="shared" si="41"/>
        <v>26</v>
      </c>
      <c r="DI23" s="310">
        <f t="shared" si="42"/>
        <v>0.65079380574455692</v>
      </c>
      <c r="DJ23" s="318">
        <f t="shared" si="43"/>
        <v>1201.1310000000001</v>
      </c>
      <c r="DK23" s="318">
        <f t="shared" si="43"/>
        <v>24</v>
      </c>
      <c r="DL23" s="310">
        <f t="shared" si="44"/>
        <v>1.9981167749396191</v>
      </c>
      <c r="DM23" s="310">
        <f>Хор!C56</f>
        <v>1150</v>
      </c>
      <c r="DN23" s="310">
        <f>Хор!D56</f>
        <v>24</v>
      </c>
      <c r="DO23" s="310">
        <f t="shared" si="45"/>
        <v>2.0869565217391308</v>
      </c>
      <c r="DP23" s="310">
        <f>Хор!C59</f>
        <v>0</v>
      </c>
      <c r="DQ23" s="310">
        <f>Хор!D59</f>
        <v>0</v>
      </c>
      <c r="DR23" s="310" t="e">
        <f t="shared" si="46"/>
        <v>#DIV/0!</v>
      </c>
      <c r="DS23" s="310">
        <f>Хор!C60</f>
        <v>48.5</v>
      </c>
      <c r="DT23" s="310">
        <f>Хор!D60</f>
        <v>0</v>
      </c>
      <c r="DU23" s="310">
        <f t="shared" si="47"/>
        <v>0</v>
      </c>
      <c r="DV23" s="310">
        <f>Хор!C61</f>
        <v>2.6309999999999998</v>
      </c>
      <c r="DW23" s="310">
        <f>Хор!D61</f>
        <v>0</v>
      </c>
      <c r="DX23" s="310">
        <f t="shared" si="48"/>
        <v>0</v>
      </c>
      <c r="DY23" s="310">
        <f>Хор!C63</f>
        <v>103.383</v>
      </c>
      <c r="DZ23" s="310">
        <f>Хор!D63</f>
        <v>2</v>
      </c>
      <c r="EA23" s="310">
        <f t="shared" si="49"/>
        <v>1.9345540369306369</v>
      </c>
      <c r="EB23" s="310">
        <f>Хор!C64</f>
        <v>15</v>
      </c>
      <c r="EC23" s="310">
        <f>Хор!D64</f>
        <v>0</v>
      </c>
      <c r="ED23" s="310">
        <f t="shared" si="50"/>
        <v>0</v>
      </c>
      <c r="EE23" s="318">
        <f>Хор!C70</f>
        <v>1221.1379999999999</v>
      </c>
      <c r="EF23" s="318">
        <f>Хор!D70</f>
        <v>0</v>
      </c>
      <c r="EG23" s="310">
        <f t="shared" si="51"/>
        <v>0</v>
      </c>
      <c r="EH23" s="318">
        <f>Хор!C75</f>
        <v>571.66899999999998</v>
      </c>
      <c r="EI23" s="318">
        <f>Хор!D75</f>
        <v>0</v>
      </c>
      <c r="EJ23" s="310">
        <f t="shared" si="52"/>
        <v>0</v>
      </c>
      <c r="EK23" s="318">
        <f>Хор!C79</f>
        <v>852.8</v>
      </c>
      <c r="EL23" s="323">
        <f>Хор!D79</f>
        <v>0</v>
      </c>
      <c r="EM23" s="310">
        <f t="shared" si="10"/>
        <v>0</v>
      </c>
      <c r="EN23" s="310">
        <f>Хор!C81</f>
        <v>0</v>
      </c>
      <c r="EO23" s="310">
        <f>Хор!D81</f>
        <v>0</v>
      </c>
      <c r="EP23" s="310" t="e">
        <f t="shared" si="11"/>
        <v>#DIV/0!</v>
      </c>
      <c r="EQ23" s="324">
        <f>Хор!C86</f>
        <v>30</v>
      </c>
      <c r="ER23" s="324">
        <f>Хор!D86</f>
        <v>0</v>
      </c>
      <c r="ES23" s="310">
        <f t="shared" si="53"/>
        <v>0</v>
      </c>
      <c r="ET23" s="310">
        <f>Хор!C92</f>
        <v>0</v>
      </c>
      <c r="EU23" s="310">
        <f>Хор!D92</f>
        <v>0</v>
      </c>
      <c r="EV23" s="303" t="e">
        <f t="shared" si="54"/>
        <v>#DIV/0!</v>
      </c>
      <c r="EW23" s="317">
        <f t="shared" si="12"/>
        <v>0</v>
      </c>
      <c r="EX23" s="317">
        <f t="shared" si="13"/>
        <v>462.01906000000002</v>
      </c>
      <c r="EY23" s="303" t="e">
        <f t="shared" si="56"/>
        <v>#DIV/0!</v>
      </c>
      <c r="EZ23" s="163"/>
      <c r="FA23" s="164"/>
      <c r="FC23" s="164"/>
    </row>
    <row r="24" spans="1:170" s="258" customFormat="1" ht="25.5" customHeight="1">
      <c r="A24" s="351">
        <v>11</v>
      </c>
      <c r="B24" s="348" t="s">
        <v>300</v>
      </c>
      <c r="C24" s="325">
        <f t="shared" si="14"/>
        <v>4892.0029999999997</v>
      </c>
      <c r="D24" s="302">
        <f t="shared" si="0"/>
        <v>318.71537999999998</v>
      </c>
      <c r="E24" s="310">
        <f t="shared" si="1"/>
        <v>6.5150283023129791</v>
      </c>
      <c r="F24" s="304">
        <f t="shared" si="15"/>
        <v>1139.78</v>
      </c>
      <c r="G24" s="324">
        <f t="shared" si="3"/>
        <v>39.487780000000001</v>
      </c>
      <c r="H24" s="310">
        <f t="shared" si="16"/>
        <v>3.4645089403218163</v>
      </c>
      <c r="I24" s="318">
        <f>Чум!C6</f>
        <v>102</v>
      </c>
      <c r="J24" s="456">
        <f>Чум!D6</f>
        <v>2.6382300000000001</v>
      </c>
      <c r="K24" s="310">
        <f t="shared" si="17"/>
        <v>2.5865</v>
      </c>
      <c r="L24" s="310">
        <f>Чум!C8</f>
        <v>132.82</v>
      </c>
      <c r="M24" s="310">
        <f>Чум!D8</f>
        <v>13.80874</v>
      </c>
      <c r="N24" s="310">
        <f t="shared" si="18"/>
        <v>10.396581840084325</v>
      </c>
      <c r="O24" s="310">
        <f>Чум!C9</f>
        <v>1.42</v>
      </c>
      <c r="P24" s="310">
        <f>Чум!D9</f>
        <v>8.1379999999999994E-2</v>
      </c>
      <c r="Q24" s="310">
        <f t="shared" si="19"/>
        <v>5.7309859154929574</v>
      </c>
      <c r="R24" s="310">
        <f>Чум!C10</f>
        <v>221.84</v>
      </c>
      <c r="S24" s="310">
        <f>Чум!D10</f>
        <v>18.528089999999999</v>
      </c>
      <c r="T24" s="310">
        <f t="shared" si="20"/>
        <v>8.3520059502344015</v>
      </c>
      <c r="U24" s="310">
        <f>Чум!C11</f>
        <v>0</v>
      </c>
      <c r="V24" s="322">
        <f>Чум!D11</f>
        <v>-2.3532600000000001</v>
      </c>
      <c r="W24" s="310" t="e">
        <f t="shared" si="21"/>
        <v>#DIV/0!</v>
      </c>
      <c r="X24" s="318">
        <f>Чум!C13</f>
        <v>40</v>
      </c>
      <c r="Y24" s="318">
        <f>Чум!D13</f>
        <v>0</v>
      </c>
      <c r="Z24" s="310">
        <f t="shared" si="22"/>
        <v>0</v>
      </c>
      <c r="AA24" s="318">
        <f>Чум!C15</f>
        <v>91</v>
      </c>
      <c r="AB24" s="309">
        <f>Чум!D15</f>
        <v>1.4034500000000001</v>
      </c>
      <c r="AC24" s="310">
        <f t="shared" si="23"/>
        <v>1.5422527472527474</v>
      </c>
      <c r="AD24" s="318">
        <f>Чум!C16</f>
        <v>460</v>
      </c>
      <c r="AE24" s="318">
        <f>Чум!D16</f>
        <v>5.3811499999999999</v>
      </c>
      <c r="AF24" s="310">
        <f t="shared" si="4"/>
        <v>1.1698152173913043</v>
      </c>
      <c r="AG24" s="310">
        <f>Чум!C18</f>
        <v>5</v>
      </c>
      <c r="AH24" s="310">
        <f>Чум!D18</f>
        <v>0</v>
      </c>
      <c r="AI24" s="310">
        <f t="shared" si="24"/>
        <v>0</v>
      </c>
      <c r="AJ24" s="310">
        <f>Чум!C22</f>
        <v>0</v>
      </c>
      <c r="AK24" s="310">
        <f>Чум!D20</f>
        <v>0</v>
      </c>
      <c r="AL24" s="310" t="e">
        <f>AK24/AJ24*100</f>
        <v>#DIV/0!</v>
      </c>
      <c r="AM24" s="318">
        <v>0</v>
      </c>
      <c r="AN24" s="318"/>
      <c r="AO24" s="310" t="e">
        <f t="shared" si="6"/>
        <v>#DIV/0!</v>
      </c>
      <c r="AP24" s="318">
        <f>Чум!C27</f>
        <v>85.7</v>
      </c>
      <c r="AQ24" s="319">
        <f>Чум!D27</f>
        <v>0</v>
      </c>
      <c r="AR24" s="310">
        <f t="shared" si="25"/>
        <v>0</v>
      </c>
      <c r="AS24" s="318">
        <f>Чум!C28</f>
        <v>0</v>
      </c>
      <c r="AT24" s="319">
        <f>Чум!D28</f>
        <v>0</v>
      </c>
      <c r="AU24" s="310" t="e">
        <f t="shared" si="26"/>
        <v>#DIV/0!</v>
      </c>
      <c r="AV24" s="318"/>
      <c r="AW24" s="318"/>
      <c r="AX24" s="310" t="e">
        <f t="shared" si="27"/>
        <v>#DIV/0!</v>
      </c>
      <c r="AY24" s="310">
        <f>Чум!C30</f>
        <v>0</v>
      </c>
      <c r="AZ24" s="313">
        <f>Чум!D30</f>
        <v>0</v>
      </c>
      <c r="BA24" s="310" t="e">
        <f t="shared" si="28"/>
        <v>#DIV/0!</v>
      </c>
      <c r="BB24" s="310"/>
      <c r="BC24" s="310"/>
      <c r="BD24" s="310"/>
      <c r="BE24" s="310">
        <f>Чум!C33</f>
        <v>0</v>
      </c>
      <c r="BF24" s="310">
        <f>Чум!D33</f>
        <v>0</v>
      </c>
      <c r="BG24" s="310" t="e">
        <f t="shared" si="29"/>
        <v>#DIV/0!</v>
      </c>
      <c r="BH24" s="310"/>
      <c r="BI24" s="310"/>
      <c r="BJ24" s="310" t="e">
        <f t="shared" si="30"/>
        <v>#DIV/0!</v>
      </c>
      <c r="BK24" s="310"/>
      <c r="BL24" s="310"/>
      <c r="BM24" s="310"/>
      <c r="BN24" s="310"/>
      <c r="BO24" s="310">
        <f>Чум!D34</f>
        <v>0</v>
      </c>
      <c r="BP24" s="303" t="e">
        <f t="shared" si="31"/>
        <v>#DIV/0!</v>
      </c>
      <c r="BQ24" s="310">
        <f>Чум!C37</f>
        <v>0</v>
      </c>
      <c r="BR24" s="310">
        <f>Чум!D37</f>
        <v>0</v>
      </c>
      <c r="BS24" s="310" t="e">
        <f t="shared" si="32"/>
        <v>#DIV/0!</v>
      </c>
      <c r="BT24" s="310"/>
      <c r="BU24" s="310"/>
      <c r="BV24" s="320" t="e">
        <f t="shared" si="33"/>
        <v>#DIV/0!</v>
      </c>
      <c r="BW24" s="320"/>
      <c r="BX24" s="320"/>
      <c r="BY24" s="320" t="e">
        <f t="shared" si="34"/>
        <v>#DIV/0!</v>
      </c>
      <c r="BZ24" s="318">
        <f t="shared" si="35"/>
        <v>3752.223</v>
      </c>
      <c r="CA24" s="318">
        <f t="shared" si="36"/>
        <v>279.2276</v>
      </c>
      <c r="CB24" s="310">
        <f t="shared" si="55"/>
        <v>7.4416579185192342</v>
      </c>
      <c r="CC24" s="310">
        <f>Чум!C42</f>
        <v>3247.3</v>
      </c>
      <c r="CD24" s="310">
        <f>Чум!D42</f>
        <v>270.61099999999999</v>
      </c>
      <c r="CE24" s="310">
        <f t="shared" si="37"/>
        <v>8.3334154528377411</v>
      </c>
      <c r="CF24" s="310">
        <f>Чум!C43</f>
        <v>0</v>
      </c>
      <c r="CG24" s="468">
        <f>Чум!D43</f>
        <v>0</v>
      </c>
      <c r="CH24" s="310" t="e">
        <f t="shared" si="38"/>
        <v>#DIV/0!</v>
      </c>
      <c r="CI24" s="310">
        <f>Чум!C44</f>
        <v>372.28</v>
      </c>
      <c r="CJ24" s="310">
        <f>Чум!D44</f>
        <v>0</v>
      </c>
      <c r="CK24" s="310">
        <f t="shared" si="7"/>
        <v>0</v>
      </c>
      <c r="CL24" s="310">
        <f>Чум!C45</f>
        <v>107.643</v>
      </c>
      <c r="CM24" s="310">
        <f>Чум!D45</f>
        <v>8.6166</v>
      </c>
      <c r="CN24" s="310">
        <f t="shared" si="8"/>
        <v>8.0047936233661279</v>
      </c>
      <c r="CO24" s="310">
        <f>Чум!C46</f>
        <v>25</v>
      </c>
      <c r="CP24" s="310">
        <f>Чум!D46</f>
        <v>0</v>
      </c>
      <c r="CQ24" s="303">
        <f t="shared" si="39"/>
        <v>0</v>
      </c>
      <c r="CR24" s="322">
        <f>Чум!C50</f>
        <v>0</v>
      </c>
      <c r="CS24" s="310">
        <f>Чум!D50</f>
        <v>0</v>
      </c>
      <c r="CT24" s="310" t="e">
        <f t="shared" si="9"/>
        <v>#DIV/0!</v>
      </c>
      <c r="CU24" s="310"/>
      <c r="CV24" s="310"/>
      <c r="CW24" s="310"/>
      <c r="CX24" s="318"/>
      <c r="CY24" s="318"/>
      <c r="CZ24" s="310" t="e">
        <f t="shared" si="40"/>
        <v>#DIV/0!</v>
      </c>
      <c r="DA24" s="310"/>
      <c r="DB24" s="310"/>
      <c r="DC24" s="310"/>
      <c r="DD24" s="310"/>
      <c r="DE24" s="310"/>
      <c r="DF24" s="310"/>
      <c r="DG24" s="312">
        <f t="shared" si="41"/>
        <v>4892.0030000000006</v>
      </c>
      <c r="DH24" s="312">
        <f t="shared" si="41"/>
        <v>30</v>
      </c>
      <c r="DI24" s="310">
        <f t="shared" si="42"/>
        <v>0.61324574003736287</v>
      </c>
      <c r="DJ24" s="318">
        <f t="shared" si="43"/>
        <v>1526.9859999999999</v>
      </c>
      <c r="DK24" s="318">
        <f t="shared" si="43"/>
        <v>28</v>
      </c>
      <c r="DL24" s="310">
        <f t="shared" si="44"/>
        <v>1.8336775844703228</v>
      </c>
      <c r="DM24" s="310">
        <f>Чум!C58</f>
        <v>1423.8</v>
      </c>
      <c r="DN24" s="310">
        <f>Чум!D58</f>
        <v>28</v>
      </c>
      <c r="DO24" s="310">
        <f t="shared" si="45"/>
        <v>1.9665683382497543</v>
      </c>
      <c r="DP24" s="310">
        <f>Чум!C61</f>
        <v>0</v>
      </c>
      <c r="DQ24" s="310">
        <f>Чум!D61</f>
        <v>0</v>
      </c>
      <c r="DR24" s="310" t="e">
        <f t="shared" si="46"/>
        <v>#DIV/0!</v>
      </c>
      <c r="DS24" s="310">
        <f>Чум!C62</f>
        <v>100</v>
      </c>
      <c r="DT24" s="310">
        <f>Чум!D62</f>
        <v>0</v>
      </c>
      <c r="DU24" s="310">
        <f t="shared" si="47"/>
        <v>0</v>
      </c>
      <c r="DV24" s="310">
        <f>Чум!C63</f>
        <v>3.1859999999999999</v>
      </c>
      <c r="DW24" s="310">
        <f>Чум!D63</f>
        <v>0</v>
      </c>
      <c r="DX24" s="310">
        <f t="shared" si="48"/>
        <v>0</v>
      </c>
      <c r="DY24" s="310">
        <f>Чум!C65</f>
        <v>103.383</v>
      </c>
      <c r="DZ24" s="310">
        <f>Чум!D65</f>
        <v>2</v>
      </c>
      <c r="EA24" s="310">
        <f t="shared" si="49"/>
        <v>1.9345540369306369</v>
      </c>
      <c r="EB24" s="310">
        <f>Чум!C66</f>
        <v>15</v>
      </c>
      <c r="EC24" s="310">
        <f>Чум!D66</f>
        <v>0</v>
      </c>
      <c r="ED24" s="310">
        <f t="shared" si="50"/>
        <v>0</v>
      </c>
      <c r="EE24" s="318">
        <f>Чум!C72</f>
        <v>878.31999999999994</v>
      </c>
      <c r="EF24" s="318">
        <f>Чум!D72</f>
        <v>0</v>
      </c>
      <c r="EG24" s="310">
        <f t="shared" si="51"/>
        <v>0</v>
      </c>
      <c r="EH24" s="318">
        <f>Чум!C77</f>
        <v>1311.414</v>
      </c>
      <c r="EI24" s="318">
        <f>Чум!D77</f>
        <v>0</v>
      </c>
      <c r="EJ24" s="310">
        <f t="shared" si="52"/>
        <v>0</v>
      </c>
      <c r="EK24" s="318">
        <f>Чум!C81</f>
        <v>1026.9000000000001</v>
      </c>
      <c r="EL24" s="323">
        <f>Чум!D81</f>
        <v>0</v>
      </c>
      <c r="EM24" s="310">
        <f t="shared" si="10"/>
        <v>0</v>
      </c>
      <c r="EN24" s="310">
        <f>Чум!C83</f>
        <v>0</v>
      </c>
      <c r="EO24" s="310">
        <f>Чум!D83</f>
        <v>0</v>
      </c>
      <c r="EP24" s="310" t="e">
        <f t="shared" si="11"/>
        <v>#DIV/0!</v>
      </c>
      <c r="EQ24" s="324">
        <f>Чум!C88</f>
        <v>30</v>
      </c>
      <c r="ER24" s="324">
        <f>Чум!D88</f>
        <v>0</v>
      </c>
      <c r="ES24" s="310">
        <f t="shared" si="53"/>
        <v>0</v>
      </c>
      <c r="ET24" s="310">
        <f>Чум!C94</f>
        <v>0</v>
      </c>
      <c r="EU24" s="310">
        <f>Чум!D94</f>
        <v>0</v>
      </c>
      <c r="EV24" s="310" t="e">
        <f t="shared" si="54"/>
        <v>#DIV/0!</v>
      </c>
      <c r="EW24" s="334">
        <f t="shared" si="12"/>
        <v>-9.0949470177292824E-13</v>
      </c>
      <c r="EX24" s="334">
        <f t="shared" si="13"/>
        <v>288.71537999999998</v>
      </c>
      <c r="EY24" s="310">
        <f t="shared" si="56"/>
        <v>-3.1744591742776636E+16</v>
      </c>
      <c r="EZ24" s="256"/>
      <c r="FA24" s="257"/>
      <c r="FC24" s="257"/>
    </row>
    <row r="25" spans="1:170" s="173" customFormat="1" ht="22.5" customHeight="1">
      <c r="A25" s="349">
        <v>12</v>
      </c>
      <c r="B25" s="350" t="s">
        <v>301</v>
      </c>
      <c r="C25" s="327">
        <f t="shared" si="14"/>
        <v>3779.5990000000002</v>
      </c>
      <c r="D25" s="328">
        <f t="shared" si="0"/>
        <v>297.48653999999999</v>
      </c>
      <c r="E25" s="313">
        <f t="shared" si="1"/>
        <v>7.8708492620513439</v>
      </c>
      <c r="F25" s="304">
        <f t="shared" si="15"/>
        <v>952.07</v>
      </c>
      <c r="G25" s="329">
        <f t="shared" si="3"/>
        <v>112.01894000000001</v>
      </c>
      <c r="H25" s="313">
        <f t="shared" si="16"/>
        <v>11.765830243574529</v>
      </c>
      <c r="I25" s="312">
        <f>Шать!C6</f>
        <v>59.1</v>
      </c>
      <c r="J25" s="456">
        <f>Шать!D6</f>
        <v>0.77736000000000005</v>
      </c>
      <c r="K25" s="313">
        <f t="shared" si="17"/>
        <v>1.3153299492385786</v>
      </c>
      <c r="L25" s="313">
        <f>Шать!C8</f>
        <v>136.51</v>
      </c>
      <c r="M25" s="313">
        <f>Шать!D8</f>
        <v>14.192299999999999</v>
      </c>
      <c r="N25" s="313">
        <f t="shared" si="18"/>
        <v>10.396527726906454</v>
      </c>
      <c r="O25" s="313">
        <f>Шать!C9</f>
        <v>1.46</v>
      </c>
      <c r="P25" s="313">
        <f>Шать!D9</f>
        <v>8.3650000000000002E-2</v>
      </c>
      <c r="Q25" s="313">
        <f t="shared" si="19"/>
        <v>5.7294520547945211</v>
      </c>
      <c r="R25" s="313">
        <f>Шать!C10</f>
        <v>228</v>
      </c>
      <c r="S25" s="313">
        <f>Шать!D10</f>
        <v>19.042770000000001</v>
      </c>
      <c r="T25" s="313">
        <f t="shared" si="20"/>
        <v>8.3520921052631572</v>
      </c>
      <c r="U25" s="313">
        <f>Шать!C11</f>
        <v>0</v>
      </c>
      <c r="V25" s="330">
        <f>Шать!D11</f>
        <v>-2.4186299999999998</v>
      </c>
      <c r="W25" s="313" t="e">
        <f t="shared" si="21"/>
        <v>#DIV/0!</v>
      </c>
      <c r="X25" s="312">
        <f>Шать!C13</f>
        <v>10</v>
      </c>
      <c r="Y25" s="312">
        <f>Шать!D13</f>
        <v>0</v>
      </c>
      <c r="Z25" s="313">
        <f t="shared" si="22"/>
        <v>0</v>
      </c>
      <c r="AA25" s="312">
        <f>Шать!C15</f>
        <v>75</v>
      </c>
      <c r="AB25" s="309">
        <f>Шать!D15</f>
        <v>1.57528</v>
      </c>
      <c r="AC25" s="313">
        <f t="shared" si="23"/>
        <v>2.1003733333333332</v>
      </c>
      <c r="AD25" s="312">
        <f>Шать!C16</f>
        <v>273</v>
      </c>
      <c r="AE25" s="312">
        <f>Шать!D16</f>
        <v>13.35981</v>
      </c>
      <c r="AF25" s="313">
        <f t="shared" si="4"/>
        <v>4.893703296703297</v>
      </c>
      <c r="AG25" s="313">
        <f>Шать!C18</f>
        <v>3</v>
      </c>
      <c r="AH25" s="313">
        <f>Шать!D18</f>
        <v>0.2</v>
      </c>
      <c r="AI25" s="313">
        <f t="shared" si="24"/>
        <v>6.666666666666667</v>
      </c>
      <c r="AJ25" s="313"/>
      <c r="AK25" s="313"/>
      <c r="AL25" s="313" t="e">
        <f>AJ25/AK25*100</f>
        <v>#DIV/0!</v>
      </c>
      <c r="AM25" s="312">
        <v>0</v>
      </c>
      <c r="AN25" s="312">
        <f>0</f>
        <v>0</v>
      </c>
      <c r="AO25" s="313" t="e">
        <f t="shared" si="6"/>
        <v>#DIV/0!</v>
      </c>
      <c r="AP25" s="312">
        <f>Шать!C27</f>
        <v>140</v>
      </c>
      <c r="AQ25" s="319">
        <f>Шать!D27</f>
        <v>63.038800000000002</v>
      </c>
      <c r="AR25" s="313">
        <f t="shared" si="25"/>
        <v>45.027714285714289</v>
      </c>
      <c r="AS25" s="312">
        <f>Шать!C28</f>
        <v>26</v>
      </c>
      <c r="AT25" s="309">
        <f>Шать!D28</f>
        <v>2.1676000000000002</v>
      </c>
      <c r="AU25" s="313">
        <f t="shared" si="26"/>
        <v>8.3369230769230782</v>
      </c>
      <c r="AV25" s="312"/>
      <c r="AW25" s="312"/>
      <c r="AX25" s="313" t="e">
        <f t="shared" si="27"/>
        <v>#DIV/0!</v>
      </c>
      <c r="AY25" s="313">
        <f>Шать!C29</f>
        <v>0</v>
      </c>
      <c r="AZ25" s="313">
        <f>Шать!D29</f>
        <v>0</v>
      </c>
      <c r="BA25" s="313" t="e">
        <f t="shared" si="28"/>
        <v>#DIV/0!</v>
      </c>
      <c r="BB25" s="313"/>
      <c r="BC25" s="313"/>
      <c r="BD25" s="313"/>
      <c r="BE25" s="313">
        <f>Шать!C33</f>
        <v>0</v>
      </c>
      <c r="BF25" s="313">
        <f>Шать!D33</f>
        <v>0</v>
      </c>
      <c r="BG25" s="313" t="e">
        <f t="shared" si="29"/>
        <v>#DIV/0!</v>
      </c>
      <c r="BH25" s="313"/>
      <c r="BI25" s="313"/>
      <c r="BJ25" s="313" t="e">
        <f t="shared" si="30"/>
        <v>#DIV/0!</v>
      </c>
      <c r="BK25" s="313"/>
      <c r="BL25" s="313"/>
      <c r="BM25" s="313"/>
      <c r="BN25" s="313">
        <f>Шать!C34</f>
        <v>0</v>
      </c>
      <c r="BO25" s="313">
        <f>Шать!D34</f>
        <v>0</v>
      </c>
      <c r="BP25" s="303" t="e">
        <f t="shared" si="31"/>
        <v>#DIV/0!</v>
      </c>
      <c r="BQ25" s="313">
        <f>Шать!C37</f>
        <v>0</v>
      </c>
      <c r="BR25" s="313">
        <v>0</v>
      </c>
      <c r="BS25" s="313" t="e">
        <f t="shared" si="32"/>
        <v>#DIV/0!</v>
      </c>
      <c r="BT25" s="313"/>
      <c r="BU25" s="313"/>
      <c r="BV25" s="331" t="e">
        <f t="shared" si="33"/>
        <v>#DIV/0!</v>
      </c>
      <c r="BW25" s="331"/>
      <c r="BX25" s="331"/>
      <c r="BY25" s="331" t="e">
        <f t="shared" si="34"/>
        <v>#DIV/0!</v>
      </c>
      <c r="BZ25" s="312">
        <f t="shared" si="35"/>
        <v>2827.529</v>
      </c>
      <c r="CA25" s="308">
        <f t="shared" si="36"/>
        <v>185.4676</v>
      </c>
      <c r="CB25" s="313">
        <f t="shared" si="55"/>
        <v>6.5593527069041562</v>
      </c>
      <c r="CC25" s="313">
        <f>Шать!C42</f>
        <v>2122.1999999999998</v>
      </c>
      <c r="CD25" s="313">
        <f>Шать!D42</f>
        <v>176.851</v>
      </c>
      <c r="CE25" s="313">
        <f t="shared" si="37"/>
        <v>8.3333804542455958</v>
      </c>
      <c r="CF25" s="313">
        <f>Шать!C43</f>
        <v>0</v>
      </c>
      <c r="CG25" s="469">
        <f>Шать!D43</f>
        <v>0</v>
      </c>
      <c r="CH25" s="313" t="e">
        <f t="shared" si="38"/>
        <v>#DIV/0!</v>
      </c>
      <c r="CI25" s="313">
        <f>Шать!C44</f>
        <v>484.34</v>
      </c>
      <c r="CJ25" s="313">
        <f>Шать!D44</f>
        <v>0</v>
      </c>
      <c r="CK25" s="313">
        <f t="shared" si="7"/>
        <v>0</v>
      </c>
      <c r="CL25" s="313">
        <f>Шать!C45</f>
        <v>107.643</v>
      </c>
      <c r="CM25" s="313">
        <f>Шать!D45</f>
        <v>8.6166</v>
      </c>
      <c r="CN25" s="313">
        <f t="shared" si="8"/>
        <v>8.0047936233661279</v>
      </c>
      <c r="CO25" s="313">
        <f>Шать!C46</f>
        <v>113.346</v>
      </c>
      <c r="CP25" s="313">
        <f>Шать!D46</f>
        <v>0</v>
      </c>
      <c r="CQ25" s="303">
        <f t="shared" si="39"/>
        <v>0</v>
      </c>
      <c r="CR25" s="330">
        <f>Шать!C50</f>
        <v>0</v>
      </c>
      <c r="CS25" s="313">
        <f>Шать!D50</f>
        <v>0</v>
      </c>
      <c r="CT25" s="313" t="e">
        <f t="shared" si="9"/>
        <v>#DIV/0!</v>
      </c>
      <c r="CU25" s="313"/>
      <c r="CV25" s="313"/>
      <c r="CW25" s="313"/>
      <c r="CX25" s="312"/>
      <c r="CY25" s="312"/>
      <c r="CZ25" s="313" t="e">
        <f t="shared" si="40"/>
        <v>#DIV/0!</v>
      </c>
      <c r="DA25" s="313"/>
      <c r="DB25" s="313"/>
      <c r="DC25" s="313"/>
      <c r="DD25" s="313"/>
      <c r="DE25" s="313"/>
      <c r="DF25" s="313"/>
      <c r="DG25" s="312">
        <f t="shared" si="41"/>
        <v>3779.5989999999997</v>
      </c>
      <c r="DH25" s="312">
        <f t="shared" si="41"/>
        <v>30.8172</v>
      </c>
      <c r="DI25" s="313">
        <f>DH25/DG25*100</f>
        <v>0.81535633806655161</v>
      </c>
      <c r="DJ25" s="312">
        <f t="shared" si="43"/>
        <v>1276.432</v>
      </c>
      <c r="DK25" s="312">
        <f t="shared" si="43"/>
        <v>28.8172</v>
      </c>
      <c r="DL25" s="313">
        <f t="shared" si="44"/>
        <v>2.2576369128946938</v>
      </c>
      <c r="DM25" s="313">
        <f>Шать!C58</f>
        <v>1203.9000000000001</v>
      </c>
      <c r="DN25" s="313">
        <f>Шать!D58</f>
        <v>28.8172</v>
      </c>
      <c r="DO25" s="313">
        <f t="shared" si="45"/>
        <v>2.393653957969931</v>
      </c>
      <c r="DP25" s="313">
        <f>Шать!C61</f>
        <v>0</v>
      </c>
      <c r="DQ25" s="313">
        <f>Шать!D61</f>
        <v>0</v>
      </c>
      <c r="DR25" s="313" t="e">
        <f t="shared" si="46"/>
        <v>#DIV/0!</v>
      </c>
      <c r="DS25" s="313">
        <f>Шать!C62</f>
        <v>50</v>
      </c>
      <c r="DT25" s="313">
        <f>Шать!D62</f>
        <v>0</v>
      </c>
      <c r="DU25" s="313">
        <f t="shared" si="47"/>
        <v>0</v>
      </c>
      <c r="DV25" s="313">
        <f>Шать!C63</f>
        <v>22.532</v>
      </c>
      <c r="DW25" s="313">
        <f>Шать!D63</f>
        <v>0</v>
      </c>
      <c r="DX25" s="313">
        <f t="shared" si="48"/>
        <v>0</v>
      </c>
      <c r="DY25" s="313">
        <f>Шать!C65</f>
        <v>103.383</v>
      </c>
      <c r="DZ25" s="313">
        <f>Шать!D65</f>
        <v>2</v>
      </c>
      <c r="EA25" s="313">
        <f t="shared" si="49"/>
        <v>1.9345540369306369</v>
      </c>
      <c r="EB25" s="313">
        <f>Шать!C66</f>
        <v>15</v>
      </c>
      <c r="EC25" s="313">
        <f>Шать!D66</f>
        <v>0</v>
      </c>
      <c r="ED25" s="313">
        <f t="shared" si="50"/>
        <v>0</v>
      </c>
      <c r="EE25" s="312">
        <f>Шать!C72</f>
        <v>1187.9159999999999</v>
      </c>
      <c r="EF25" s="312">
        <f>Шать!D72</f>
        <v>0</v>
      </c>
      <c r="EG25" s="313">
        <f t="shared" si="51"/>
        <v>0</v>
      </c>
      <c r="EH25" s="312">
        <f>Шать!C77</f>
        <v>349.86799999999999</v>
      </c>
      <c r="EI25" s="312">
        <f>Шать!D77</f>
        <v>0</v>
      </c>
      <c r="EJ25" s="313">
        <f t="shared" si="52"/>
        <v>0</v>
      </c>
      <c r="EK25" s="312">
        <f>Шать!C81</f>
        <v>837</v>
      </c>
      <c r="EL25" s="332">
        <f>Шать!D81</f>
        <v>0</v>
      </c>
      <c r="EM25" s="313">
        <f t="shared" si="10"/>
        <v>0</v>
      </c>
      <c r="EN25" s="313">
        <f>Шать!C83</f>
        <v>0</v>
      </c>
      <c r="EO25" s="313">
        <f>Шать!D83</f>
        <v>0</v>
      </c>
      <c r="EP25" s="313" t="e">
        <f t="shared" si="11"/>
        <v>#DIV/0!</v>
      </c>
      <c r="EQ25" s="329">
        <f>Шать!C88</f>
        <v>10</v>
      </c>
      <c r="ER25" s="329">
        <f>Шать!D88</f>
        <v>0</v>
      </c>
      <c r="ES25" s="313">
        <f t="shared" si="53"/>
        <v>0</v>
      </c>
      <c r="ET25" s="313">
        <f>Шать!C94</f>
        <v>0</v>
      </c>
      <c r="EU25" s="313">
        <f>Шать!D94</f>
        <v>0</v>
      </c>
      <c r="EV25" s="313" t="e">
        <f t="shared" si="54"/>
        <v>#DIV/0!</v>
      </c>
      <c r="EW25" s="333">
        <f t="shared" si="12"/>
        <v>4.5474735088646412E-13</v>
      </c>
      <c r="EX25" s="333">
        <f t="shared" si="13"/>
        <v>266.66933999999998</v>
      </c>
      <c r="EY25" s="313">
        <f t="shared" si="56"/>
        <v>5.8641208020270312E+16</v>
      </c>
      <c r="EZ25" s="171"/>
      <c r="FA25" s="172"/>
      <c r="FC25" s="172"/>
    </row>
    <row r="26" spans="1:170" s="258" customFormat="1" ht="24.75" customHeight="1">
      <c r="A26" s="352">
        <v>13</v>
      </c>
      <c r="B26" s="348" t="s">
        <v>302</v>
      </c>
      <c r="C26" s="325">
        <f t="shared" si="14"/>
        <v>6020.6329999999998</v>
      </c>
      <c r="D26" s="302">
        <f t="shared" si="0"/>
        <v>235.15714</v>
      </c>
      <c r="E26" s="310">
        <f t="shared" si="1"/>
        <v>3.905854085442511</v>
      </c>
      <c r="F26" s="304">
        <f t="shared" si="15"/>
        <v>3367.4</v>
      </c>
      <c r="G26" s="324">
        <f t="shared" si="3"/>
        <v>85.114540000000005</v>
      </c>
      <c r="H26" s="310">
        <f t="shared" si="16"/>
        <v>2.5276040862386413</v>
      </c>
      <c r="I26" s="318">
        <f>Юнг!C6</f>
        <v>126.9</v>
      </c>
      <c r="J26" s="456">
        <f>Юнг!D6</f>
        <v>3.3699599999999998</v>
      </c>
      <c r="K26" s="310">
        <f t="shared" si="17"/>
        <v>2.6556028368794324</v>
      </c>
      <c r="L26" s="310">
        <f>Юнг!C8</f>
        <v>220.44</v>
      </c>
      <c r="M26" s="310">
        <f>Юнг!D8</f>
        <v>22.91865</v>
      </c>
      <c r="N26" s="310">
        <f t="shared" si="18"/>
        <v>10.396774632553075</v>
      </c>
      <c r="O26" s="310">
        <f>Юнг!C9</f>
        <v>2.36</v>
      </c>
      <c r="P26" s="310">
        <f>Юнг!D9</f>
        <v>0.13508999999999999</v>
      </c>
      <c r="Q26" s="310">
        <f t="shared" si="19"/>
        <v>5.724152542372881</v>
      </c>
      <c r="R26" s="310">
        <f>Юнг!C10</f>
        <v>368.2</v>
      </c>
      <c r="S26" s="310">
        <f>Юнг!D10</f>
        <v>30.751480000000001</v>
      </c>
      <c r="T26" s="310">
        <f t="shared" si="20"/>
        <v>8.351841390548616</v>
      </c>
      <c r="U26" s="310">
        <f>Юнг!C11</f>
        <v>0</v>
      </c>
      <c r="V26" s="322">
        <f>Юнг!D11</f>
        <v>-3.9057400000000002</v>
      </c>
      <c r="W26" s="310" t="e">
        <f t="shared" si="21"/>
        <v>#DIV/0!</v>
      </c>
      <c r="X26" s="318">
        <f>Юнг!C13</f>
        <v>50</v>
      </c>
      <c r="Y26" s="318">
        <f>Юнг!D13</f>
        <v>0.2172</v>
      </c>
      <c r="Z26" s="310">
        <f t="shared" si="22"/>
        <v>0.43439999999999995</v>
      </c>
      <c r="AA26" s="318">
        <f>Юнг!C15</f>
        <v>240</v>
      </c>
      <c r="AB26" s="309">
        <f>Юнг!D15</f>
        <v>-0.75882000000000005</v>
      </c>
      <c r="AC26" s="310">
        <f t="shared" si="23"/>
        <v>-0.31617499999999998</v>
      </c>
      <c r="AD26" s="318">
        <f>Юнг!C16</f>
        <v>1850</v>
      </c>
      <c r="AE26" s="318">
        <f>Юнг!D16</f>
        <v>25.476990000000001</v>
      </c>
      <c r="AF26" s="310">
        <f t="shared" si="4"/>
        <v>1.3771345945945945</v>
      </c>
      <c r="AG26" s="310">
        <f>Юнг!C18</f>
        <v>10</v>
      </c>
      <c r="AH26" s="310">
        <f>Юнг!D18</f>
        <v>0.1</v>
      </c>
      <c r="AI26" s="310">
        <f t="shared" si="24"/>
        <v>1</v>
      </c>
      <c r="AJ26" s="310"/>
      <c r="AK26" s="310"/>
      <c r="AL26" s="310" t="e">
        <f>AJ26/AK26*100</f>
        <v>#DIV/0!</v>
      </c>
      <c r="AM26" s="318">
        <v>0</v>
      </c>
      <c r="AN26" s="318"/>
      <c r="AO26" s="310" t="e">
        <f t="shared" si="6"/>
        <v>#DIV/0!</v>
      </c>
      <c r="AP26" s="318">
        <f>Юнг!C27</f>
        <v>420</v>
      </c>
      <c r="AQ26" s="319">
        <f>Юнг!D27</f>
        <v>0</v>
      </c>
      <c r="AR26" s="310">
        <f t="shared" si="25"/>
        <v>0</v>
      </c>
      <c r="AS26" s="318">
        <f>Юнг!C28</f>
        <v>79.5</v>
      </c>
      <c r="AT26" s="319">
        <f>Юнг!D28</f>
        <v>6.8097300000000001</v>
      </c>
      <c r="AU26" s="310">
        <f t="shared" si="26"/>
        <v>8.5656981132075476</v>
      </c>
      <c r="AV26" s="318"/>
      <c r="AW26" s="318"/>
      <c r="AX26" s="310" t="e">
        <f t="shared" si="27"/>
        <v>#DIV/0!</v>
      </c>
      <c r="AY26" s="310">
        <f>Юнг!C30</f>
        <v>0</v>
      </c>
      <c r="AZ26" s="313">
        <f>Юнг!D30</f>
        <v>0</v>
      </c>
      <c r="BA26" s="310" t="e">
        <f t="shared" si="28"/>
        <v>#DIV/0!</v>
      </c>
      <c r="BB26" s="310"/>
      <c r="BC26" s="310"/>
      <c r="BD26" s="310"/>
      <c r="BE26" s="310">
        <f>Юнг!C33</f>
        <v>0</v>
      </c>
      <c r="BF26" s="310">
        <f>Юнг!D31</f>
        <v>0</v>
      </c>
      <c r="BG26" s="310" t="e">
        <f t="shared" si="29"/>
        <v>#DIV/0!</v>
      </c>
      <c r="BH26" s="310"/>
      <c r="BI26" s="310"/>
      <c r="BJ26" s="310" t="e">
        <f t="shared" si="30"/>
        <v>#DIV/0!</v>
      </c>
      <c r="BK26" s="310"/>
      <c r="BL26" s="310"/>
      <c r="BM26" s="310"/>
      <c r="BN26" s="310">
        <f>Юнг!C34</f>
        <v>0</v>
      </c>
      <c r="BO26" s="310">
        <f>Юнг!D34</f>
        <v>0</v>
      </c>
      <c r="BP26" s="303" t="e">
        <f t="shared" si="31"/>
        <v>#DIV/0!</v>
      </c>
      <c r="BQ26" s="310">
        <f>Юнг!C36</f>
        <v>0</v>
      </c>
      <c r="BR26" s="310">
        <f>Юнг!D36</f>
        <v>0</v>
      </c>
      <c r="BS26" s="310" t="e">
        <f t="shared" si="32"/>
        <v>#DIV/0!</v>
      </c>
      <c r="BT26" s="310"/>
      <c r="BU26" s="310"/>
      <c r="BV26" s="320" t="e">
        <f t="shared" si="33"/>
        <v>#DIV/0!</v>
      </c>
      <c r="BW26" s="320"/>
      <c r="BX26" s="320"/>
      <c r="BY26" s="320" t="e">
        <f t="shared" si="34"/>
        <v>#DIV/0!</v>
      </c>
      <c r="BZ26" s="318">
        <f t="shared" si="35"/>
        <v>2653.2330000000002</v>
      </c>
      <c r="CA26" s="318">
        <f t="shared" si="36"/>
        <v>150.04259999999999</v>
      </c>
      <c r="CB26" s="310">
        <f t="shared" si="55"/>
        <v>5.6550857011050288</v>
      </c>
      <c r="CC26" s="310">
        <f>Юнг!C41</f>
        <v>1697.1</v>
      </c>
      <c r="CD26" s="310">
        <f>Юнг!D41</f>
        <v>141.42599999999999</v>
      </c>
      <c r="CE26" s="310">
        <f t="shared" si="37"/>
        <v>8.3333922573802379</v>
      </c>
      <c r="CF26" s="310">
        <f>Юнг!C42</f>
        <v>0</v>
      </c>
      <c r="CG26" s="468">
        <f>Юнг!D42</f>
        <v>0</v>
      </c>
      <c r="CH26" s="310" t="e">
        <f t="shared" si="38"/>
        <v>#DIV/0!</v>
      </c>
      <c r="CI26" s="310">
        <f>Юнг!C43</f>
        <v>848.49</v>
      </c>
      <c r="CJ26" s="310">
        <f>Юнг!D43</f>
        <v>0</v>
      </c>
      <c r="CK26" s="310">
        <f t="shared" si="7"/>
        <v>0</v>
      </c>
      <c r="CL26" s="310">
        <f>Юнг!C44</f>
        <v>107.643</v>
      </c>
      <c r="CM26" s="310">
        <f>Юнг!D44</f>
        <v>8.6166</v>
      </c>
      <c r="CN26" s="310">
        <f t="shared" si="8"/>
        <v>8.0047936233661279</v>
      </c>
      <c r="CO26" s="310">
        <f>Юнг!C45</f>
        <v>0</v>
      </c>
      <c r="CP26" s="310">
        <f>Юнг!D45</f>
        <v>0</v>
      </c>
      <c r="CQ26" s="303" t="e">
        <f t="shared" si="39"/>
        <v>#DIV/0!</v>
      </c>
      <c r="CR26" s="322">
        <f>Юнг!C48</f>
        <v>0</v>
      </c>
      <c r="CS26" s="310">
        <f>Юнг!D48</f>
        <v>0</v>
      </c>
      <c r="CT26" s="310" t="e">
        <f t="shared" si="9"/>
        <v>#DIV/0!</v>
      </c>
      <c r="CU26" s="310"/>
      <c r="CV26" s="310">
        <f>Юнг!D47</f>
        <v>0</v>
      </c>
      <c r="CW26" s="310"/>
      <c r="CX26" s="318"/>
      <c r="CY26" s="318"/>
      <c r="CZ26" s="310" t="e">
        <f t="shared" si="40"/>
        <v>#DIV/0!</v>
      </c>
      <c r="DA26" s="310"/>
      <c r="DB26" s="310"/>
      <c r="DC26" s="310"/>
      <c r="DD26" s="310"/>
      <c r="DE26" s="310"/>
      <c r="DF26" s="310"/>
      <c r="DG26" s="312">
        <f t="shared" si="41"/>
        <v>6020.6329999999998</v>
      </c>
      <c r="DH26" s="312">
        <f t="shared" si="41"/>
        <v>22</v>
      </c>
      <c r="DI26" s="310">
        <f t="shared" si="42"/>
        <v>0.36541008229533339</v>
      </c>
      <c r="DJ26" s="318">
        <f t="shared" si="43"/>
        <v>1519.4</v>
      </c>
      <c r="DK26" s="318">
        <f t="shared" si="43"/>
        <v>20</v>
      </c>
      <c r="DL26" s="310">
        <f t="shared" si="44"/>
        <v>1.3163090693694879</v>
      </c>
      <c r="DM26" s="310">
        <f>Юнг!C57</f>
        <v>1476.4</v>
      </c>
      <c r="DN26" s="310">
        <f>Юнг!D57</f>
        <v>20</v>
      </c>
      <c r="DO26" s="310">
        <f t="shared" si="45"/>
        <v>1.3546464372798699</v>
      </c>
      <c r="DP26" s="310">
        <f>Юнг!C60</f>
        <v>0</v>
      </c>
      <c r="DQ26" s="310">
        <f>Юнг!D60</f>
        <v>0</v>
      </c>
      <c r="DR26" s="310" t="e">
        <f t="shared" si="46"/>
        <v>#DIV/0!</v>
      </c>
      <c r="DS26" s="310">
        <f>Юнг!C61</f>
        <v>39.476999999999997</v>
      </c>
      <c r="DT26" s="310">
        <f>Юнг!D61</f>
        <v>0</v>
      </c>
      <c r="DU26" s="310">
        <f t="shared" si="47"/>
        <v>0</v>
      </c>
      <c r="DV26" s="310">
        <f>Юнг!C62</f>
        <v>3.5230000000000001</v>
      </c>
      <c r="DW26" s="310">
        <f>Юнг!D62</f>
        <v>0</v>
      </c>
      <c r="DX26" s="310">
        <f t="shared" si="48"/>
        <v>0</v>
      </c>
      <c r="DY26" s="310">
        <f>Юнг!C64</f>
        <v>103.383</v>
      </c>
      <c r="DZ26" s="310">
        <f>Юнг!D64</f>
        <v>2</v>
      </c>
      <c r="EA26" s="310">
        <f t="shared" si="49"/>
        <v>1.9345540369306369</v>
      </c>
      <c r="EB26" s="310">
        <f>Юнг!C65</f>
        <v>15</v>
      </c>
      <c r="EC26" s="310">
        <f>Юнг!D65</f>
        <v>0</v>
      </c>
      <c r="ED26" s="310">
        <f t="shared" si="50"/>
        <v>0</v>
      </c>
      <c r="EE26" s="318">
        <f>Юнг!C71</f>
        <v>1984.75</v>
      </c>
      <c r="EF26" s="318">
        <f>Юнг!D71</f>
        <v>0</v>
      </c>
      <c r="EG26" s="310">
        <f t="shared" si="51"/>
        <v>0</v>
      </c>
      <c r="EH26" s="318">
        <f>Юнг!C76</f>
        <v>1112.5999999999999</v>
      </c>
      <c r="EI26" s="318">
        <f>Юнг!D76</f>
        <v>0</v>
      </c>
      <c r="EJ26" s="310">
        <f t="shared" si="52"/>
        <v>0</v>
      </c>
      <c r="EK26" s="318">
        <f>Юнг!C80</f>
        <v>1275.5</v>
      </c>
      <c r="EL26" s="323">
        <f>Юнг!D80</f>
        <v>0</v>
      </c>
      <c r="EM26" s="310">
        <f t="shared" si="10"/>
        <v>0</v>
      </c>
      <c r="EN26" s="310">
        <f>Юнг!C82</f>
        <v>0</v>
      </c>
      <c r="EO26" s="310">
        <f>Юнг!D82</f>
        <v>0</v>
      </c>
      <c r="EP26" s="310" t="e">
        <f t="shared" si="11"/>
        <v>#DIV/0!</v>
      </c>
      <c r="EQ26" s="324">
        <f>Юнг!C87</f>
        <v>10</v>
      </c>
      <c r="ER26" s="324">
        <f>Юнг!D87</f>
        <v>0</v>
      </c>
      <c r="ES26" s="310">
        <f t="shared" si="53"/>
        <v>0</v>
      </c>
      <c r="ET26" s="310">
        <f>Юнг!C93</f>
        <v>0</v>
      </c>
      <c r="EU26" s="310">
        <f>Юнг!D93</f>
        <v>0</v>
      </c>
      <c r="EV26" s="310" t="e">
        <f t="shared" si="54"/>
        <v>#DIV/0!</v>
      </c>
      <c r="EW26" s="334">
        <f t="shared" si="12"/>
        <v>0</v>
      </c>
      <c r="EX26" s="334">
        <f t="shared" si="13"/>
        <v>213.15714</v>
      </c>
      <c r="EY26" s="310" t="e">
        <f t="shared" si="56"/>
        <v>#DIV/0!</v>
      </c>
      <c r="EZ26" s="256"/>
      <c r="FA26" s="257"/>
      <c r="FC26" s="257"/>
    </row>
    <row r="27" spans="1:170" s="161" customFormat="1" ht="25.5" customHeight="1">
      <c r="A27" s="346">
        <v>14</v>
      </c>
      <c r="B27" s="348" t="s">
        <v>303</v>
      </c>
      <c r="C27" s="301">
        <f t="shared" si="14"/>
        <v>9700.4600000000009</v>
      </c>
      <c r="D27" s="302">
        <f t="shared" si="0"/>
        <v>510.0487</v>
      </c>
      <c r="E27" s="310">
        <f t="shared" si="1"/>
        <v>5.2579846728918005</v>
      </c>
      <c r="F27" s="304">
        <f t="shared" si="15"/>
        <v>1196.69</v>
      </c>
      <c r="G27" s="304">
        <f t="shared" si="3"/>
        <v>68.879299999999986</v>
      </c>
      <c r="H27" s="310">
        <f t="shared" si="16"/>
        <v>5.7558181316798827</v>
      </c>
      <c r="I27" s="318">
        <f>Юсь!C6</f>
        <v>155.1</v>
      </c>
      <c r="J27" s="456">
        <f>Юсь!D6</f>
        <v>6.6763500000000002</v>
      </c>
      <c r="K27" s="310">
        <f t="shared" si="17"/>
        <v>4.3045454545454547</v>
      </c>
      <c r="L27" s="310">
        <f>Юсь!C8</f>
        <v>200.15</v>
      </c>
      <c r="M27" s="310">
        <f>Юсь!D8</f>
        <v>20.809010000000001</v>
      </c>
      <c r="N27" s="303">
        <f t="shared" si="18"/>
        <v>10.396707469397953</v>
      </c>
      <c r="O27" s="303">
        <f>Юсь!C9</f>
        <v>2.15</v>
      </c>
      <c r="P27" s="303">
        <f>Юсь!D9</f>
        <v>0.12266000000000001</v>
      </c>
      <c r="Q27" s="303">
        <f t="shared" si="19"/>
        <v>5.7051162790697676</v>
      </c>
      <c r="R27" s="303">
        <f>Юсь!C10</f>
        <v>334.29</v>
      </c>
      <c r="S27" s="303">
        <f>Юсь!D10</f>
        <v>27.92079</v>
      </c>
      <c r="T27" s="303">
        <f t="shared" si="20"/>
        <v>8.3522659965897876</v>
      </c>
      <c r="U27" s="303">
        <f>Юсь!C11</f>
        <v>0</v>
      </c>
      <c r="V27" s="307">
        <f>Юсь!D11</f>
        <v>-3.5462600000000002</v>
      </c>
      <c r="W27" s="303" t="e">
        <f t="shared" si="21"/>
        <v>#DIV/0!</v>
      </c>
      <c r="X27" s="318">
        <f>Юсь!C13</f>
        <v>10</v>
      </c>
      <c r="Y27" s="318">
        <f>Юсь!D13</f>
        <v>0</v>
      </c>
      <c r="Z27" s="310">
        <f t="shared" si="22"/>
        <v>0</v>
      </c>
      <c r="AA27" s="318">
        <f>Юсь!C15</f>
        <v>117</v>
      </c>
      <c r="AB27" s="309">
        <f>Юсь!D15</f>
        <v>3.7299999999999998E-3</v>
      </c>
      <c r="AC27" s="310">
        <f t="shared" si="23"/>
        <v>3.1880341880341882E-3</v>
      </c>
      <c r="AD27" s="318">
        <f>Юсь!C16</f>
        <v>313</v>
      </c>
      <c r="AE27" s="318">
        <f>Юсь!D16</f>
        <v>6.4486299999999996</v>
      </c>
      <c r="AF27" s="310">
        <f t="shared" si="4"/>
        <v>2.0602651757188495</v>
      </c>
      <c r="AG27" s="310">
        <f>Юсь!C18</f>
        <v>10</v>
      </c>
      <c r="AH27" s="310">
        <f>Юсь!D18</f>
        <v>0</v>
      </c>
      <c r="AI27" s="310">
        <f t="shared" si="24"/>
        <v>0</v>
      </c>
      <c r="AJ27" s="310"/>
      <c r="AK27" s="310"/>
      <c r="AL27" s="310" t="e">
        <f>AJ27/AK27*100</f>
        <v>#DIV/0!</v>
      </c>
      <c r="AM27" s="318">
        <v>0</v>
      </c>
      <c r="AN27" s="318">
        <v>0</v>
      </c>
      <c r="AO27" s="310" t="e">
        <f t="shared" si="6"/>
        <v>#DIV/0!</v>
      </c>
      <c r="AP27" s="318">
        <f>Юсь!C27</f>
        <v>0</v>
      </c>
      <c r="AQ27" s="319">
        <f>Юсь!D27</f>
        <v>0</v>
      </c>
      <c r="AR27" s="310" t="e">
        <f t="shared" si="25"/>
        <v>#DIV/0!</v>
      </c>
      <c r="AS27" s="312">
        <f>Юсь!C28</f>
        <v>55</v>
      </c>
      <c r="AT27" s="319">
        <f>Юсь!D28</f>
        <v>4.5</v>
      </c>
      <c r="AU27" s="310">
        <f t="shared" si="26"/>
        <v>8.1818181818181817</v>
      </c>
      <c r="AV27" s="318"/>
      <c r="AW27" s="318"/>
      <c r="AX27" s="310" t="e">
        <f t="shared" si="27"/>
        <v>#DIV/0!</v>
      </c>
      <c r="AY27" s="310">
        <f>Юсь!C30</f>
        <v>0</v>
      </c>
      <c r="AZ27" s="313">
        <f>Юсь!D30</f>
        <v>0</v>
      </c>
      <c r="BA27" s="310" t="e">
        <f t="shared" si="28"/>
        <v>#DIV/0!</v>
      </c>
      <c r="BB27" s="310"/>
      <c r="BC27" s="310"/>
      <c r="BD27" s="310"/>
      <c r="BE27" s="310">
        <f>Юсь!C31</f>
        <v>0</v>
      </c>
      <c r="BF27" s="310">
        <f>Юсь!D31</f>
        <v>0</v>
      </c>
      <c r="BG27" s="310" t="e">
        <f t="shared" si="29"/>
        <v>#DIV/0!</v>
      </c>
      <c r="BH27" s="310"/>
      <c r="BI27" s="310"/>
      <c r="BJ27" s="310" t="e">
        <f t="shared" si="30"/>
        <v>#DIV/0!</v>
      </c>
      <c r="BK27" s="310"/>
      <c r="BL27" s="310"/>
      <c r="BM27" s="310"/>
      <c r="BN27" s="310"/>
      <c r="BO27" s="310"/>
      <c r="BP27" s="303" t="e">
        <f t="shared" si="31"/>
        <v>#DIV/0!</v>
      </c>
      <c r="BQ27" s="310">
        <f>Юсь!C34</f>
        <v>0</v>
      </c>
      <c r="BR27" s="310">
        <f>Юсь!D34</f>
        <v>5.9443900000000003</v>
      </c>
      <c r="BS27" s="310" t="e">
        <f t="shared" si="32"/>
        <v>#DIV/0!</v>
      </c>
      <c r="BT27" s="310"/>
      <c r="BU27" s="310"/>
      <c r="BV27" s="320" t="e">
        <f t="shared" si="33"/>
        <v>#DIV/0!</v>
      </c>
      <c r="BW27" s="320"/>
      <c r="BX27" s="320"/>
      <c r="BY27" s="320" t="e">
        <f t="shared" si="34"/>
        <v>#DIV/0!</v>
      </c>
      <c r="BZ27" s="308">
        <f t="shared" si="35"/>
        <v>8503.77</v>
      </c>
      <c r="CA27" s="308">
        <f t="shared" si="36"/>
        <v>441.1694</v>
      </c>
      <c r="CB27" s="310">
        <f t="shared" si="55"/>
        <v>5.187927236978422</v>
      </c>
      <c r="CC27" s="310">
        <f>Юсь!C39</f>
        <v>5087.2</v>
      </c>
      <c r="CD27" s="310">
        <f>Юсь!D39</f>
        <v>423.93599999999998</v>
      </c>
      <c r="CE27" s="310">
        <f t="shared" si="37"/>
        <v>8.3333857524768042</v>
      </c>
      <c r="CF27" s="310">
        <f>Юсь!C40</f>
        <v>0</v>
      </c>
      <c r="CG27" s="468">
        <f>Юсь!D40</f>
        <v>0</v>
      </c>
      <c r="CH27" s="310" t="e">
        <f t="shared" si="38"/>
        <v>#DIV/0!</v>
      </c>
      <c r="CI27" s="310">
        <f>Юсь!C41</f>
        <v>772.27</v>
      </c>
      <c r="CJ27" s="310">
        <f>Юсь!D41</f>
        <v>0</v>
      </c>
      <c r="CK27" s="310">
        <f t="shared" si="7"/>
        <v>0</v>
      </c>
      <c r="CL27" s="310">
        <f>Юсь!C42</f>
        <v>2569.3000000000002</v>
      </c>
      <c r="CM27" s="310">
        <f>Юсь!D42</f>
        <v>17.2334</v>
      </c>
      <c r="CN27" s="310">
        <f t="shared" si="8"/>
        <v>0.6707430039310317</v>
      </c>
      <c r="CO27" s="310">
        <f>Юсь!C49</f>
        <v>75</v>
      </c>
      <c r="CP27" s="310">
        <f>Юсь!D49</f>
        <v>0</v>
      </c>
      <c r="CQ27" s="303">
        <f t="shared" si="39"/>
        <v>0</v>
      </c>
      <c r="CR27" s="322">
        <f>Юсь!C50</f>
        <v>0</v>
      </c>
      <c r="CS27" s="310">
        <f>Юсь!D50</f>
        <v>0</v>
      </c>
      <c r="CT27" s="310" t="e">
        <f t="shared" si="9"/>
        <v>#DIV/0!</v>
      </c>
      <c r="CU27" s="310"/>
      <c r="CV27" s="310"/>
      <c r="CW27" s="310"/>
      <c r="CX27" s="318"/>
      <c r="CY27" s="318"/>
      <c r="CZ27" s="310" t="e">
        <f t="shared" si="40"/>
        <v>#DIV/0!</v>
      </c>
      <c r="DA27" s="310"/>
      <c r="DB27" s="310"/>
      <c r="DC27" s="310"/>
      <c r="DD27" s="310"/>
      <c r="DE27" s="310"/>
      <c r="DF27" s="310"/>
      <c r="DG27" s="312">
        <f t="shared" si="41"/>
        <v>9700.4600000000009</v>
      </c>
      <c r="DH27" s="312">
        <f t="shared" si="41"/>
        <v>34</v>
      </c>
      <c r="DI27" s="310">
        <f t="shared" si="42"/>
        <v>0.35049884232294132</v>
      </c>
      <c r="DJ27" s="318">
        <f t="shared" si="43"/>
        <v>1566.1990000000001</v>
      </c>
      <c r="DK27" s="318">
        <f t="shared" si="43"/>
        <v>30</v>
      </c>
      <c r="DL27" s="310">
        <f t="shared" si="44"/>
        <v>1.9154654038216086</v>
      </c>
      <c r="DM27" s="310">
        <f>Юсь!C58</f>
        <v>1462.068</v>
      </c>
      <c r="DN27" s="310">
        <f>Юсь!D58</f>
        <v>30</v>
      </c>
      <c r="DO27" s="310">
        <f t="shared" si="45"/>
        <v>2.0518881474733051</v>
      </c>
      <c r="DP27" s="310">
        <f>Юсь!C61</f>
        <v>0</v>
      </c>
      <c r="DQ27" s="310">
        <f>Юсь!D61</f>
        <v>0</v>
      </c>
      <c r="DR27" s="310" t="e">
        <f t="shared" si="46"/>
        <v>#DIV/0!</v>
      </c>
      <c r="DS27" s="310">
        <f>Юсь!C62</f>
        <v>100</v>
      </c>
      <c r="DT27" s="310">
        <f>Юсь!D62</f>
        <v>0</v>
      </c>
      <c r="DU27" s="310">
        <f t="shared" si="47"/>
        <v>0</v>
      </c>
      <c r="DV27" s="310">
        <f>Юсь!C63</f>
        <v>4.1310000000000002</v>
      </c>
      <c r="DW27" s="310">
        <f>Юсь!D63</f>
        <v>0</v>
      </c>
      <c r="DX27" s="310">
        <f t="shared" si="48"/>
        <v>0</v>
      </c>
      <c r="DY27" s="310">
        <f>Юсь!C65</f>
        <v>206.767</v>
      </c>
      <c r="DZ27" s="310">
        <f>Юсь!D65</f>
        <v>4</v>
      </c>
      <c r="EA27" s="310">
        <f t="shared" si="49"/>
        <v>1.9345446807275821</v>
      </c>
      <c r="EB27" s="310">
        <f>Юсь!C66</f>
        <v>15</v>
      </c>
      <c r="EC27" s="310">
        <f>Юсь!D66</f>
        <v>0</v>
      </c>
      <c r="ED27" s="310">
        <f t="shared" si="50"/>
        <v>0</v>
      </c>
      <c r="EE27" s="318">
        <f>Юсь!C72</f>
        <v>1413.12</v>
      </c>
      <c r="EF27" s="318">
        <f>Юсь!D72</f>
        <v>0</v>
      </c>
      <c r="EG27" s="310">
        <f t="shared" si="51"/>
        <v>0</v>
      </c>
      <c r="EH27" s="318">
        <f>Юсь!C77</f>
        <v>3981.7740000000003</v>
      </c>
      <c r="EI27" s="318">
        <f>Юсь!D77</f>
        <v>0</v>
      </c>
      <c r="EJ27" s="310">
        <f t="shared" si="52"/>
        <v>0</v>
      </c>
      <c r="EK27" s="318">
        <f>Юсь!C81</f>
        <v>2467.6</v>
      </c>
      <c r="EL27" s="323">
        <f>Юсь!D81</f>
        <v>0</v>
      </c>
      <c r="EM27" s="310">
        <f t="shared" si="10"/>
        <v>0</v>
      </c>
      <c r="EN27" s="310">
        <f>Юсь!C83</f>
        <v>0</v>
      </c>
      <c r="EO27" s="310">
        <f>Юсь!D83</f>
        <v>0</v>
      </c>
      <c r="EP27" s="310" t="e">
        <f t="shared" si="11"/>
        <v>#DIV/0!</v>
      </c>
      <c r="EQ27" s="324">
        <f>Юсь!C88</f>
        <v>50</v>
      </c>
      <c r="ER27" s="324">
        <f>Юсь!D88</f>
        <v>0</v>
      </c>
      <c r="ES27" s="310">
        <f t="shared" si="53"/>
        <v>0</v>
      </c>
      <c r="ET27" s="310">
        <f>Юсь!C94</f>
        <v>0</v>
      </c>
      <c r="EU27" s="310">
        <f>Юсь!D94</f>
        <v>0</v>
      </c>
      <c r="EV27" s="303" t="e">
        <f t="shared" si="54"/>
        <v>#DIV/0!</v>
      </c>
      <c r="EW27" s="317">
        <f t="shared" si="12"/>
        <v>0</v>
      </c>
      <c r="EX27" s="317">
        <f t="shared" si="13"/>
        <v>476.0487</v>
      </c>
      <c r="EY27" s="303" t="e">
        <f t="shared" si="56"/>
        <v>#DIV/0!</v>
      </c>
      <c r="EZ27" s="163"/>
      <c r="FA27" s="164"/>
      <c r="FC27" s="164"/>
    </row>
    <row r="28" spans="1:170" s="161" customFormat="1" ht="23.25" customHeight="1">
      <c r="A28" s="346">
        <v>15</v>
      </c>
      <c r="B28" s="348" t="s">
        <v>304</v>
      </c>
      <c r="C28" s="325">
        <f t="shared" si="14"/>
        <v>8480.2870000000003</v>
      </c>
      <c r="D28" s="302">
        <f>G28+CA28+CY28</f>
        <v>415.78728999999998</v>
      </c>
      <c r="E28" s="310">
        <f>D28/C28*100</f>
        <v>4.9029860663913851</v>
      </c>
      <c r="F28" s="304">
        <f t="shared" si="15"/>
        <v>2597.75</v>
      </c>
      <c r="G28" s="304">
        <f>J28+Y28+AB28+AE28+AH28+AN28+AT28+BF28+AK28+BR28+BO28+AZ28+M28+S28+P28+V28+AQ28</f>
        <v>100.40189000000001</v>
      </c>
      <c r="H28" s="310">
        <f>G28/F28*100</f>
        <v>3.8649558271581181</v>
      </c>
      <c r="I28" s="318">
        <f>Яра!C6</f>
        <v>211.2</v>
      </c>
      <c r="J28" s="456">
        <f>Яра!D6</f>
        <v>3.2048800000000002</v>
      </c>
      <c r="K28" s="310">
        <f t="shared" si="17"/>
        <v>1.5174621212121213</v>
      </c>
      <c r="L28" s="310">
        <f>Яра!C8</f>
        <v>309.91000000000003</v>
      </c>
      <c r="M28" s="310">
        <f>Яра!D8</f>
        <v>32.220370000000003</v>
      </c>
      <c r="N28" s="303">
        <f t="shared" si="18"/>
        <v>10.396686134684263</v>
      </c>
      <c r="O28" s="303">
        <f>Яра!C9</f>
        <v>3.32</v>
      </c>
      <c r="P28" s="303">
        <f>Яра!D9</f>
        <v>0.18994</v>
      </c>
      <c r="Q28" s="303">
        <f t="shared" si="19"/>
        <v>5.7210843373493976</v>
      </c>
      <c r="R28" s="303">
        <f>Яра!C10</f>
        <v>517.62</v>
      </c>
      <c r="S28" s="303">
        <f>Яра!D10</f>
        <v>43.232210000000002</v>
      </c>
      <c r="T28" s="303">
        <f t="shared" si="20"/>
        <v>8.3521135195703415</v>
      </c>
      <c r="U28" s="303">
        <f>Яра!C11</f>
        <v>0</v>
      </c>
      <c r="V28" s="307">
        <f>Яра!D11</f>
        <v>-5.4909600000000003</v>
      </c>
      <c r="W28" s="303" t="e">
        <f t="shared" si="21"/>
        <v>#DIV/0!</v>
      </c>
      <c r="X28" s="318">
        <f>Яра!C13</f>
        <v>20</v>
      </c>
      <c r="Y28" s="318">
        <f>Яра!D13</f>
        <v>0</v>
      </c>
      <c r="Z28" s="310">
        <f t="shared" si="22"/>
        <v>0</v>
      </c>
      <c r="AA28" s="318">
        <f>Яра!C15</f>
        <v>300</v>
      </c>
      <c r="AB28" s="309">
        <f>Яра!D15</f>
        <v>8.9469999999999992</v>
      </c>
      <c r="AC28" s="310">
        <f t="shared" si="23"/>
        <v>2.9823333333333331</v>
      </c>
      <c r="AD28" s="318">
        <f>Яра!C16</f>
        <v>1200</v>
      </c>
      <c r="AE28" s="318">
        <f>Яра!D16</f>
        <v>17.336449999999999</v>
      </c>
      <c r="AF28" s="310">
        <f t="shared" si="4"/>
        <v>1.4447041666666665</v>
      </c>
      <c r="AG28" s="310">
        <f>Яра!C18</f>
        <v>15</v>
      </c>
      <c r="AH28" s="310">
        <f>Яра!D18</f>
        <v>0.5</v>
      </c>
      <c r="AI28" s="310">
        <f t="shared" si="24"/>
        <v>3.3333333333333335</v>
      </c>
      <c r="AJ28" s="310"/>
      <c r="AK28" s="310"/>
      <c r="AL28" s="310" t="e">
        <f>AJ28/AK28*100</f>
        <v>#DIV/0!</v>
      </c>
      <c r="AM28" s="318">
        <v>0</v>
      </c>
      <c r="AN28" s="318">
        <v>0</v>
      </c>
      <c r="AO28" s="310" t="e">
        <f t="shared" si="6"/>
        <v>#DIV/0!</v>
      </c>
      <c r="AP28" s="318">
        <f>Яра!C27</f>
        <v>20.7</v>
      </c>
      <c r="AQ28" s="319">
        <f>Яра!D27</f>
        <v>0.52400000000000002</v>
      </c>
      <c r="AR28" s="310">
        <f t="shared" si="25"/>
        <v>2.531400966183575</v>
      </c>
      <c r="AS28" s="312">
        <f>Яра!C28</f>
        <v>0</v>
      </c>
      <c r="AT28" s="319">
        <f>Яра!D28</f>
        <v>0</v>
      </c>
      <c r="AU28" s="310" t="e">
        <f t="shared" si="26"/>
        <v>#DIV/0!</v>
      </c>
      <c r="AV28" s="318"/>
      <c r="AW28" s="318"/>
      <c r="AX28" s="310" t="e">
        <f t="shared" si="27"/>
        <v>#DIV/0!</v>
      </c>
      <c r="AY28" s="310">
        <f>Яра!C31</f>
        <v>0</v>
      </c>
      <c r="AZ28" s="313">
        <f>Яра!D31</f>
        <v>0</v>
      </c>
      <c r="BA28" s="310" t="e">
        <f t="shared" si="28"/>
        <v>#DIV/0!</v>
      </c>
      <c r="BB28" s="310"/>
      <c r="BC28" s="310"/>
      <c r="BD28" s="310"/>
      <c r="BE28" s="310">
        <f>Яра!C34</f>
        <v>0</v>
      </c>
      <c r="BF28" s="310">
        <v>0</v>
      </c>
      <c r="BG28" s="310" t="e">
        <f t="shared" si="29"/>
        <v>#DIV/0!</v>
      </c>
      <c r="BH28" s="310"/>
      <c r="BI28" s="310"/>
      <c r="BJ28" s="310" t="e">
        <f t="shared" si="30"/>
        <v>#DIV/0!</v>
      </c>
      <c r="BK28" s="310"/>
      <c r="BL28" s="310"/>
      <c r="BM28" s="310"/>
      <c r="BN28" s="310">
        <f>Яра!C35</f>
        <v>0</v>
      </c>
      <c r="BO28" s="310">
        <f>Яра!D35</f>
        <v>0</v>
      </c>
      <c r="BP28" s="303" t="e">
        <f t="shared" si="31"/>
        <v>#DIV/0!</v>
      </c>
      <c r="BQ28" s="310">
        <f>Яра!C37</f>
        <v>0</v>
      </c>
      <c r="BR28" s="310">
        <f>Яра!D37</f>
        <v>-0.26200000000000001</v>
      </c>
      <c r="BS28" s="310" t="e">
        <f t="shared" si="32"/>
        <v>#DIV/0!</v>
      </c>
      <c r="BT28" s="310"/>
      <c r="BU28" s="310"/>
      <c r="BV28" s="320" t="e">
        <f t="shared" si="33"/>
        <v>#DIV/0!</v>
      </c>
      <c r="BW28" s="320"/>
      <c r="BX28" s="320"/>
      <c r="BY28" s="320" t="e">
        <f t="shared" si="34"/>
        <v>#DIV/0!</v>
      </c>
      <c r="BZ28" s="308">
        <f t="shared" si="35"/>
        <v>5882.5370000000003</v>
      </c>
      <c r="CA28" s="308">
        <f t="shared" si="36"/>
        <v>315.3854</v>
      </c>
      <c r="CB28" s="310">
        <f t="shared" si="55"/>
        <v>5.3613840422933166</v>
      </c>
      <c r="CC28" s="310">
        <f>Яра!C42</f>
        <v>3577.8</v>
      </c>
      <c r="CD28" s="310">
        <f>Яра!D42</f>
        <v>298.15199999999999</v>
      </c>
      <c r="CE28" s="310">
        <f t="shared" si="37"/>
        <v>8.3333892336072442</v>
      </c>
      <c r="CF28" s="310">
        <f>Яра!C43</f>
        <v>225</v>
      </c>
      <c r="CG28" s="468">
        <f>Яра!D43</f>
        <v>0</v>
      </c>
      <c r="CH28" s="310">
        <f t="shared" si="38"/>
        <v>0</v>
      </c>
      <c r="CI28" s="310">
        <f>Яра!C44</f>
        <v>1293.71</v>
      </c>
      <c r="CJ28" s="310">
        <f>Яра!D44</f>
        <v>0</v>
      </c>
      <c r="CK28" s="310">
        <f t="shared" si="7"/>
        <v>0</v>
      </c>
      <c r="CL28" s="310">
        <f>Яра!C45</f>
        <v>211.02699999999999</v>
      </c>
      <c r="CM28" s="310">
        <f>Яра!D45</f>
        <v>17.2334</v>
      </c>
      <c r="CN28" s="310">
        <f t="shared" si="8"/>
        <v>8.1664431565629041</v>
      </c>
      <c r="CO28" s="310">
        <f>Яра!C47</f>
        <v>575</v>
      </c>
      <c r="CP28" s="310">
        <f>Яра!D47</f>
        <v>0</v>
      </c>
      <c r="CQ28" s="303">
        <f t="shared" si="39"/>
        <v>0</v>
      </c>
      <c r="CR28" s="322">
        <f>Яра!C51</f>
        <v>0</v>
      </c>
      <c r="CS28" s="310">
        <f>Яра!D51</f>
        <v>0</v>
      </c>
      <c r="CT28" s="310" t="e">
        <f t="shared" si="9"/>
        <v>#DIV/0!</v>
      </c>
      <c r="CU28" s="310"/>
      <c r="CV28" s="310"/>
      <c r="CW28" s="310"/>
      <c r="CX28" s="318"/>
      <c r="CY28" s="318"/>
      <c r="CZ28" s="310" t="e">
        <f t="shared" si="40"/>
        <v>#DIV/0!</v>
      </c>
      <c r="DA28" s="310"/>
      <c r="DB28" s="310">
        <f>Яра!D46</f>
        <v>0</v>
      </c>
      <c r="DC28" s="310" t="e">
        <f>DB28/DA28</f>
        <v>#DIV/0!</v>
      </c>
      <c r="DD28" s="310"/>
      <c r="DE28" s="310"/>
      <c r="DF28" s="310"/>
      <c r="DG28" s="312">
        <f t="shared" si="41"/>
        <v>8480.2870000000003</v>
      </c>
      <c r="DH28" s="312">
        <f t="shared" si="41"/>
        <v>35.199999999999996</v>
      </c>
      <c r="DI28" s="310">
        <f t="shared" si="42"/>
        <v>0.4150802915042851</v>
      </c>
      <c r="DJ28" s="318">
        <f t="shared" si="43"/>
        <v>1630.277</v>
      </c>
      <c r="DK28" s="318">
        <f t="shared" si="43"/>
        <v>30.4</v>
      </c>
      <c r="DL28" s="310">
        <f t="shared" si="44"/>
        <v>1.8647137879023012</v>
      </c>
      <c r="DM28" s="310">
        <f>Яра!C59</f>
        <v>1601.2</v>
      </c>
      <c r="DN28" s="310">
        <f>Яра!D59</f>
        <v>30.4</v>
      </c>
      <c r="DO28" s="310">
        <f t="shared" si="45"/>
        <v>1.8985760679490382</v>
      </c>
      <c r="DP28" s="310">
        <f>Яра!C62</f>
        <v>0</v>
      </c>
      <c r="DQ28" s="310">
        <f>Яра!D62</f>
        <v>0</v>
      </c>
      <c r="DR28" s="310" t="e">
        <f t="shared" si="46"/>
        <v>#DIV/0!</v>
      </c>
      <c r="DS28" s="310">
        <f>Яра!C63</f>
        <v>10</v>
      </c>
      <c r="DT28" s="310">
        <f>Яра!D63</f>
        <v>0</v>
      </c>
      <c r="DU28" s="310">
        <f t="shared" si="47"/>
        <v>0</v>
      </c>
      <c r="DV28" s="310">
        <f>Яра!C64</f>
        <v>19.077000000000002</v>
      </c>
      <c r="DW28" s="310">
        <f>Яра!D64</f>
        <v>0</v>
      </c>
      <c r="DX28" s="310">
        <f t="shared" si="48"/>
        <v>0</v>
      </c>
      <c r="DY28" s="310">
        <f>Яра!C66</f>
        <v>206.767</v>
      </c>
      <c r="DZ28" s="310">
        <f>Яра!D65</f>
        <v>4.8</v>
      </c>
      <c r="EA28" s="310">
        <f t="shared" si="49"/>
        <v>2.3214536168730984</v>
      </c>
      <c r="EB28" s="310">
        <f>Яра!C67</f>
        <v>115</v>
      </c>
      <c r="EC28" s="310">
        <f>Яра!D67</f>
        <v>0</v>
      </c>
      <c r="ED28" s="310">
        <f t="shared" si="50"/>
        <v>0</v>
      </c>
      <c r="EE28" s="318">
        <f>Яра!C73</f>
        <v>2569.5200000000004</v>
      </c>
      <c r="EF28" s="318">
        <f>Яра!D73</f>
        <v>0</v>
      </c>
      <c r="EG28" s="310">
        <f t="shared" si="51"/>
        <v>0</v>
      </c>
      <c r="EH28" s="318">
        <f>Яра!C78</f>
        <v>1995.9</v>
      </c>
      <c r="EI28" s="318">
        <f>Яра!D78</f>
        <v>0</v>
      </c>
      <c r="EJ28" s="310">
        <f t="shared" si="52"/>
        <v>0</v>
      </c>
      <c r="EK28" s="318">
        <f>Яра!C82</f>
        <v>1950.8230000000001</v>
      </c>
      <c r="EL28" s="323">
        <f>Яра!D82</f>
        <v>0</v>
      </c>
      <c r="EM28" s="310">
        <f t="shared" si="10"/>
        <v>0</v>
      </c>
      <c r="EN28" s="310">
        <f>Яра!C84</f>
        <v>0</v>
      </c>
      <c r="EO28" s="310">
        <f>Яра!D84</f>
        <v>0</v>
      </c>
      <c r="EP28" s="310" t="e">
        <f t="shared" si="11"/>
        <v>#DIV/0!</v>
      </c>
      <c r="EQ28" s="324">
        <f>Яра!C89</f>
        <v>12</v>
      </c>
      <c r="ER28" s="324">
        <f>Яра!D89</f>
        <v>0</v>
      </c>
      <c r="ES28" s="310">
        <f t="shared" si="53"/>
        <v>0</v>
      </c>
      <c r="ET28" s="310">
        <f>Яра!C95</f>
        <v>0</v>
      </c>
      <c r="EU28" s="310">
        <f>Яра!D95</f>
        <v>0</v>
      </c>
      <c r="EV28" s="303" t="e">
        <f t="shared" si="54"/>
        <v>#DIV/0!</v>
      </c>
      <c r="EW28" s="317">
        <f t="shared" si="12"/>
        <v>0</v>
      </c>
      <c r="EX28" s="317">
        <f t="shared" si="13"/>
        <v>380.58729</v>
      </c>
      <c r="EY28" s="303" t="e">
        <f t="shared" si="56"/>
        <v>#DIV/0!</v>
      </c>
      <c r="EZ28" s="163"/>
      <c r="FA28" s="164"/>
      <c r="FC28" s="164"/>
    </row>
    <row r="29" spans="1:170" s="161" customFormat="1" ht="25.5" customHeight="1">
      <c r="A29" s="346">
        <v>16</v>
      </c>
      <c r="B29" s="347" t="s">
        <v>305</v>
      </c>
      <c r="C29" s="301">
        <f t="shared" si="14"/>
        <v>4788.4629999999997</v>
      </c>
      <c r="D29" s="302">
        <f t="shared" si="0"/>
        <v>238.35120999999998</v>
      </c>
      <c r="E29" s="303">
        <f t="shared" si="1"/>
        <v>4.9776141112503112</v>
      </c>
      <c r="F29" s="304">
        <f t="shared" si="15"/>
        <v>2309.85</v>
      </c>
      <c r="G29" s="304">
        <f t="shared" si="3"/>
        <v>91.516709999999989</v>
      </c>
      <c r="H29" s="303">
        <f t="shared" si="16"/>
        <v>3.9620196116630946</v>
      </c>
      <c r="I29" s="308">
        <f>Яро!C6</f>
        <v>117.6</v>
      </c>
      <c r="J29" s="456">
        <f>Яро!D6</f>
        <v>1.98201</v>
      </c>
      <c r="K29" s="303">
        <f t="shared" si="17"/>
        <v>1.6853826530612248</v>
      </c>
      <c r="L29" s="303">
        <f>Яро!C8</f>
        <v>178.01</v>
      </c>
      <c r="M29" s="303">
        <f>Яро!D8</f>
        <v>18.507539999999999</v>
      </c>
      <c r="N29" s="303">
        <f t="shared" si="18"/>
        <v>10.396910285938992</v>
      </c>
      <c r="O29" s="303">
        <f>Яро!C9</f>
        <v>1.91</v>
      </c>
      <c r="P29" s="303">
        <f>Яро!D9</f>
        <v>0.1091</v>
      </c>
      <c r="Q29" s="303">
        <f t="shared" si="19"/>
        <v>5.7120418848167542</v>
      </c>
      <c r="R29" s="303">
        <f>Яро!C10</f>
        <v>297.33</v>
      </c>
      <c r="S29" s="303">
        <f>Яро!D10</f>
        <v>24.83278</v>
      </c>
      <c r="T29" s="303">
        <f t="shared" si="20"/>
        <v>8.3519254700164804</v>
      </c>
      <c r="U29" s="303">
        <f>Яро!C11</f>
        <v>0</v>
      </c>
      <c r="V29" s="307">
        <f>Яро!D11</f>
        <v>-3.1540300000000001</v>
      </c>
      <c r="W29" s="303" t="e">
        <f t="shared" si="21"/>
        <v>#DIV/0!</v>
      </c>
      <c r="X29" s="308">
        <f>Яро!C13</f>
        <v>10</v>
      </c>
      <c r="Y29" s="308">
        <f>Яро!D13</f>
        <v>0</v>
      </c>
      <c r="Z29" s="303">
        <f t="shared" si="22"/>
        <v>0</v>
      </c>
      <c r="AA29" s="308">
        <f>Яро!C15</f>
        <v>380</v>
      </c>
      <c r="AB29" s="309">
        <f>Яро!D15</f>
        <v>1.6005499999999999</v>
      </c>
      <c r="AC29" s="303">
        <f t="shared" si="23"/>
        <v>0.4211973684210526</v>
      </c>
      <c r="AD29" s="308">
        <f>Яро!C16</f>
        <v>920</v>
      </c>
      <c r="AE29" s="308">
        <f>Яро!D16</f>
        <v>24.69276</v>
      </c>
      <c r="AF29" s="303">
        <f t="shared" si="4"/>
        <v>2.683995652173913</v>
      </c>
      <c r="AG29" s="303">
        <f>Яро!C18</f>
        <v>5</v>
      </c>
      <c r="AH29" s="303">
        <f>Яро!D18</f>
        <v>0</v>
      </c>
      <c r="AI29" s="303">
        <f t="shared" si="24"/>
        <v>0</v>
      </c>
      <c r="AJ29" s="303"/>
      <c r="AK29" s="303"/>
      <c r="AL29" s="303" t="e">
        <f>AJ29/AK29*100</f>
        <v>#DIV/0!</v>
      </c>
      <c r="AM29" s="308">
        <v>0</v>
      </c>
      <c r="AN29" s="308">
        <v>0</v>
      </c>
      <c r="AO29" s="303" t="e">
        <f t="shared" si="6"/>
        <v>#DIV/0!</v>
      </c>
      <c r="AP29" s="308">
        <f>Яро!C26</f>
        <v>400</v>
      </c>
      <c r="AQ29" s="311">
        <f>Яро!D27</f>
        <v>22.946000000000002</v>
      </c>
      <c r="AR29" s="303">
        <f t="shared" si="25"/>
        <v>5.7365000000000004</v>
      </c>
      <c r="AS29" s="312">
        <v>0</v>
      </c>
      <c r="AT29" s="311">
        <f>Яро!D28</f>
        <v>0</v>
      </c>
      <c r="AU29" s="303" t="e">
        <f t="shared" si="26"/>
        <v>#DIV/0!</v>
      </c>
      <c r="AV29" s="308"/>
      <c r="AW29" s="308"/>
      <c r="AX29" s="303" t="e">
        <f t="shared" si="27"/>
        <v>#DIV/0!</v>
      </c>
      <c r="AY29" s="303"/>
      <c r="AZ29" s="313">
        <f>Яро!D29</f>
        <v>0</v>
      </c>
      <c r="BA29" s="303" t="e">
        <f t="shared" si="28"/>
        <v>#DIV/0!</v>
      </c>
      <c r="BB29" s="303"/>
      <c r="BC29" s="303"/>
      <c r="BD29" s="303"/>
      <c r="BE29" s="303">
        <f>Яро!C31</f>
        <v>0</v>
      </c>
      <c r="BF29" s="303">
        <f>Яро!D31</f>
        <v>0</v>
      </c>
      <c r="BG29" s="303" t="e">
        <f t="shared" si="29"/>
        <v>#DIV/0!</v>
      </c>
      <c r="BH29" s="303"/>
      <c r="BI29" s="303"/>
      <c r="BJ29" s="303" t="e">
        <f t="shared" si="30"/>
        <v>#DIV/0!</v>
      </c>
      <c r="BK29" s="303"/>
      <c r="BL29" s="303"/>
      <c r="BM29" s="303"/>
      <c r="BN29" s="303">
        <f>Яро!C34</f>
        <v>0</v>
      </c>
      <c r="BO29" s="303">
        <f>Яро!D34</f>
        <v>0</v>
      </c>
      <c r="BP29" s="303" t="e">
        <f t="shared" si="31"/>
        <v>#DIV/0!</v>
      </c>
      <c r="BQ29" s="303">
        <v>0</v>
      </c>
      <c r="BR29" s="303">
        <v>0</v>
      </c>
      <c r="BS29" s="303" t="e">
        <f t="shared" si="32"/>
        <v>#DIV/0!</v>
      </c>
      <c r="BT29" s="303"/>
      <c r="BU29" s="303"/>
      <c r="BV29" s="315" t="e">
        <f t="shared" si="33"/>
        <v>#DIV/0!</v>
      </c>
      <c r="BW29" s="315"/>
      <c r="BX29" s="315"/>
      <c r="BY29" s="315" t="e">
        <f t="shared" si="34"/>
        <v>#DIV/0!</v>
      </c>
      <c r="BZ29" s="308">
        <f t="shared" si="35"/>
        <v>2478.6129999999998</v>
      </c>
      <c r="CA29" s="308">
        <f t="shared" si="36"/>
        <v>146.83449999999999</v>
      </c>
      <c r="CB29" s="303">
        <f t="shared" si="55"/>
        <v>5.9240591411406296</v>
      </c>
      <c r="CC29" s="310">
        <f>Яро!C39</f>
        <v>1658.6</v>
      </c>
      <c r="CD29" s="310">
        <f>Яро!D39</f>
        <v>138.21799999999999</v>
      </c>
      <c r="CE29" s="303">
        <f t="shared" si="37"/>
        <v>8.3334137224164948</v>
      </c>
      <c r="CF29" s="303">
        <f>Яро!C40</f>
        <v>0</v>
      </c>
      <c r="CG29" s="467">
        <f>Яро!D40</f>
        <v>0</v>
      </c>
      <c r="CH29" s="303" t="e">
        <f t="shared" si="38"/>
        <v>#DIV/0!</v>
      </c>
      <c r="CI29" s="303">
        <f>Яро!C41</f>
        <v>637.37</v>
      </c>
      <c r="CJ29" s="303">
        <f>Яро!D41</f>
        <v>0</v>
      </c>
      <c r="CK29" s="303">
        <f t="shared" si="7"/>
        <v>0</v>
      </c>
      <c r="CL29" s="303">
        <f>Яро!C42</f>
        <v>107.643</v>
      </c>
      <c r="CM29" s="303">
        <f>Яро!D42</f>
        <v>8.6165000000000003</v>
      </c>
      <c r="CN29" s="303">
        <f t="shared" si="8"/>
        <v>8.0047007236884884</v>
      </c>
      <c r="CO29" s="303">
        <f>Яро!C44</f>
        <v>75</v>
      </c>
      <c r="CP29" s="303">
        <f>Яро!D44</f>
        <v>0</v>
      </c>
      <c r="CQ29" s="303">
        <f t="shared" si="39"/>
        <v>0</v>
      </c>
      <c r="CR29" s="307">
        <f>Яро!C45</f>
        <v>0</v>
      </c>
      <c r="CS29" s="303">
        <f>Яро!D45</f>
        <v>0</v>
      </c>
      <c r="CT29" s="303" t="e">
        <f t="shared" si="9"/>
        <v>#DIV/0!</v>
      </c>
      <c r="CU29" s="303"/>
      <c r="CV29" s="303"/>
      <c r="CW29" s="303"/>
      <c r="CX29" s="308"/>
      <c r="CY29" s="308"/>
      <c r="CZ29" s="303" t="e">
        <f t="shared" si="40"/>
        <v>#DIV/0!</v>
      </c>
      <c r="DA29" s="303"/>
      <c r="DB29" s="303"/>
      <c r="DC29" s="303"/>
      <c r="DD29" s="303"/>
      <c r="DE29" s="303"/>
      <c r="DF29" s="303"/>
      <c r="DG29" s="312">
        <f t="shared" si="41"/>
        <v>4788.4629999999997</v>
      </c>
      <c r="DH29" s="312">
        <f t="shared" si="41"/>
        <v>25.5</v>
      </c>
      <c r="DI29" s="303">
        <f t="shared" si="42"/>
        <v>0.53252995794266345</v>
      </c>
      <c r="DJ29" s="308">
        <f t="shared" si="43"/>
        <v>1418.4770000000001</v>
      </c>
      <c r="DK29" s="308">
        <f t="shared" si="43"/>
        <v>25.5</v>
      </c>
      <c r="DL29" s="303">
        <f t="shared" si="44"/>
        <v>1.7977027473832847</v>
      </c>
      <c r="DM29" s="303">
        <f>Яро!C55</f>
        <v>1365.5</v>
      </c>
      <c r="DN29" s="303">
        <f>Яро!D55</f>
        <v>25.5</v>
      </c>
      <c r="DO29" s="303">
        <f t="shared" si="45"/>
        <v>1.8674478213108752</v>
      </c>
      <c r="DP29" s="303">
        <f>Яро!C58</f>
        <v>0</v>
      </c>
      <c r="DQ29" s="303">
        <f>Яро!D58</f>
        <v>0</v>
      </c>
      <c r="DR29" s="303" t="e">
        <f t="shared" si="46"/>
        <v>#DIV/0!</v>
      </c>
      <c r="DS29" s="303">
        <f>Яро!C59</f>
        <v>50</v>
      </c>
      <c r="DT29" s="303">
        <f>Яро!D59</f>
        <v>0</v>
      </c>
      <c r="DU29" s="303">
        <f t="shared" si="47"/>
        <v>0</v>
      </c>
      <c r="DV29" s="303">
        <f>Яро!C60</f>
        <v>2.9769999999999999</v>
      </c>
      <c r="DW29" s="303">
        <f>Яро!D60</f>
        <v>0</v>
      </c>
      <c r="DX29" s="303">
        <f t="shared" si="48"/>
        <v>0</v>
      </c>
      <c r="DY29" s="303">
        <f>Яро!C61</f>
        <v>103.383</v>
      </c>
      <c r="DZ29" s="303">
        <f>Яро!D61</f>
        <v>0</v>
      </c>
      <c r="EA29" s="303">
        <f t="shared" si="49"/>
        <v>0</v>
      </c>
      <c r="EB29" s="303">
        <f>Яро!C63</f>
        <v>25</v>
      </c>
      <c r="EC29" s="303">
        <f>Яро!D63</f>
        <v>0</v>
      </c>
      <c r="ED29" s="303">
        <f t="shared" si="50"/>
        <v>0</v>
      </c>
      <c r="EE29" s="308">
        <f>Яро!C69</f>
        <v>1268.8799999999999</v>
      </c>
      <c r="EF29" s="308">
        <f>Яро!D69</f>
        <v>0</v>
      </c>
      <c r="EG29" s="303">
        <f t="shared" si="51"/>
        <v>0</v>
      </c>
      <c r="EH29" s="308">
        <f>Яро!C74</f>
        <v>890.423</v>
      </c>
      <c r="EI29" s="308">
        <f>Яро!D74</f>
        <v>0</v>
      </c>
      <c r="EJ29" s="303">
        <f t="shared" si="52"/>
        <v>0</v>
      </c>
      <c r="EK29" s="308">
        <f>Яро!C79</f>
        <v>1052.3</v>
      </c>
      <c r="EL29" s="316">
        <f>Яро!D78</f>
        <v>0</v>
      </c>
      <c r="EM29" s="303">
        <f t="shared" si="10"/>
        <v>0</v>
      </c>
      <c r="EN29" s="303">
        <f>Яро!C80</f>
        <v>0</v>
      </c>
      <c r="EO29" s="303">
        <f>Яро!D80</f>
        <v>0</v>
      </c>
      <c r="EP29" s="303" t="e">
        <f t="shared" si="11"/>
        <v>#DIV/0!</v>
      </c>
      <c r="EQ29" s="304">
        <f>Яро!C85</f>
        <v>30</v>
      </c>
      <c r="ER29" s="304">
        <f>Яро!D85</f>
        <v>0</v>
      </c>
      <c r="ES29" s="303">
        <f t="shared" si="53"/>
        <v>0</v>
      </c>
      <c r="ET29" s="303">
        <f>Яро!C91</f>
        <v>0</v>
      </c>
      <c r="EU29" s="303">
        <f>Яро!D91</f>
        <v>0</v>
      </c>
      <c r="EV29" s="303" t="e">
        <f t="shared" si="54"/>
        <v>#DIV/0!</v>
      </c>
      <c r="EW29" s="317">
        <f t="shared" si="12"/>
        <v>0</v>
      </c>
      <c r="EX29" s="317">
        <f t="shared" si="13"/>
        <v>212.85120999999998</v>
      </c>
      <c r="EY29" s="303" t="e">
        <f t="shared" si="56"/>
        <v>#DIV/0!</v>
      </c>
      <c r="EZ29" s="163"/>
      <c r="FA29" s="164"/>
      <c r="FC29" s="164"/>
    </row>
    <row r="30" spans="1:170" s="161" customFormat="1" ht="17.25" customHeight="1">
      <c r="A30" s="353"/>
      <c r="B30" s="354"/>
      <c r="C30" s="335"/>
      <c r="D30" s="336"/>
      <c r="E30" s="303"/>
      <c r="F30" s="304"/>
      <c r="G30" s="308"/>
      <c r="H30" s="303"/>
      <c r="I30" s="308"/>
      <c r="J30" s="457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38"/>
      <c r="W30" s="303"/>
      <c r="X30" s="308"/>
      <c r="Y30" s="308"/>
      <c r="Z30" s="303"/>
      <c r="AA30" s="308"/>
      <c r="AB30" s="308"/>
      <c r="AC30" s="303"/>
      <c r="AD30" s="308"/>
      <c r="AE30" s="308"/>
      <c r="AF30" s="303"/>
      <c r="AG30" s="303"/>
      <c r="AH30" s="303"/>
      <c r="AI30" s="303"/>
      <c r="AJ30" s="303"/>
      <c r="AK30" s="303"/>
      <c r="AL30" s="303"/>
      <c r="AM30" s="308"/>
      <c r="AN30" s="308"/>
      <c r="AO30" s="303"/>
      <c r="AP30" s="308"/>
      <c r="AQ30" s="308"/>
      <c r="AR30" s="303"/>
      <c r="AS30" s="308"/>
      <c r="AT30" s="311"/>
      <c r="AU30" s="303"/>
      <c r="AV30" s="308"/>
      <c r="AW30" s="308"/>
      <c r="AX30" s="303"/>
      <c r="AY30" s="303"/>
      <c r="AZ30" s="313"/>
      <c r="BA30" s="303" t="e">
        <f t="shared" si="28"/>
        <v>#DIV/0!</v>
      </c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15"/>
      <c r="BW30" s="315"/>
      <c r="BX30" s="315"/>
      <c r="BY30" s="315"/>
      <c r="BZ30" s="308"/>
      <c r="CA30" s="308"/>
      <c r="CB30" s="303"/>
      <c r="CC30" s="303"/>
      <c r="CD30" s="303"/>
      <c r="CE30" s="303"/>
      <c r="CF30" s="303"/>
      <c r="CG30" s="467"/>
      <c r="CH30" s="467"/>
      <c r="CI30" s="303"/>
      <c r="CJ30" s="303"/>
      <c r="CK30" s="303"/>
      <c r="CL30" s="303"/>
      <c r="CM30" s="303"/>
      <c r="CN30" s="303"/>
      <c r="CO30" s="303"/>
      <c r="CP30" s="303"/>
      <c r="CQ30" s="303"/>
      <c r="CR30" s="338"/>
      <c r="CS30" s="303"/>
      <c r="CT30" s="303"/>
      <c r="CU30" s="303"/>
      <c r="CV30" s="303"/>
      <c r="CW30" s="303"/>
      <c r="CX30" s="308"/>
      <c r="CY30" s="308"/>
      <c r="CZ30" s="303"/>
      <c r="DA30" s="303"/>
      <c r="DB30" s="303"/>
      <c r="DC30" s="303"/>
      <c r="DD30" s="303"/>
      <c r="DE30" s="303"/>
      <c r="DF30" s="303"/>
      <c r="DG30" s="308"/>
      <c r="DH30" s="308"/>
      <c r="DI30" s="303"/>
      <c r="DJ30" s="308"/>
      <c r="DK30" s="337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14"/>
      <c r="EA30" s="303"/>
      <c r="EB30" s="303"/>
      <c r="EC30" s="303"/>
      <c r="ED30" s="303"/>
      <c r="EE30" s="308"/>
      <c r="EF30" s="308"/>
      <c r="EG30" s="303"/>
      <c r="EH30" s="308"/>
      <c r="EI30" s="308"/>
      <c r="EJ30" s="303"/>
      <c r="EK30" s="308"/>
      <c r="EL30" s="308"/>
      <c r="EM30" s="303"/>
      <c r="EN30" s="303"/>
      <c r="EO30" s="303"/>
      <c r="EP30" s="303"/>
      <c r="EQ30" s="304"/>
      <c r="ER30" s="304"/>
      <c r="ES30" s="303"/>
      <c r="ET30" s="303"/>
      <c r="EU30" s="303"/>
      <c r="EV30" s="303"/>
      <c r="EW30" s="317"/>
      <c r="EX30" s="317"/>
      <c r="EY30" s="303" t="e">
        <f t="shared" si="56"/>
        <v>#DIV/0!</v>
      </c>
      <c r="FA30" s="164"/>
      <c r="FC30" s="164"/>
    </row>
    <row r="31" spans="1:170" s="167" customFormat="1" ht="18.75">
      <c r="A31" s="513" t="s">
        <v>176</v>
      </c>
      <c r="B31" s="514"/>
      <c r="C31" s="339">
        <f>SUM(C14:C29)</f>
        <v>127601.71147000002</v>
      </c>
      <c r="D31" s="339">
        <f>SUM(D14:D29)</f>
        <v>6352.9515500000007</v>
      </c>
      <c r="E31" s="340">
        <f>D31/C31*100</f>
        <v>4.9787353765185349</v>
      </c>
      <c r="F31" s="341">
        <f>SUM(F14:F29)</f>
        <v>41735.340000000004</v>
      </c>
      <c r="G31" s="342">
        <f>SUM(G14:G29)</f>
        <v>1903.1307700000002</v>
      </c>
      <c r="H31" s="340">
        <f>G31/F31*100</f>
        <v>4.5599982412986213</v>
      </c>
      <c r="I31" s="342">
        <f>SUM(I14:I29)</f>
        <v>5950.44</v>
      </c>
      <c r="J31" s="458">
        <f>SUM(J14:J29)</f>
        <v>360.32661000000002</v>
      </c>
      <c r="K31" s="340">
        <f>J31/I31*100</f>
        <v>6.055461612922743</v>
      </c>
      <c r="L31" s="340">
        <f>SUM(L14:L29)</f>
        <v>3364.7400000000007</v>
      </c>
      <c r="M31" s="340">
        <f>SUM(M14:M29)</f>
        <v>349.82115000000005</v>
      </c>
      <c r="N31" s="340">
        <f>M31/L31*100</f>
        <v>10.396677009219136</v>
      </c>
      <c r="O31" s="340">
        <f>SUM(O14:O29)</f>
        <v>36.059999999999995</v>
      </c>
      <c r="P31" s="340">
        <f>SUM(P14:P29)</f>
        <v>2.0620499999999997</v>
      </c>
      <c r="Q31" s="340">
        <f>P31/O31*100</f>
        <v>5.7183860232945092</v>
      </c>
      <c r="R31" s="340">
        <f>SUM(R14:R29)</f>
        <v>5619.9</v>
      </c>
      <c r="S31" s="340">
        <f>SUM(S14:S29)</f>
        <v>469.37824000000001</v>
      </c>
      <c r="T31" s="340">
        <f>S31/R31*100</f>
        <v>8.3520745920745938</v>
      </c>
      <c r="U31" s="340">
        <f>SUM(U14:U29)</f>
        <v>0</v>
      </c>
      <c r="V31" s="340">
        <f>SUM(V14:V29)</f>
        <v>-59.615900000000003</v>
      </c>
      <c r="W31" s="340" t="e">
        <f>V31/U31*100</f>
        <v>#DIV/0!</v>
      </c>
      <c r="X31" s="342">
        <f>SUM(X14:X29)</f>
        <v>550</v>
      </c>
      <c r="Y31" s="342">
        <f>SUM(Y14:Y29)</f>
        <v>20.127879999999998</v>
      </c>
      <c r="Z31" s="340">
        <f>Y31/X31*100</f>
        <v>3.6596145454545455</v>
      </c>
      <c r="AA31" s="342">
        <f>SUM(AA14:AA29)</f>
        <v>6050</v>
      </c>
      <c r="AB31" s="342">
        <f>SUM(AB14:AB29)</f>
        <v>54.868659999999991</v>
      </c>
      <c r="AC31" s="340">
        <f>AB31/AA31*100</f>
        <v>0.90691999999999973</v>
      </c>
      <c r="AD31" s="342">
        <f>SUM(AD14:AD29)</f>
        <v>16922</v>
      </c>
      <c r="AE31" s="342">
        <f>SUM(AE14:AE29)</f>
        <v>462.64346999999992</v>
      </c>
      <c r="AF31" s="340">
        <f>AE31/AD31*100</f>
        <v>2.7339763030374655</v>
      </c>
      <c r="AG31" s="343">
        <f>SUM(AG14:AG29)</f>
        <v>118</v>
      </c>
      <c r="AH31" s="340">
        <f>SUM(AH14:AH29)</f>
        <v>3.4000000000000004</v>
      </c>
      <c r="AI31" s="303">
        <f t="shared" si="24"/>
        <v>2.8813559322033901</v>
      </c>
      <c r="AJ31" s="342">
        <f>AJ14+AJ15+AJ16+AJ17+AJ18+AJ19+AJ20+AJ21+AJ22+AJ23+AJ24+AJ25+AJ26+AJ27+AJ28+AJ29</f>
        <v>0</v>
      </c>
      <c r="AK31" s="342">
        <f>AK14+AK15+AK16+AK17+AK18+AK19+AK20+AK21+AK22+AK23+AK24+AK25+AK26+AK27+AK28+AK29</f>
        <v>0</v>
      </c>
      <c r="AL31" s="303" t="e">
        <f>AK31/AJ31*100</f>
        <v>#DIV/0!</v>
      </c>
      <c r="AM31" s="342">
        <f>SUM(AM14:AM29)</f>
        <v>0</v>
      </c>
      <c r="AN31" s="342">
        <f>SUM(AN14:AN29)</f>
        <v>0</v>
      </c>
      <c r="AO31" s="340" t="e">
        <f>AN31/AM31*100</f>
        <v>#DIV/0!</v>
      </c>
      <c r="AP31" s="342">
        <f>SUM(AP14:AP29)</f>
        <v>2733.3999999999996</v>
      </c>
      <c r="AQ31" s="342">
        <f>SUM(AQ14:AQ29)</f>
        <v>195.61660000000001</v>
      </c>
      <c r="AR31" s="340">
        <f>AQ31/AP31*100</f>
        <v>7.1565303285285733</v>
      </c>
      <c r="AS31" s="342">
        <f>SUM(AS14:AS29)</f>
        <v>390.79999999999995</v>
      </c>
      <c r="AT31" s="342">
        <f>SUM(AT14:AT29)</f>
        <v>18.75216</v>
      </c>
      <c r="AU31" s="340">
        <f>AT31/AS31*100</f>
        <v>4.7984032753326513</v>
      </c>
      <c r="AV31" s="342">
        <f>SUM(AV14:AV29)</f>
        <v>0</v>
      </c>
      <c r="AW31" s="342">
        <f>SUM(AW14:AW29)</f>
        <v>0</v>
      </c>
      <c r="AX31" s="340" t="e">
        <f>AW31/AV31*100</f>
        <v>#DIV/0!</v>
      </c>
      <c r="AY31" s="340">
        <f>SUM(AY14:AY29)</f>
        <v>0</v>
      </c>
      <c r="AZ31" s="340">
        <f>SUM(AZ14:AZ29)</f>
        <v>5.3297999999999996</v>
      </c>
      <c r="BA31" s="303" t="e">
        <f t="shared" si="28"/>
        <v>#DIV/0!</v>
      </c>
      <c r="BB31" s="303">
        <f>SUM(BB14:BB29)</f>
        <v>0</v>
      </c>
      <c r="BC31" s="303">
        <f>SUM(BC14:BC29)</f>
        <v>0</v>
      </c>
      <c r="BD31" s="303" t="e">
        <f>BC31/BB31*100</f>
        <v>#DIV/0!</v>
      </c>
      <c r="BE31" s="341">
        <f>SUM(BE14:BE29)</f>
        <v>0</v>
      </c>
      <c r="BF31" s="342">
        <f>SUM(BF14:BF29)</f>
        <v>21.555</v>
      </c>
      <c r="BG31" s="342" t="e">
        <f t="shared" si="29"/>
        <v>#DIV/0!</v>
      </c>
      <c r="BH31" s="342">
        <f>SUM(BH14:BH29)</f>
        <v>0</v>
      </c>
      <c r="BI31" s="342">
        <f>SUM(BI14:BI29)</f>
        <v>0</v>
      </c>
      <c r="BJ31" s="340" t="e">
        <f>BI31/BH31*100</f>
        <v>#DIV/0!</v>
      </c>
      <c r="BK31" s="340">
        <f>SUM(BK14:BK29)</f>
        <v>0</v>
      </c>
      <c r="BL31" s="340">
        <f>BL15+BL27+BL28+BL19+BL22+BL26+BL18</f>
        <v>0</v>
      </c>
      <c r="BM31" s="340" t="e">
        <f>BL31/BK31*100</f>
        <v>#DIV/0!</v>
      </c>
      <c r="BN31" s="340">
        <f>BN14+BN15+BN16+BN17+BN18+BN19+BN20+BN21+BN22+BN23+BN24+BN25+BN26+BN27+BN28+BN29</f>
        <v>0</v>
      </c>
      <c r="BO31" s="340">
        <f>BO14+BO15+BO16+BO17+BO18+BO19+BO20+BO21+BO22+BO23+BO24+BO25+BO26+BO27+BO28+BO29</f>
        <v>0.1484</v>
      </c>
      <c r="BP31" s="340" t="e">
        <f>BO31/BN31*100</f>
        <v>#DIV/0!</v>
      </c>
      <c r="BQ31" s="342">
        <f>SUM(BQ14:BQ29)</f>
        <v>0</v>
      </c>
      <c r="BR31" s="342">
        <f>SUM(BR14:BR29)</f>
        <v>-1.28335</v>
      </c>
      <c r="BS31" s="340" t="e">
        <f>BR31/BQ31*100</f>
        <v>#DIV/0!</v>
      </c>
      <c r="BT31" s="340">
        <f t="shared" ref="BT31:BY31" si="57">SUM(BT14:BT29)</f>
        <v>0</v>
      </c>
      <c r="BU31" s="340"/>
      <c r="BV31" s="340" t="e">
        <f t="shared" si="57"/>
        <v>#DIV/0!</v>
      </c>
      <c r="BW31" s="340">
        <f t="shared" si="57"/>
        <v>0</v>
      </c>
      <c r="BX31" s="340">
        <f t="shared" si="57"/>
        <v>0</v>
      </c>
      <c r="BY31" s="344" t="e">
        <f t="shared" si="57"/>
        <v>#DIV/0!</v>
      </c>
      <c r="BZ31" s="341">
        <f>SUM(BZ14:BZ29)</f>
        <v>85866.371469999998</v>
      </c>
      <c r="CA31" s="342">
        <f>SUM(CA14:CA29)</f>
        <v>4449.8207800000009</v>
      </c>
      <c r="CB31" s="342">
        <f t="shared" si="55"/>
        <v>5.1822625130429314</v>
      </c>
      <c r="CC31" s="342">
        <f>SUM(CC14:CC29)</f>
        <v>53535.399999999994</v>
      </c>
      <c r="CD31" s="342">
        <f>SUM(CD14:CD29)</f>
        <v>4461.3159999999998</v>
      </c>
      <c r="CE31" s="342">
        <f>CD31/CC31*100</f>
        <v>8.3333943521482983</v>
      </c>
      <c r="CF31" s="341">
        <f>SUM(CF14:CF29)</f>
        <v>1475</v>
      </c>
      <c r="CG31" s="470">
        <f>SUM(CG14:CG29)</f>
        <v>0</v>
      </c>
      <c r="CH31" s="470">
        <f>CG31/CF31*100</f>
        <v>0</v>
      </c>
      <c r="CI31" s="342">
        <f>SUM(CI14:CI29)</f>
        <v>21197.918470000001</v>
      </c>
      <c r="CJ31" s="342">
        <f>SUM(CJ14:CJ29)</f>
        <v>0</v>
      </c>
      <c r="CK31" s="342">
        <f>CJ31/CI31*100</f>
        <v>0</v>
      </c>
      <c r="CL31" s="342">
        <f>SUM(CL14:CL29)</f>
        <v>8287.878999999999</v>
      </c>
      <c r="CM31" s="342">
        <f>SUM(CM14:CM29)</f>
        <v>206.8</v>
      </c>
      <c r="CN31" s="342">
        <f t="shared" si="8"/>
        <v>2.4952101737971808</v>
      </c>
      <c r="CO31" s="475">
        <f>SUM(CO14:CO29)</f>
        <v>1370.174</v>
      </c>
      <c r="CP31" s="459">
        <f>SUM(CP14:CP29)</f>
        <v>0</v>
      </c>
      <c r="CQ31" s="342">
        <f>CP31/CO31*100</f>
        <v>0</v>
      </c>
      <c r="CR31" s="342">
        <f>SUM(CR14:CR29)</f>
        <v>0</v>
      </c>
      <c r="CS31" s="342">
        <f>SUM(CS14:CS29)</f>
        <v>249.5</v>
      </c>
      <c r="CT31" s="342" t="e">
        <f t="shared" si="9"/>
        <v>#DIV/0!</v>
      </c>
      <c r="CU31" s="342">
        <f>SUM(CU14:CU29)</f>
        <v>0</v>
      </c>
      <c r="CV31" s="342">
        <f>SUM(CV14:CV29)</f>
        <v>-467.79521999999997</v>
      </c>
      <c r="CW31" s="342" t="e">
        <f>CV31/CU31*100</f>
        <v>#DIV/0!</v>
      </c>
      <c r="CX31" s="342">
        <f>SUM(CX14:CX29)</f>
        <v>0</v>
      </c>
      <c r="CY31" s="342">
        <f>SUM(CY14:CY29)</f>
        <v>0</v>
      </c>
      <c r="CZ31" s="340" t="e">
        <f>CY31/CX31*100</f>
        <v>#DIV/0!</v>
      </c>
      <c r="DA31" s="340">
        <f>DA14+DA15+DA16+DA17+DA18+DA19+DA20+DA21+DA22+DA23+DA24+DA25+DA26+DA27+DA28+DA29</f>
        <v>0</v>
      </c>
      <c r="DB31" s="340">
        <f>DB14+DB15+DB16+DB17+DB18+DB19+DB20+DB21+DB22+DB23+DB24+DB25+DB26+DB27+DB28+DB29</f>
        <v>0</v>
      </c>
      <c r="DC31" s="340" t="e">
        <f>DB31/DA31*100</f>
        <v>#DIV/0!</v>
      </c>
      <c r="DD31" s="340">
        <f>DD14+DD15+DD16+DD17+DD18+DD19+DD20+DD21+DD22+DD23+DD24+DD25+DD26+DD27+DD28+DD29</f>
        <v>0</v>
      </c>
      <c r="DE31" s="340">
        <f>DE14+DE15+DE16+DE17+DE18+DE19+DE20+DE21+DE22+DE23+DE24+DE25+DE26+DE27+DE28+DE29</f>
        <v>0</v>
      </c>
      <c r="DF31" s="340">
        <v>0</v>
      </c>
      <c r="DG31" s="341">
        <f>SUM(DG14:DG29)</f>
        <v>127601.71147000002</v>
      </c>
      <c r="DH31" s="341">
        <f>SUM(DH14:DH29)</f>
        <v>891.93024000000003</v>
      </c>
      <c r="DI31" s="340">
        <f>DH31/DG31*100</f>
        <v>0.69899551481305844</v>
      </c>
      <c r="DJ31" s="341">
        <f>SUM(DJ14:DJ29)</f>
        <v>25994.281999999999</v>
      </c>
      <c r="DK31" s="466">
        <f>SUM(DK14:DK29)</f>
        <v>681.47286999999994</v>
      </c>
      <c r="DL31" s="340">
        <f>DK31/DJ31*100</f>
        <v>2.6216260560687923</v>
      </c>
      <c r="DM31" s="342">
        <f>SUM(DM14:DM29)</f>
        <v>24581.235000000004</v>
      </c>
      <c r="DN31" s="341">
        <f>SUM(DN14:DN29)</f>
        <v>541.47286999999994</v>
      </c>
      <c r="DO31" s="340">
        <f>DN31/DM31*100</f>
        <v>2.2027895262382051</v>
      </c>
      <c r="DP31" s="342">
        <f>SUM(DP14:DP29)</f>
        <v>0</v>
      </c>
      <c r="DQ31" s="342">
        <f>SUM(DQ14:DQ29)</f>
        <v>0</v>
      </c>
      <c r="DR31" s="340" t="e">
        <f>DQ31/DP31*100</f>
        <v>#DIV/0!</v>
      </c>
      <c r="DS31" s="345">
        <f>SUM(DS14:DS29)</f>
        <v>1069.9769999999999</v>
      </c>
      <c r="DT31" s="340">
        <f>SUM(DT14:DT29)</f>
        <v>0</v>
      </c>
      <c r="DU31" s="340">
        <f>DT31/DS31*100</f>
        <v>0</v>
      </c>
      <c r="DV31" s="340">
        <f>SUM(DV14:DV29)</f>
        <v>343.06999999999994</v>
      </c>
      <c r="DW31" s="340">
        <f>SUM(DW14:DW29)</f>
        <v>140</v>
      </c>
      <c r="DX31" s="303">
        <f>DW31/DV31*100</f>
        <v>40.807998367680071</v>
      </c>
      <c r="DY31" s="340">
        <f>SUM(DY14:DY29)</f>
        <v>2481.1999999999998</v>
      </c>
      <c r="DZ31" s="345">
        <f>SUM(DZ14:DZ29)</f>
        <v>50</v>
      </c>
      <c r="EA31" s="342">
        <f t="shared" si="49"/>
        <v>2.0151539577623732</v>
      </c>
      <c r="EB31" s="345">
        <f>SUM(EB14:EB29)</f>
        <v>832</v>
      </c>
      <c r="EC31" s="345">
        <f>SUM(EC14:EC29)</f>
        <v>0</v>
      </c>
      <c r="ED31" s="303">
        <f t="shared" si="50"/>
        <v>0</v>
      </c>
      <c r="EE31" s="342">
        <f>SUM(EE14:EE29)</f>
        <v>28237.824000000001</v>
      </c>
      <c r="EF31" s="341">
        <f>SUM(EF14:EF29)</f>
        <v>1.865</v>
      </c>
      <c r="EG31" s="340">
        <f>EF31/EE31*100</f>
        <v>6.6046165596895853E-3</v>
      </c>
      <c r="EH31" s="342">
        <f>SUM(EH14:EH29)</f>
        <v>40539.545470000005</v>
      </c>
      <c r="EI31" s="341">
        <f>SUM(EI14:EI29)</f>
        <v>143.39032</v>
      </c>
      <c r="EJ31" s="340">
        <f>EI31/EH31*100</f>
        <v>0.35370480437702845</v>
      </c>
      <c r="EK31" s="341">
        <f>SUM(EK14:EK29)</f>
        <v>28999.859999999997</v>
      </c>
      <c r="EL31" s="341">
        <f>SUM(EL14:EL29)</f>
        <v>15.20205</v>
      </c>
      <c r="EM31" s="340">
        <f>EL31/EK31*100</f>
        <v>5.2421115136417902E-2</v>
      </c>
      <c r="EN31" s="341">
        <f>SUM(EN14:EN29)</f>
        <v>0</v>
      </c>
      <c r="EO31" s="341">
        <f>SUM(EO14:EO29)</f>
        <v>0</v>
      </c>
      <c r="EP31" s="340" t="e">
        <f>EO31/EN31*100</f>
        <v>#DIV/0!</v>
      </c>
      <c r="EQ31" s="342">
        <f>SUM(EQ14:EQ29)</f>
        <v>517</v>
      </c>
      <c r="ER31" s="342">
        <f>SUM(ER14:ER29)</f>
        <v>0</v>
      </c>
      <c r="ES31" s="340">
        <f>ER31/EQ31*100</f>
        <v>0</v>
      </c>
      <c r="ET31" s="340">
        <f>SUM(ET14:ET29)</f>
        <v>0</v>
      </c>
      <c r="EU31" s="343">
        <f>SUM(EU14:EU29)</f>
        <v>0</v>
      </c>
      <c r="EV31" s="303" t="e">
        <f>EU31/ET31*100</f>
        <v>#DIV/0!</v>
      </c>
      <c r="EW31" s="345">
        <f>SUM(EW14:EW29)</f>
        <v>-3.637978807091713E-12</v>
      </c>
      <c r="EX31" s="340">
        <f>SUM(EX14:EX29)</f>
        <v>5461.021310000001</v>
      </c>
      <c r="EY31" s="303">
        <f>EX31/EW31*100</f>
        <v>-1.5011141074693811E+17</v>
      </c>
    </row>
    <row r="32" spans="1:170" s="169" customFormat="1" ht="27.75" customHeight="1">
      <c r="C32" s="168">
        <v>127601.71146999999</v>
      </c>
      <c r="D32" s="168">
        <v>6352.9515499999998</v>
      </c>
      <c r="E32" s="168"/>
      <c r="F32" s="168">
        <v>41735.339999999997</v>
      </c>
      <c r="G32" s="168">
        <v>1903.13077</v>
      </c>
      <c r="H32" s="168"/>
      <c r="I32" s="168">
        <v>5950.44</v>
      </c>
      <c r="J32" s="168">
        <v>360.32661000000002</v>
      </c>
      <c r="K32" s="168"/>
      <c r="L32" s="168">
        <v>3364.74</v>
      </c>
      <c r="M32" s="168">
        <v>349.82114999999999</v>
      </c>
      <c r="N32" s="168"/>
      <c r="O32" s="168">
        <v>36.06</v>
      </c>
      <c r="P32" s="168">
        <v>2.0620500000000002</v>
      </c>
      <c r="Q32" s="168"/>
      <c r="R32" s="168">
        <v>5619.9</v>
      </c>
      <c r="S32" s="168">
        <v>469.37824000000001</v>
      </c>
      <c r="T32" s="168"/>
      <c r="U32" s="168" t="e">
        <f>#REF!-U31</f>
        <v>#REF!</v>
      </c>
      <c r="V32" s="168">
        <v>-59.615900000000003</v>
      </c>
      <c r="W32" s="168"/>
      <c r="X32" s="168">
        <v>550</v>
      </c>
      <c r="Y32" s="168">
        <v>20.127880000000001</v>
      </c>
      <c r="Z32" s="168"/>
      <c r="AA32" s="168">
        <v>6050</v>
      </c>
      <c r="AB32" s="168">
        <v>54.868659999999998</v>
      </c>
      <c r="AC32" s="168"/>
      <c r="AD32" s="168">
        <v>16922</v>
      </c>
      <c r="AE32" s="168">
        <v>462.64346999999998</v>
      </c>
      <c r="AF32" s="168"/>
      <c r="AG32" s="168">
        <v>118</v>
      </c>
      <c r="AH32" s="168">
        <v>3.4</v>
      </c>
      <c r="AI32" s="168"/>
      <c r="AJ32" s="168" t="e">
        <f>#REF!-AJ31</f>
        <v>#REF!</v>
      </c>
      <c r="AK32" s="168" t="e">
        <f>#REF!-AK31</f>
        <v>#REF!</v>
      </c>
      <c r="AL32" s="168"/>
      <c r="AM32" s="168" t="e">
        <f>#REF!-AM31</f>
        <v>#REF!</v>
      </c>
      <c r="AN32" s="168" t="e">
        <f>#REF!-AN31</f>
        <v>#REF!</v>
      </c>
      <c r="AO32" s="168"/>
      <c r="AP32" s="168">
        <v>2733.4</v>
      </c>
      <c r="AQ32" s="168">
        <v>195.61660000000001</v>
      </c>
      <c r="AR32" s="168"/>
      <c r="AS32" s="168">
        <v>390.8</v>
      </c>
      <c r="AT32" s="168">
        <v>18.75216</v>
      </c>
      <c r="AU32" s="168"/>
      <c r="AV32" s="168" t="e">
        <f>#REF!-AV31</f>
        <v>#REF!</v>
      </c>
      <c r="AW32" s="168" t="e">
        <f>#REF!-AW31</f>
        <v>#REF!</v>
      </c>
      <c r="AX32" s="168" t="e">
        <f>#REF!-AX31</f>
        <v>#REF!</v>
      </c>
      <c r="AY32" s="168">
        <v>0</v>
      </c>
      <c r="AZ32" s="168">
        <v>5.3297999999999996</v>
      </c>
      <c r="BA32" s="168"/>
      <c r="BB32" s="168" t="e">
        <f>#REF!-BB31</f>
        <v>#REF!</v>
      </c>
      <c r="BC32" s="168" t="e">
        <f>#REF!-BC31</f>
        <v>#REF!</v>
      </c>
      <c r="BD32" s="168" t="e">
        <f>#REF!-BD31</f>
        <v>#REF!</v>
      </c>
      <c r="BE32" s="168">
        <v>0</v>
      </c>
      <c r="BF32" s="168">
        <v>21.555</v>
      </c>
      <c r="BG32" s="168"/>
      <c r="BH32" s="168" t="e">
        <f>#REF!-BH31</f>
        <v>#REF!</v>
      </c>
      <c r="BI32" s="168" t="e">
        <f>#REF!-BI31</f>
        <v>#REF!</v>
      </c>
      <c r="BJ32" s="168" t="e">
        <f>#REF!-BJ31</f>
        <v>#REF!</v>
      </c>
      <c r="BK32" s="168" t="e">
        <f>#REF!-BK31</f>
        <v>#REF!</v>
      </c>
      <c r="BL32" s="168" t="e">
        <f>#REF!-BL31</f>
        <v>#REF!</v>
      </c>
      <c r="BM32" s="168" t="e">
        <f>#REF!-BM31</f>
        <v>#REF!</v>
      </c>
      <c r="BN32" s="168">
        <v>0</v>
      </c>
      <c r="BO32" s="168">
        <v>0.1484</v>
      </c>
      <c r="BP32" s="168"/>
      <c r="BQ32" s="168" t="e">
        <f>#REF!-BQ31</f>
        <v>#REF!</v>
      </c>
      <c r="BR32" s="168">
        <v>-1.28335</v>
      </c>
      <c r="BS32" s="168"/>
      <c r="BT32" s="168" t="e">
        <f>#REF!-BT31</f>
        <v>#REF!</v>
      </c>
      <c r="BU32" s="168" t="e">
        <f>#REF!-BU31</f>
        <v>#REF!</v>
      </c>
      <c r="BV32" s="168" t="e">
        <f>#REF!-BV31</f>
        <v>#REF!</v>
      </c>
      <c r="BW32" s="168" t="e">
        <f>#REF!-BW31</f>
        <v>#REF!</v>
      </c>
      <c r="BX32" s="168" t="e">
        <f>#REF!-BX31</f>
        <v>#REF!</v>
      </c>
      <c r="BY32" s="168" t="e">
        <f>#REF!-BY31</f>
        <v>#REF!</v>
      </c>
      <c r="BZ32" s="168">
        <v>85866.371469999998</v>
      </c>
      <c r="CA32" s="168">
        <v>4449.82078</v>
      </c>
      <c r="CB32" s="168"/>
      <c r="CC32" s="168">
        <v>53535.4</v>
      </c>
      <c r="CD32" s="168">
        <v>4461.3159999999998</v>
      </c>
      <c r="CE32" s="168"/>
      <c r="CF32" s="168">
        <v>1475</v>
      </c>
      <c r="CG32" s="168">
        <v>0</v>
      </c>
      <c r="CH32" s="168"/>
      <c r="CI32" s="168">
        <v>21197.918470000001</v>
      </c>
      <c r="CJ32" s="168">
        <v>0</v>
      </c>
      <c r="CK32" s="168"/>
      <c r="CL32" s="168">
        <v>8287.8790000000008</v>
      </c>
      <c r="CM32" s="168">
        <v>206.8</v>
      </c>
      <c r="CN32" s="168"/>
      <c r="CO32" s="168">
        <v>1370.174</v>
      </c>
      <c r="CP32" s="168">
        <v>0</v>
      </c>
      <c r="CQ32" s="168"/>
      <c r="CR32" s="168">
        <v>0</v>
      </c>
      <c r="CS32" s="168">
        <v>249.5</v>
      </c>
      <c r="CT32" s="168"/>
      <c r="CU32" s="168" t="e">
        <f>#REF!-CU31</f>
        <v>#REF!</v>
      </c>
      <c r="CV32" s="168">
        <v>-467.79521999999997</v>
      </c>
      <c r="CW32" s="168"/>
      <c r="CX32" s="168" t="e">
        <f>#REF!-CX31</f>
        <v>#REF!</v>
      </c>
      <c r="CY32" s="168" t="e">
        <f>#REF!-CY31</f>
        <v>#REF!</v>
      </c>
      <c r="CZ32" s="168" t="e">
        <f>#REF!-CZ31</f>
        <v>#REF!</v>
      </c>
      <c r="DA32" s="168" t="e">
        <f>#REF!-DA31</f>
        <v>#REF!</v>
      </c>
      <c r="DB32" s="168" t="e">
        <f>#REF!-DB31</f>
        <v>#REF!</v>
      </c>
      <c r="DC32" s="168" t="e">
        <f>#REF!-DC31</f>
        <v>#REF!</v>
      </c>
      <c r="DD32" s="168" t="e">
        <f>#REF!-DD31</f>
        <v>#REF!</v>
      </c>
      <c r="DE32" s="168" t="e">
        <f>#REF!-DE31</f>
        <v>#REF!</v>
      </c>
      <c r="DF32" s="168"/>
      <c r="DG32" s="168">
        <v>127601.71146999999</v>
      </c>
      <c r="DH32" s="168">
        <v>891.93024000000003</v>
      </c>
      <c r="DI32" s="168"/>
      <c r="DJ32" s="168">
        <v>25994.281999999999</v>
      </c>
      <c r="DK32" s="168">
        <v>681.47286999999994</v>
      </c>
      <c r="DL32" s="168"/>
      <c r="DM32" s="168">
        <v>24581.235000000001</v>
      </c>
      <c r="DN32" s="168">
        <v>541.47286999999994</v>
      </c>
      <c r="DO32" s="168"/>
      <c r="DP32" s="168"/>
      <c r="DQ32" s="168">
        <v>0</v>
      </c>
      <c r="DR32" s="168"/>
      <c r="DS32" s="168">
        <v>1069.9770000000001</v>
      </c>
      <c r="DT32" s="168" t="e">
        <f>#REF!-DT31</f>
        <v>#REF!</v>
      </c>
      <c r="DU32" s="168"/>
      <c r="DV32" s="168">
        <v>343.07</v>
      </c>
      <c r="DW32" s="168">
        <v>140</v>
      </c>
      <c r="DX32" s="168"/>
      <c r="DY32" s="168">
        <v>2481.1999999999998</v>
      </c>
      <c r="DZ32" s="168">
        <v>50</v>
      </c>
      <c r="EA32" s="168"/>
      <c r="EB32" s="168">
        <v>832</v>
      </c>
      <c r="EC32" s="168">
        <v>0</v>
      </c>
      <c r="ED32" s="168"/>
      <c r="EE32" s="168">
        <v>28237.824000000001</v>
      </c>
      <c r="EF32" s="168">
        <v>1.865</v>
      </c>
      <c r="EG32" s="168"/>
      <c r="EH32" s="168">
        <v>40539.545469999997</v>
      </c>
      <c r="EI32" s="168">
        <v>143.39032</v>
      </c>
      <c r="EJ32" s="168"/>
      <c r="EK32" s="168">
        <v>28999.86</v>
      </c>
      <c r="EL32" s="168">
        <v>15.20205</v>
      </c>
      <c r="EM32" s="168"/>
      <c r="EN32" s="168">
        <v>0</v>
      </c>
      <c r="EO32" s="168">
        <v>0</v>
      </c>
      <c r="EP32" s="168"/>
      <c r="EQ32" s="168">
        <v>517</v>
      </c>
      <c r="ER32" s="168">
        <v>0</v>
      </c>
      <c r="ES32" s="168"/>
      <c r="ET32" s="168" t="e">
        <f>#REF!-ET31</f>
        <v>#REF!</v>
      </c>
      <c r="EU32" s="168" t="e">
        <f>#REF!-EU31</f>
        <v>#REF!</v>
      </c>
      <c r="EV32" s="168"/>
      <c r="EW32" s="168">
        <v>0</v>
      </c>
      <c r="EX32" s="168">
        <v>5461.0213100000001</v>
      </c>
    </row>
    <row r="33" spans="3:155">
      <c r="C33" s="168">
        <f>C32-C31</f>
        <v>0</v>
      </c>
      <c r="D33" s="168">
        <f>D32-D31</f>
        <v>0</v>
      </c>
      <c r="E33" s="168"/>
      <c r="F33" s="168">
        <f>F32-F31</f>
        <v>0</v>
      </c>
      <c r="G33" s="168">
        <f>G32-G31</f>
        <v>0</v>
      </c>
      <c r="H33" s="168"/>
      <c r="I33" s="168">
        <f>I32-I31</f>
        <v>0</v>
      </c>
      <c r="J33" s="168">
        <f>J32-J31</f>
        <v>0</v>
      </c>
      <c r="K33" s="168"/>
      <c r="L33" s="168">
        <f>L32-L31</f>
        <v>0</v>
      </c>
      <c r="M33" s="168">
        <f>M32-M31</f>
        <v>0</v>
      </c>
      <c r="N33" s="168"/>
      <c r="O33" s="168">
        <f>O32-O31</f>
        <v>0</v>
      </c>
      <c r="P33" s="168">
        <f>P32-P31</f>
        <v>0</v>
      </c>
      <c r="Q33" s="168"/>
      <c r="R33" s="168">
        <f>R32-R31</f>
        <v>0</v>
      </c>
      <c r="S33" s="168">
        <f>S32-S31</f>
        <v>0</v>
      </c>
      <c r="T33" s="168"/>
      <c r="U33" s="168" t="e">
        <f>U32-U31</f>
        <v>#REF!</v>
      </c>
      <c r="V33" s="168">
        <f>V32-V31</f>
        <v>0</v>
      </c>
      <c r="W33" s="168"/>
      <c r="X33" s="168">
        <f>X32-X31</f>
        <v>0</v>
      </c>
      <c r="Y33" s="168">
        <f>Y32-Y31</f>
        <v>0</v>
      </c>
      <c r="Z33" s="168"/>
      <c r="AA33" s="168">
        <f>AA32-AA31</f>
        <v>0</v>
      </c>
      <c r="AB33" s="168">
        <f>AB32-AB31</f>
        <v>0</v>
      </c>
      <c r="AC33" s="168"/>
      <c r="AD33" s="168">
        <f>AD32-AD31</f>
        <v>0</v>
      </c>
      <c r="AE33" s="168">
        <f>AE32-AE31</f>
        <v>0</v>
      </c>
      <c r="AF33" s="168"/>
      <c r="AG33" s="168">
        <f>AG32-AG31</f>
        <v>0</v>
      </c>
      <c r="AH33" s="168">
        <f>AH32-AH31</f>
        <v>0</v>
      </c>
      <c r="AI33" s="168"/>
      <c r="AJ33" s="168" t="e">
        <f t="shared" ref="AJ33:AQ33" si="58">AJ32-AJ31</f>
        <v>#REF!</v>
      </c>
      <c r="AK33" s="168" t="e">
        <f t="shared" si="58"/>
        <v>#REF!</v>
      </c>
      <c r="AL33" s="168" t="e">
        <f t="shared" si="58"/>
        <v>#DIV/0!</v>
      </c>
      <c r="AM33" s="168" t="e">
        <f t="shared" si="58"/>
        <v>#REF!</v>
      </c>
      <c r="AN33" s="168" t="e">
        <f t="shared" si="58"/>
        <v>#REF!</v>
      </c>
      <c r="AO33" s="168" t="e">
        <f t="shared" si="58"/>
        <v>#DIV/0!</v>
      </c>
      <c r="AP33" s="168">
        <f t="shared" si="58"/>
        <v>0</v>
      </c>
      <c r="AQ33" s="168">
        <f t="shared" si="58"/>
        <v>0</v>
      </c>
      <c r="AR33" s="168"/>
      <c r="AS33" s="168">
        <f>AS32-AS31</f>
        <v>0</v>
      </c>
      <c r="AT33" s="168">
        <f>AT32-AT31</f>
        <v>0</v>
      </c>
      <c r="AU33" s="168"/>
      <c r="AV33" s="168" t="e">
        <f>AV32-AV31</f>
        <v>#REF!</v>
      </c>
      <c r="AW33" s="168" t="e">
        <f>AW32-AW31</f>
        <v>#REF!</v>
      </c>
      <c r="AX33" s="168" t="e">
        <f>AX32-AX31</f>
        <v>#REF!</v>
      </c>
      <c r="AY33" s="168">
        <f>AY32-AY31</f>
        <v>0</v>
      </c>
      <c r="AZ33" s="168">
        <f>AZ32-AZ31</f>
        <v>0</v>
      </c>
      <c r="BA33" s="168"/>
      <c r="BB33" s="168" t="e">
        <f>BB32-BB31</f>
        <v>#REF!</v>
      </c>
      <c r="BC33" s="168" t="e">
        <f>BC32-BC31</f>
        <v>#REF!</v>
      </c>
      <c r="BD33" s="168" t="e">
        <f>BD32-BD31</f>
        <v>#REF!</v>
      </c>
      <c r="BE33" s="168">
        <f>BE32-BE31</f>
        <v>0</v>
      </c>
      <c r="BF33" s="168">
        <f>BF32-BF31</f>
        <v>0</v>
      </c>
      <c r="BG33" s="168"/>
      <c r="BH33" s="168" t="e">
        <f t="shared" ref="BH33:BO33" si="59">BH32-BH31</f>
        <v>#REF!</v>
      </c>
      <c r="BI33" s="168" t="e">
        <f t="shared" si="59"/>
        <v>#REF!</v>
      </c>
      <c r="BJ33" s="168" t="e">
        <f t="shared" si="59"/>
        <v>#REF!</v>
      </c>
      <c r="BK33" s="168" t="e">
        <f t="shared" si="59"/>
        <v>#REF!</v>
      </c>
      <c r="BL33" s="168" t="e">
        <f t="shared" si="59"/>
        <v>#REF!</v>
      </c>
      <c r="BM33" s="168" t="e">
        <f t="shared" si="59"/>
        <v>#REF!</v>
      </c>
      <c r="BN33" s="168">
        <f t="shared" si="59"/>
        <v>0</v>
      </c>
      <c r="BO33" s="168">
        <f t="shared" si="59"/>
        <v>0</v>
      </c>
      <c r="BP33" s="168"/>
      <c r="BQ33" s="168" t="e">
        <f>BQ32-BQ31</f>
        <v>#REF!</v>
      </c>
      <c r="BR33" s="168">
        <f>BR32-BR31</f>
        <v>0</v>
      </c>
      <c r="BS33" s="168"/>
      <c r="BT33" s="168" t="e">
        <f t="shared" ref="BT33:CA33" si="60">BT32-BT31</f>
        <v>#REF!</v>
      </c>
      <c r="BU33" s="168" t="e">
        <f t="shared" si="60"/>
        <v>#REF!</v>
      </c>
      <c r="BV33" s="168" t="e">
        <f t="shared" si="60"/>
        <v>#REF!</v>
      </c>
      <c r="BW33" s="168" t="e">
        <f t="shared" si="60"/>
        <v>#REF!</v>
      </c>
      <c r="BX33" s="168" t="e">
        <f t="shared" si="60"/>
        <v>#REF!</v>
      </c>
      <c r="BY33" s="168" t="e">
        <f t="shared" si="60"/>
        <v>#REF!</v>
      </c>
      <c r="BZ33" s="168">
        <f t="shared" si="60"/>
        <v>0</v>
      </c>
      <c r="CA33" s="168">
        <f t="shared" si="60"/>
        <v>0</v>
      </c>
      <c r="CB33" s="168"/>
      <c r="CC33" s="168">
        <f>CC32-CC31</f>
        <v>0</v>
      </c>
      <c r="CD33" s="168">
        <f>CD32-CD31</f>
        <v>0</v>
      </c>
      <c r="CE33" s="168"/>
      <c r="CF33" s="168">
        <f>CF32-CF31</f>
        <v>0</v>
      </c>
      <c r="CG33" s="168">
        <f>CG32-CG31</f>
        <v>0</v>
      </c>
      <c r="CH33" s="168"/>
      <c r="CI33" s="168">
        <f>CI32-CI31</f>
        <v>0</v>
      </c>
      <c r="CJ33" s="168">
        <f>CJ32-CJ31</f>
        <v>0</v>
      </c>
      <c r="CK33" s="168"/>
      <c r="CL33" s="168">
        <f>CL32-CL31</f>
        <v>0</v>
      </c>
      <c r="CM33" s="168">
        <f>CM32-CM31</f>
        <v>0</v>
      </c>
      <c r="CN33" s="168"/>
      <c r="CO33" s="168">
        <f>CO32-CO31</f>
        <v>0</v>
      </c>
      <c r="CP33" s="168">
        <f>CP32-CP31</f>
        <v>0</v>
      </c>
      <c r="CQ33" s="168"/>
      <c r="CR33" s="168">
        <f>CR32-CR31</f>
        <v>0</v>
      </c>
      <c r="CS33" s="168">
        <f>CS32-CS31</f>
        <v>0</v>
      </c>
      <c r="CT33" s="168"/>
      <c r="CU33" s="168" t="e">
        <f>CU32-CU31</f>
        <v>#REF!</v>
      </c>
      <c r="CV33" s="168">
        <f>CV32-CV31</f>
        <v>0</v>
      </c>
      <c r="CW33" s="168"/>
      <c r="CX33" s="168" t="e">
        <f t="shared" ref="CX33:DH33" si="61">CX32-CX31</f>
        <v>#REF!</v>
      </c>
      <c r="CY33" s="168" t="e">
        <f t="shared" si="61"/>
        <v>#REF!</v>
      </c>
      <c r="CZ33" s="168" t="e">
        <f t="shared" si="61"/>
        <v>#REF!</v>
      </c>
      <c r="DA33" s="168" t="e">
        <f t="shared" si="61"/>
        <v>#REF!</v>
      </c>
      <c r="DB33" s="168" t="e">
        <f t="shared" si="61"/>
        <v>#REF!</v>
      </c>
      <c r="DC33" s="168" t="e">
        <f t="shared" si="61"/>
        <v>#REF!</v>
      </c>
      <c r="DD33" s="168" t="e">
        <f t="shared" si="61"/>
        <v>#REF!</v>
      </c>
      <c r="DE33" s="168" t="e">
        <f t="shared" si="61"/>
        <v>#REF!</v>
      </c>
      <c r="DF33" s="168">
        <f t="shared" si="61"/>
        <v>0</v>
      </c>
      <c r="DG33" s="168">
        <f t="shared" si="61"/>
        <v>0</v>
      </c>
      <c r="DH33" s="168">
        <f t="shared" si="61"/>
        <v>0</v>
      </c>
      <c r="DI33" s="168"/>
      <c r="DJ33" s="168">
        <f>DJ32-DJ31</f>
        <v>0</v>
      </c>
      <c r="DK33" s="168">
        <f>DK32-DK31</f>
        <v>0</v>
      </c>
      <c r="DL33" s="168"/>
      <c r="DM33" s="168">
        <f>DM32-DM31</f>
        <v>0</v>
      </c>
      <c r="DN33" s="168">
        <f>DN32-DN31</f>
        <v>0</v>
      </c>
      <c r="DO33" s="168"/>
      <c r="DP33" s="168">
        <f>DP32-DP31</f>
        <v>0</v>
      </c>
      <c r="DQ33" s="168">
        <f>DQ32-DQ31</f>
        <v>0</v>
      </c>
      <c r="DR33" s="168"/>
      <c r="DS33" s="168">
        <f>DS32-DS31</f>
        <v>0</v>
      </c>
      <c r="DT33" s="168" t="e">
        <f>DT32-DT31</f>
        <v>#REF!</v>
      </c>
      <c r="DU33" s="168"/>
      <c r="DV33" s="168">
        <f>DV32-DV31</f>
        <v>0</v>
      </c>
      <c r="DW33" s="168">
        <f>DW32-DW31</f>
        <v>0</v>
      </c>
      <c r="DX33" s="168"/>
      <c r="DY33" s="168">
        <f>DY32-DY31</f>
        <v>0</v>
      </c>
      <c r="DZ33" s="168">
        <f>DZ32-DZ31</f>
        <v>0</v>
      </c>
      <c r="EA33" s="168"/>
      <c r="EB33" s="168">
        <f>EB32-EB31</f>
        <v>0</v>
      </c>
      <c r="EC33" s="168">
        <f>EC32-EC31</f>
        <v>0</v>
      </c>
      <c r="ED33" s="168"/>
      <c r="EE33" s="168">
        <f>EE32-EE31</f>
        <v>0</v>
      </c>
      <c r="EF33" s="168">
        <f>EF32-EF31</f>
        <v>0</v>
      </c>
      <c r="EG33" s="168"/>
      <c r="EH33" s="168">
        <f>EH32-EH31</f>
        <v>0</v>
      </c>
      <c r="EI33" s="168">
        <f>EI32-EI31</f>
        <v>0</v>
      </c>
      <c r="EJ33" s="168"/>
      <c r="EK33" s="168">
        <f>EK32-EK31</f>
        <v>0</v>
      </c>
      <c r="EL33" s="168">
        <f>EL32-EL31</f>
        <v>0</v>
      </c>
      <c r="EM33" s="168"/>
      <c r="EN33" s="168">
        <f>EN32-EN31</f>
        <v>0</v>
      </c>
      <c r="EO33" s="168">
        <f>EO32-EO31</f>
        <v>0</v>
      </c>
      <c r="EP33" s="168"/>
      <c r="EQ33" s="168">
        <f>EQ32-EQ31</f>
        <v>0</v>
      </c>
      <c r="ER33" s="168">
        <f>ER32-ER31</f>
        <v>0</v>
      </c>
      <c r="ES33" s="168"/>
      <c r="ET33" s="168" t="e">
        <f>ET32-ET31</f>
        <v>#REF!</v>
      </c>
      <c r="EU33" s="168" t="e">
        <f>EU32-EU31</f>
        <v>#REF!</v>
      </c>
      <c r="EV33" s="168"/>
      <c r="EW33" s="168">
        <f>EW32-EW31</f>
        <v>3.637978807091713E-12</v>
      </c>
      <c r="EX33" s="168">
        <f>EX32-EX31</f>
        <v>0</v>
      </c>
      <c r="EY33" s="170"/>
    </row>
  </sheetData>
  <customSheetViews>
    <customSheetView guid="{61528DAC-5C4C-48F4-ADE2-8A724B05A086}" scale="70" showPageBreaks="1" fitToPage="1" printArea="1" hiddenColumns="1" view="pageBreakPreview" topLeftCell="D1">
      <selection activeCell="BZ15" sqref="BZ15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8000000000000003" bottom="0.32" header="0.31496062992125984" footer="0.31496062992125984"/>
  <pageSetup paperSize="9" scale="68" fitToWidth="11" orientation="landscape" r:id="rId10"/>
  <colBreaks count="6" manualBreakCount="6">
    <brk id="17" max="29" man="1"/>
    <brk id="35" max="30" man="1"/>
    <brk id="59" max="29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zoomScale="60" workbookViewId="0">
      <selection activeCell="D133" sqref="D133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8" t="s">
        <v>400</v>
      </c>
      <c r="B1" s="438"/>
      <c r="C1" s="438"/>
      <c r="D1" s="438"/>
      <c r="E1" s="438"/>
      <c r="F1" s="438"/>
    </row>
    <row r="2" spans="1:6" ht="20.25">
      <c r="A2" s="438" t="s">
        <v>417</v>
      </c>
      <c r="B2" s="438"/>
      <c r="C2" s="438"/>
      <c r="D2" s="438"/>
      <c r="E2" s="438"/>
      <c r="F2" s="438"/>
    </row>
    <row r="3" spans="1:6" ht="101.25">
      <c r="A3" s="362" t="s">
        <v>0</v>
      </c>
      <c r="B3" s="362" t="s">
        <v>1</v>
      </c>
      <c r="C3" s="363" t="s">
        <v>418</v>
      </c>
      <c r="D3" s="364" t="s">
        <v>419</v>
      </c>
      <c r="E3" s="363" t="s">
        <v>2</v>
      </c>
      <c r="F3" s="365" t="s">
        <v>3</v>
      </c>
    </row>
    <row r="4" spans="1:6" s="6" customFormat="1" ht="20.25">
      <c r="A4" s="366"/>
      <c r="B4" s="367" t="s">
        <v>4</v>
      </c>
      <c r="C4" s="368">
        <f>C5+C12+C17+C22+C24+C28+C7</f>
        <v>148717</v>
      </c>
      <c r="D4" s="368">
        <f>D5+D12+D17+D22+D24+D28+D7</f>
        <v>9805.8143799999998</v>
      </c>
      <c r="E4" s="368">
        <f>SUM(D4/C4*100)</f>
        <v>6.5936069043888725</v>
      </c>
      <c r="F4" s="368">
        <f>SUM(D4-C4)</f>
        <v>-138911.18562</v>
      </c>
    </row>
    <row r="5" spans="1:6" s="6" customFormat="1" ht="20.25">
      <c r="A5" s="366">
        <v>1010000</v>
      </c>
      <c r="B5" s="367" t="s">
        <v>5</v>
      </c>
      <c r="C5" s="368">
        <f>C6</f>
        <v>124321</v>
      </c>
      <c r="D5" s="368">
        <f>D6</f>
        <v>7546.4537799999998</v>
      </c>
      <c r="E5" s="368">
        <f t="shared" ref="E5:E71" si="0">SUM(D5/C5*100)</f>
        <v>6.0701360027670308</v>
      </c>
      <c r="F5" s="368">
        <f t="shared" ref="F5:F71" si="1">SUM(D5-C5)</f>
        <v>-116774.54622</v>
      </c>
    </row>
    <row r="6" spans="1:6" ht="20.25">
      <c r="A6" s="369">
        <v>1010200001</v>
      </c>
      <c r="B6" s="370" t="s">
        <v>225</v>
      </c>
      <c r="C6" s="371">
        <v>124321</v>
      </c>
      <c r="D6" s="372">
        <v>7546.4537799999998</v>
      </c>
      <c r="E6" s="371">
        <f t="shared" si="0"/>
        <v>6.0701360027670308</v>
      </c>
      <c r="F6" s="371">
        <f t="shared" si="1"/>
        <v>-116774.54622</v>
      </c>
    </row>
    <row r="7" spans="1:6" ht="40.5">
      <c r="A7" s="366">
        <v>1030000</v>
      </c>
      <c r="B7" s="373" t="s">
        <v>267</v>
      </c>
      <c r="C7" s="368">
        <f>C8+C10+C9</f>
        <v>5168.1000000000004</v>
      </c>
      <c r="D7" s="368">
        <f>D8+D10+D9+D11</f>
        <v>436.35942000000006</v>
      </c>
      <c r="E7" s="371">
        <f t="shared" si="0"/>
        <v>8.4433238520926466</v>
      </c>
      <c r="F7" s="371">
        <f t="shared" si="1"/>
        <v>-4731.7405800000006</v>
      </c>
    </row>
    <row r="8" spans="1:6" ht="20.25">
      <c r="A8" s="369">
        <v>1030223001</v>
      </c>
      <c r="B8" s="370" t="s">
        <v>269</v>
      </c>
      <c r="C8" s="371">
        <v>1757.2</v>
      </c>
      <c r="D8" s="372">
        <v>200.41847000000001</v>
      </c>
      <c r="E8" s="371">
        <f t="shared" si="0"/>
        <v>11.405558274527658</v>
      </c>
      <c r="F8" s="371">
        <f>SUM(D8-C8)</f>
        <v>-1556.78153</v>
      </c>
    </row>
    <row r="9" spans="1:6" ht="20.25">
      <c r="A9" s="369">
        <v>1030224001</v>
      </c>
      <c r="B9" s="370" t="s">
        <v>275</v>
      </c>
      <c r="C9" s="371">
        <v>21.5</v>
      </c>
      <c r="D9" s="372">
        <v>1.1813899999999999</v>
      </c>
      <c r="E9" s="371">
        <f t="shared" si="0"/>
        <v>5.4948372093023252</v>
      </c>
      <c r="F9" s="371">
        <f>SUM(D9-C9)</f>
        <v>-20.31861</v>
      </c>
    </row>
    <row r="10" spans="1:6" ht="20.25">
      <c r="A10" s="369">
        <v>1030225001</v>
      </c>
      <c r="B10" s="370" t="s">
        <v>268</v>
      </c>
      <c r="C10" s="371">
        <v>3389.4</v>
      </c>
      <c r="D10" s="372">
        <v>268.91462000000001</v>
      </c>
      <c r="E10" s="371">
        <f t="shared" si="0"/>
        <v>7.9339889065911366</v>
      </c>
      <c r="F10" s="371">
        <f t="shared" si="1"/>
        <v>-3120.4853800000001</v>
      </c>
    </row>
    <row r="11" spans="1:6" ht="20.25">
      <c r="A11" s="369">
        <v>1030226001</v>
      </c>
      <c r="B11" s="370" t="s">
        <v>277</v>
      </c>
      <c r="C11" s="371">
        <v>0</v>
      </c>
      <c r="D11" s="372">
        <v>-34.155059999999999</v>
      </c>
      <c r="E11" s="371" t="e">
        <f t="shared" si="0"/>
        <v>#DIV/0!</v>
      </c>
      <c r="F11" s="371">
        <f t="shared" si="1"/>
        <v>-34.155059999999999</v>
      </c>
    </row>
    <row r="12" spans="1:6" s="6" customFormat="1" ht="20.25">
      <c r="A12" s="366">
        <v>1050000</v>
      </c>
      <c r="B12" s="367" t="s">
        <v>6</v>
      </c>
      <c r="C12" s="368">
        <f>SUM(C13:C16)</f>
        <v>11927.9</v>
      </c>
      <c r="D12" s="368">
        <f>SUM(D13:D16)</f>
        <v>1642.8653000000002</v>
      </c>
      <c r="E12" s="368">
        <f t="shared" si="0"/>
        <v>13.773298736575592</v>
      </c>
      <c r="F12" s="368">
        <f t="shared" si="1"/>
        <v>-10285.0347</v>
      </c>
    </row>
    <row r="13" spans="1:6" s="6" customFormat="1" ht="20.25">
      <c r="A13" s="369">
        <v>1050100000</v>
      </c>
      <c r="B13" s="374" t="s">
        <v>413</v>
      </c>
      <c r="C13" s="371">
        <v>9793.9</v>
      </c>
      <c r="D13" s="371">
        <v>236.71242000000001</v>
      </c>
      <c r="E13" s="371">
        <f t="shared" si="0"/>
        <v>2.4169372772848408</v>
      </c>
      <c r="F13" s="371">
        <f t="shared" si="1"/>
        <v>-9557.1875799999998</v>
      </c>
    </row>
    <row r="14" spans="1:6" ht="20.25">
      <c r="A14" s="369">
        <v>1050200000</v>
      </c>
      <c r="B14" s="374" t="s">
        <v>233</v>
      </c>
      <c r="C14" s="375">
        <v>650.70000000000005</v>
      </c>
      <c r="D14" s="372">
        <v>1320.65984</v>
      </c>
      <c r="E14" s="371">
        <f t="shared" si="0"/>
        <v>202.95986476102658</v>
      </c>
      <c r="F14" s="371">
        <f t="shared" si="1"/>
        <v>669.95983999999999</v>
      </c>
    </row>
    <row r="15" spans="1:6" ht="23.25" customHeight="1">
      <c r="A15" s="369">
        <v>1050300000</v>
      </c>
      <c r="B15" s="374" t="s">
        <v>226</v>
      </c>
      <c r="C15" s="375">
        <v>1283.3</v>
      </c>
      <c r="D15" s="372">
        <v>46.965040000000002</v>
      </c>
      <c r="E15" s="371">
        <f t="shared" si="0"/>
        <v>3.6597085638588016</v>
      </c>
      <c r="F15" s="371">
        <f t="shared" si="1"/>
        <v>-1236.3349599999999</v>
      </c>
    </row>
    <row r="16" spans="1:6" ht="40.5">
      <c r="A16" s="369">
        <v>1050400002</v>
      </c>
      <c r="B16" s="370" t="s">
        <v>254</v>
      </c>
      <c r="C16" s="375">
        <v>200</v>
      </c>
      <c r="D16" s="372">
        <v>38.527999999999999</v>
      </c>
      <c r="E16" s="371">
        <f t="shared" si="0"/>
        <v>19.263999999999999</v>
      </c>
      <c r="F16" s="371">
        <f t="shared" si="1"/>
        <v>-161.47200000000001</v>
      </c>
    </row>
    <row r="17" spans="1:6" s="6" customFormat="1" ht="24" customHeight="1">
      <c r="A17" s="366">
        <v>1060000</v>
      </c>
      <c r="B17" s="367" t="s">
        <v>133</v>
      </c>
      <c r="C17" s="368">
        <f>SUM(C18:C21)</f>
        <v>2400</v>
      </c>
      <c r="D17" s="368">
        <f>SUM(D18:D21)</f>
        <v>62.655839999999998</v>
      </c>
      <c r="E17" s="368">
        <f t="shared" si="0"/>
        <v>2.6106600000000002</v>
      </c>
      <c r="F17" s="368">
        <f t="shared" si="1"/>
        <v>-2337.3441600000001</v>
      </c>
    </row>
    <row r="18" spans="1:6" s="6" customFormat="1" ht="18" customHeight="1">
      <c r="A18" s="369">
        <v>1060100000</v>
      </c>
      <c r="B18" s="374" t="s">
        <v>8</v>
      </c>
      <c r="C18" s="371"/>
      <c r="D18" s="372"/>
      <c r="E18" s="368" t="e">
        <f t="shared" si="0"/>
        <v>#DIV/0!</v>
      </c>
      <c r="F18" s="368">
        <f t="shared" si="1"/>
        <v>0</v>
      </c>
    </row>
    <row r="19" spans="1:6" s="6" customFormat="1" ht="2.25" customHeight="1">
      <c r="A19" s="369">
        <v>1060200000</v>
      </c>
      <c r="B19" s="374" t="s">
        <v>120</v>
      </c>
      <c r="C19" s="371"/>
      <c r="D19" s="372"/>
      <c r="E19" s="368" t="e">
        <f t="shared" si="0"/>
        <v>#DIV/0!</v>
      </c>
      <c r="F19" s="368">
        <f t="shared" si="1"/>
        <v>0</v>
      </c>
    </row>
    <row r="20" spans="1:6" s="6" customFormat="1" ht="21.75" customHeight="1">
      <c r="A20" s="369">
        <v>1060400000</v>
      </c>
      <c r="B20" s="374" t="s">
        <v>266</v>
      </c>
      <c r="C20" s="371">
        <v>2400</v>
      </c>
      <c r="D20" s="372">
        <v>62.655839999999998</v>
      </c>
      <c r="E20" s="371">
        <f t="shared" si="0"/>
        <v>2.6106600000000002</v>
      </c>
      <c r="F20" s="371">
        <f t="shared" si="1"/>
        <v>-2337.3441600000001</v>
      </c>
    </row>
    <row r="21" spans="1:6" ht="31.5" customHeight="1">
      <c r="A21" s="369">
        <v>1060600000</v>
      </c>
      <c r="B21" s="374" t="s">
        <v>7</v>
      </c>
      <c r="C21" s="371"/>
      <c r="D21" s="372"/>
      <c r="E21" s="371" t="e">
        <f t="shared" si="0"/>
        <v>#DIV/0!</v>
      </c>
      <c r="F21" s="371">
        <f t="shared" si="1"/>
        <v>0</v>
      </c>
    </row>
    <row r="22" spans="1:6" s="6" customFormat="1" ht="42" customHeight="1">
      <c r="A22" s="366">
        <v>1070000</v>
      </c>
      <c r="B22" s="373" t="s">
        <v>9</v>
      </c>
      <c r="C22" s="368">
        <f>SUM(C23)</f>
        <v>1900</v>
      </c>
      <c r="D22" s="368">
        <f>SUM(D23)</f>
        <v>15.34722</v>
      </c>
      <c r="E22" s="368">
        <f t="shared" si="0"/>
        <v>0.80774842105263167</v>
      </c>
      <c r="F22" s="368">
        <f t="shared" si="1"/>
        <v>-1884.6527799999999</v>
      </c>
    </row>
    <row r="23" spans="1:6" ht="41.25" customHeight="1">
      <c r="A23" s="369">
        <v>1070102001</v>
      </c>
      <c r="B23" s="370" t="s">
        <v>234</v>
      </c>
      <c r="C23" s="371">
        <v>1900</v>
      </c>
      <c r="D23" s="372">
        <v>15.34722</v>
      </c>
      <c r="E23" s="371">
        <f t="shared" si="0"/>
        <v>0.80774842105263167</v>
      </c>
      <c r="F23" s="371">
        <f t="shared" si="1"/>
        <v>-1884.6527799999999</v>
      </c>
    </row>
    <row r="24" spans="1:6" s="6" customFormat="1" ht="20.25">
      <c r="A24" s="366">
        <v>1080000</v>
      </c>
      <c r="B24" s="367" t="s">
        <v>10</v>
      </c>
      <c r="C24" s="368">
        <f>C25+C26+C27</f>
        <v>3000</v>
      </c>
      <c r="D24" s="368">
        <f>D25+D26+D27</f>
        <v>102.13282</v>
      </c>
      <c r="E24" s="368">
        <f t="shared" si="0"/>
        <v>3.4044273333333335</v>
      </c>
      <c r="F24" s="368">
        <f t="shared" si="1"/>
        <v>-2897.8671800000002</v>
      </c>
    </row>
    <row r="25" spans="1:6" ht="36.75" customHeight="1">
      <c r="A25" s="369">
        <v>1080300001</v>
      </c>
      <c r="B25" s="370" t="s">
        <v>235</v>
      </c>
      <c r="C25" s="371">
        <v>2190</v>
      </c>
      <c r="D25" s="443">
        <v>102.13282</v>
      </c>
      <c r="E25" s="371">
        <f t="shared" si="0"/>
        <v>4.6635990867579906</v>
      </c>
      <c r="F25" s="371">
        <f t="shared" si="1"/>
        <v>-2087.8671800000002</v>
      </c>
    </row>
    <row r="26" spans="1:6" ht="33.75" customHeight="1">
      <c r="A26" s="369">
        <v>1080600001</v>
      </c>
      <c r="B26" s="370" t="s">
        <v>224</v>
      </c>
      <c r="C26" s="371">
        <v>0</v>
      </c>
      <c r="D26" s="372">
        <v>0</v>
      </c>
      <c r="E26" s="371" t="e">
        <f>SUM(D26/C26*100)</f>
        <v>#DIV/0!</v>
      </c>
      <c r="F26" s="371">
        <f t="shared" si="1"/>
        <v>0</v>
      </c>
    </row>
    <row r="27" spans="1:6" ht="87.75" customHeight="1">
      <c r="A27" s="369">
        <v>1080700001</v>
      </c>
      <c r="B27" s="370" t="s">
        <v>223</v>
      </c>
      <c r="C27" s="371">
        <v>810</v>
      </c>
      <c r="D27" s="372"/>
      <c r="E27" s="371">
        <f t="shared" si="0"/>
        <v>0</v>
      </c>
      <c r="F27" s="371">
        <f t="shared" si="1"/>
        <v>-810</v>
      </c>
    </row>
    <row r="28" spans="1:6" s="15" customFormat="1" ht="40.5">
      <c r="A28" s="366">
        <v>109000000</v>
      </c>
      <c r="B28" s="373" t="s">
        <v>227</v>
      </c>
      <c r="C28" s="368">
        <f>C29+C30+C31+C32</f>
        <v>0</v>
      </c>
      <c r="D28" s="368">
        <f>D29+D30+D31+D32</f>
        <v>0</v>
      </c>
      <c r="E28" s="371" t="e">
        <f t="shared" si="0"/>
        <v>#DIV/0!</v>
      </c>
      <c r="F28" s="368">
        <f t="shared" si="1"/>
        <v>0</v>
      </c>
    </row>
    <row r="29" spans="1:6" s="15" customFormat="1" ht="17.25" customHeight="1">
      <c r="A29" s="369">
        <v>1090100000</v>
      </c>
      <c r="B29" s="370" t="s">
        <v>122</v>
      </c>
      <c r="C29" s="371">
        <v>0</v>
      </c>
      <c r="D29" s="372">
        <v>0</v>
      </c>
      <c r="E29" s="371" t="e">
        <f t="shared" si="0"/>
        <v>#DIV/0!</v>
      </c>
      <c r="F29" s="371">
        <f t="shared" si="1"/>
        <v>0</v>
      </c>
    </row>
    <row r="30" spans="1:6" s="15" customFormat="1" ht="17.25" customHeight="1">
      <c r="A30" s="369">
        <v>1090400000</v>
      </c>
      <c r="B30" s="370" t="s">
        <v>123</v>
      </c>
      <c r="C30" s="371">
        <v>0</v>
      </c>
      <c r="D30" s="372">
        <v>0</v>
      </c>
      <c r="E30" s="371" t="e">
        <f t="shared" si="0"/>
        <v>#DIV/0!</v>
      </c>
      <c r="F30" s="371">
        <f t="shared" si="1"/>
        <v>0</v>
      </c>
    </row>
    <row r="31" spans="1:6" s="15" customFormat="1" ht="33.75" customHeight="1">
      <c r="A31" s="369">
        <v>1090600000</v>
      </c>
      <c r="B31" s="370" t="s">
        <v>124</v>
      </c>
      <c r="C31" s="371">
        <v>0</v>
      </c>
      <c r="D31" s="372">
        <v>0</v>
      </c>
      <c r="E31" s="371" t="e">
        <f t="shared" si="0"/>
        <v>#DIV/0!</v>
      </c>
      <c r="F31" s="371">
        <f t="shared" si="1"/>
        <v>0</v>
      </c>
    </row>
    <row r="32" spans="1:6" s="15" customFormat="1" ht="1.5" customHeight="1">
      <c r="A32" s="369">
        <v>1090700000</v>
      </c>
      <c r="B32" s="370" t="s">
        <v>125</v>
      </c>
      <c r="C32" s="371">
        <v>0</v>
      </c>
      <c r="D32" s="372">
        <v>0</v>
      </c>
      <c r="E32" s="371" t="e">
        <f t="shared" si="0"/>
        <v>#DIV/0!</v>
      </c>
      <c r="F32" s="371">
        <f t="shared" si="1"/>
        <v>0</v>
      </c>
    </row>
    <row r="33" spans="1:6" s="6" customFormat="1" ht="33.75" customHeight="1">
      <c r="A33" s="366"/>
      <c r="B33" s="367" t="s">
        <v>12</v>
      </c>
      <c r="C33" s="368">
        <f>C34+C43+C45+C48+C51+C53+C58</f>
        <v>15126</v>
      </c>
      <c r="D33" s="368">
        <f>D34+D43+D45+D48+D51+D53+D58</f>
        <v>2325.1031700000003</v>
      </c>
      <c r="E33" s="368">
        <f t="shared" si="0"/>
        <v>15.371566640222136</v>
      </c>
      <c r="F33" s="368">
        <f t="shared" si="1"/>
        <v>-12800.89683</v>
      </c>
    </row>
    <row r="34" spans="1:6" s="6" customFormat="1" ht="60.75" customHeight="1">
      <c r="A34" s="366">
        <v>1110000</v>
      </c>
      <c r="B34" s="373" t="s">
        <v>126</v>
      </c>
      <c r="C34" s="368">
        <f>SUM(C35:C42)</f>
        <v>9596</v>
      </c>
      <c r="D34" s="368">
        <f>SUM(D35+D37+D38+D40+D41+D42)</f>
        <v>380.12164000000001</v>
      </c>
      <c r="E34" s="368">
        <f t="shared" si="0"/>
        <v>3.9612509378907883</v>
      </c>
      <c r="F34" s="368">
        <f t="shared" si="1"/>
        <v>-9215.8783600000006</v>
      </c>
    </row>
    <row r="35" spans="1:6" s="6" customFormat="1" ht="34.5" customHeight="1">
      <c r="A35" s="369">
        <v>1110105005</v>
      </c>
      <c r="B35" s="370" t="s">
        <v>306</v>
      </c>
      <c r="C35" s="371">
        <v>20</v>
      </c>
      <c r="D35" s="371">
        <v>0</v>
      </c>
      <c r="E35" s="371">
        <f t="shared" si="0"/>
        <v>0</v>
      </c>
      <c r="F35" s="371">
        <f t="shared" si="1"/>
        <v>-20</v>
      </c>
    </row>
    <row r="36" spans="1:6" ht="27.75" customHeight="1">
      <c r="A36" s="369">
        <v>1110305005</v>
      </c>
      <c r="B36" s="374" t="s">
        <v>236</v>
      </c>
      <c r="C36" s="371">
        <v>0</v>
      </c>
      <c r="D36" s="372">
        <v>0</v>
      </c>
      <c r="E36" s="371" t="e">
        <f t="shared" si="0"/>
        <v>#DIV/0!</v>
      </c>
      <c r="F36" s="371">
        <f t="shared" si="1"/>
        <v>0</v>
      </c>
    </row>
    <row r="37" spans="1:6" ht="20.25">
      <c r="A37" s="376">
        <v>1110501101</v>
      </c>
      <c r="B37" s="377" t="s">
        <v>222</v>
      </c>
      <c r="C37" s="375">
        <v>8800</v>
      </c>
      <c r="D37" s="372">
        <v>355.41689000000002</v>
      </c>
      <c r="E37" s="371">
        <f t="shared" si="0"/>
        <v>4.0388282954545458</v>
      </c>
      <c r="F37" s="371">
        <f t="shared" si="1"/>
        <v>-8444.5831099999996</v>
      </c>
    </row>
    <row r="38" spans="1:6" ht="18.75" customHeight="1">
      <c r="A38" s="369">
        <v>1110503505</v>
      </c>
      <c r="B38" s="374" t="s">
        <v>221</v>
      </c>
      <c r="C38" s="375">
        <v>246</v>
      </c>
      <c r="D38" s="372">
        <v>14.514659999999999</v>
      </c>
      <c r="E38" s="371">
        <f t="shared" si="0"/>
        <v>5.9002682926829264</v>
      </c>
      <c r="F38" s="371">
        <f t="shared" si="1"/>
        <v>-231.48534000000001</v>
      </c>
    </row>
    <row r="39" spans="1:6" ht="131.25" hidden="1" customHeight="1">
      <c r="A39" s="369">
        <v>1110502000</v>
      </c>
      <c r="B39" s="370" t="s">
        <v>263</v>
      </c>
      <c r="C39" s="378">
        <v>0</v>
      </c>
      <c r="D39" s="372">
        <v>0</v>
      </c>
      <c r="E39" s="371" t="e">
        <f t="shared" si="0"/>
        <v>#DIV/0!</v>
      </c>
      <c r="F39" s="371">
        <f t="shared" si="1"/>
        <v>0</v>
      </c>
    </row>
    <row r="40" spans="1:6" s="15" customFormat="1" ht="20.25">
      <c r="A40" s="369">
        <v>1110701505</v>
      </c>
      <c r="B40" s="374" t="s">
        <v>237</v>
      </c>
      <c r="C40" s="375">
        <v>10</v>
      </c>
      <c r="D40" s="372">
        <v>0</v>
      </c>
      <c r="E40" s="371">
        <f t="shared" si="0"/>
        <v>0</v>
      </c>
      <c r="F40" s="371">
        <f t="shared" si="1"/>
        <v>-10</v>
      </c>
    </row>
    <row r="41" spans="1:6" s="15" customFormat="1" ht="20.25">
      <c r="A41" s="369">
        <v>1110903000</v>
      </c>
      <c r="B41" s="374" t="s">
        <v>392</v>
      </c>
      <c r="C41" s="375">
        <v>0</v>
      </c>
      <c r="D41" s="372">
        <v>0</v>
      </c>
      <c r="E41" s="371" t="e">
        <f>SUM(D41/C41*100)</f>
        <v>#DIV/0!</v>
      </c>
      <c r="F41" s="371">
        <f>SUM(D41-C41)</f>
        <v>0</v>
      </c>
    </row>
    <row r="42" spans="1:6" s="15" customFormat="1" ht="20.25">
      <c r="A42" s="369">
        <v>1110904505</v>
      </c>
      <c r="B42" s="374" t="s">
        <v>318</v>
      </c>
      <c r="C42" s="375">
        <v>520</v>
      </c>
      <c r="D42" s="372">
        <v>10.19009</v>
      </c>
      <c r="E42" s="371">
        <f t="shared" si="0"/>
        <v>1.9596326923076921</v>
      </c>
      <c r="F42" s="371">
        <f t="shared" si="1"/>
        <v>-509.80991</v>
      </c>
    </row>
    <row r="43" spans="1:6" s="15" customFormat="1" ht="40.5">
      <c r="A43" s="366">
        <v>1120000</v>
      </c>
      <c r="B43" s="373" t="s">
        <v>127</v>
      </c>
      <c r="C43" s="379">
        <f>C44</f>
        <v>530</v>
      </c>
      <c r="D43" s="379">
        <f>D44</f>
        <v>1.84E-2</v>
      </c>
      <c r="E43" s="368">
        <f t="shared" si="0"/>
        <v>3.4716981132075471E-3</v>
      </c>
      <c r="F43" s="368">
        <f t="shared" si="1"/>
        <v>-529.98159999999996</v>
      </c>
    </row>
    <row r="44" spans="1:6" s="15" customFormat="1" ht="40.5">
      <c r="A44" s="369">
        <v>1120100001</v>
      </c>
      <c r="B44" s="370" t="s">
        <v>238</v>
      </c>
      <c r="C44" s="371">
        <v>530</v>
      </c>
      <c r="D44" s="372">
        <v>1.84E-2</v>
      </c>
      <c r="E44" s="371">
        <f t="shared" si="0"/>
        <v>3.4716981132075471E-3</v>
      </c>
      <c r="F44" s="371">
        <f t="shared" si="1"/>
        <v>-529.98159999999996</v>
      </c>
    </row>
    <row r="45" spans="1:6" s="187" customFormat="1" ht="21.75" customHeight="1">
      <c r="A45" s="380">
        <v>1130000</v>
      </c>
      <c r="B45" s="381" t="s">
        <v>128</v>
      </c>
      <c r="C45" s="368">
        <f>C46+C47</f>
        <v>100</v>
      </c>
      <c r="D45" s="368">
        <f>D46+D47</f>
        <v>0</v>
      </c>
      <c r="E45" s="368">
        <f t="shared" si="0"/>
        <v>0</v>
      </c>
      <c r="F45" s="368">
        <f t="shared" si="1"/>
        <v>-100</v>
      </c>
    </row>
    <row r="46" spans="1:6" s="15" customFormat="1" ht="36" customHeight="1">
      <c r="A46" s="369">
        <v>1130200000</v>
      </c>
      <c r="B46" s="370" t="s">
        <v>316</v>
      </c>
      <c r="C46" s="371">
        <v>100</v>
      </c>
      <c r="D46" s="371">
        <v>0</v>
      </c>
      <c r="E46" s="371">
        <f>SUM(D46/C46*100)</f>
        <v>0</v>
      </c>
      <c r="F46" s="371">
        <f>SUM(D46-C46)</f>
        <v>-100</v>
      </c>
    </row>
    <row r="47" spans="1:6" ht="25.5" customHeight="1">
      <c r="A47" s="369">
        <v>1130305005</v>
      </c>
      <c r="B47" s="370" t="s">
        <v>220</v>
      </c>
      <c r="C47" s="371">
        <v>0</v>
      </c>
      <c r="D47" s="372">
        <v>0</v>
      </c>
      <c r="E47" s="371"/>
      <c r="F47" s="371">
        <f t="shared" si="1"/>
        <v>0</v>
      </c>
    </row>
    <row r="48" spans="1:6" ht="20.25" customHeight="1">
      <c r="A48" s="382">
        <v>1140000</v>
      </c>
      <c r="B48" s="383" t="s">
        <v>129</v>
      </c>
      <c r="C48" s="368">
        <f>C49+C50</f>
        <v>2600</v>
      </c>
      <c r="D48" s="368">
        <f>D49+D50</f>
        <v>1857.0632900000001</v>
      </c>
      <c r="E48" s="368">
        <f t="shared" si="0"/>
        <v>71.425511153846159</v>
      </c>
      <c r="F48" s="368">
        <f t="shared" si="1"/>
        <v>-742.93670999999995</v>
      </c>
    </row>
    <row r="49" spans="1:8" ht="20.25">
      <c r="A49" s="376">
        <v>1140200000</v>
      </c>
      <c r="B49" s="384" t="s">
        <v>218</v>
      </c>
      <c r="C49" s="371">
        <v>600</v>
      </c>
      <c r="D49" s="372">
        <v>649.62864000000002</v>
      </c>
      <c r="E49" s="371">
        <f t="shared" si="0"/>
        <v>108.27144</v>
      </c>
      <c r="F49" s="371">
        <f t="shared" si="1"/>
        <v>49.628640000000019</v>
      </c>
    </row>
    <row r="50" spans="1:8" ht="24" customHeight="1">
      <c r="A50" s="369">
        <v>1140600000</v>
      </c>
      <c r="B50" s="370" t="s">
        <v>219</v>
      </c>
      <c r="C50" s="371">
        <v>2000</v>
      </c>
      <c r="D50" s="372">
        <v>1207.4346499999999</v>
      </c>
      <c r="E50" s="371">
        <f t="shared" si="0"/>
        <v>60.3717325</v>
      </c>
      <c r="F50" s="371">
        <f t="shared" si="1"/>
        <v>-792.56535000000008</v>
      </c>
    </row>
    <row r="51" spans="1:8" ht="0.75" customHeight="1">
      <c r="A51" s="366">
        <v>1150000000</v>
      </c>
      <c r="B51" s="373" t="s">
        <v>231</v>
      </c>
      <c r="C51" s="368">
        <f>C52</f>
        <v>0</v>
      </c>
      <c r="D51" s="368">
        <f>D52</f>
        <v>0</v>
      </c>
      <c r="E51" s="368" t="e">
        <f t="shared" si="0"/>
        <v>#DIV/0!</v>
      </c>
      <c r="F51" s="368">
        <f t="shared" si="1"/>
        <v>0</v>
      </c>
    </row>
    <row r="52" spans="1:8" ht="61.5" customHeight="1">
      <c r="A52" s="369">
        <v>1150205005</v>
      </c>
      <c r="B52" s="370" t="s">
        <v>232</v>
      </c>
      <c r="C52" s="371">
        <v>0</v>
      </c>
      <c r="D52" s="372">
        <v>0</v>
      </c>
      <c r="E52" s="371" t="e">
        <f t="shared" si="0"/>
        <v>#DIV/0!</v>
      </c>
      <c r="F52" s="371">
        <f t="shared" si="1"/>
        <v>0</v>
      </c>
    </row>
    <row r="53" spans="1:8" ht="40.5">
      <c r="A53" s="366">
        <v>1160000</v>
      </c>
      <c r="B53" s="373" t="s">
        <v>131</v>
      </c>
      <c r="C53" s="368">
        <f>SUM(C54:C57)</f>
        <v>2300</v>
      </c>
      <c r="D53" s="368">
        <f>SUM(D54:D57)</f>
        <v>87.899839999999998</v>
      </c>
      <c r="E53" s="368">
        <f>SUM(D53/C53*100)</f>
        <v>3.8217321739130434</v>
      </c>
      <c r="F53" s="368">
        <f t="shared" si="1"/>
        <v>-2212.10016</v>
      </c>
      <c r="H53" s="151"/>
    </row>
    <row r="54" spans="1:8" ht="36.75" customHeight="1">
      <c r="A54" s="369">
        <v>1160100001</v>
      </c>
      <c r="B54" s="370" t="s">
        <v>415</v>
      </c>
      <c r="C54" s="371">
        <v>867</v>
      </c>
      <c r="D54" s="385">
        <v>45.8825</v>
      </c>
      <c r="E54" s="371">
        <f>SUM(D54/C54*100)</f>
        <v>5.2920991926182239</v>
      </c>
      <c r="F54" s="371">
        <f t="shared" si="1"/>
        <v>-821.11749999999995</v>
      </c>
    </row>
    <row r="55" spans="1:8" ht="39.75" customHeight="1">
      <c r="A55" s="369">
        <v>1160709000</v>
      </c>
      <c r="B55" s="370" t="s">
        <v>414</v>
      </c>
      <c r="C55" s="371">
        <v>336</v>
      </c>
      <c r="D55" s="386">
        <v>2.0235400000000001</v>
      </c>
      <c r="E55" s="371">
        <f t="shared" si="0"/>
        <v>0.6022440476190476</v>
      </c>
      <c r="F55" s="371">
        <f t="shared" si="1"/>
        <v>-333.97645999999997</v>
      </c>
    </row>
    <row r="56" spans="1:8" ht="41.25" customHeight="1">
      <c r="A56" s="369">
        <v>1161012000</v>
      </c>
      <c r="B56" s="370" t="s">
        <v>416</v>
      </c>
      <c r="C56" s="387">
        <v>1060</v>
      </c>
      <c r="D56" s="386">
        <v>-1.5562</v>
      </c>
      <c r="E56" s="371">
        <f t="shared" si="0"/>
        <v>-0.14681132075471698</v>
      </c>
      <c r="F56" s="371">
        <f t="shared" si="1"/>
        <v>-1061.5562</v>
      </c>
    </row>
    <row r="57" spans="1:8" ht="41.25" customHeight="1">
      <c r="A57" s="369">
        <v>1161100001</v>
      </c>
      <c r="B57" s="370" t="s">
        <v>436</v>
      </c>
      <c r="C57" s="387">
        <v>37</v>
      </c>
      <c r="D57" s="386">
        <v>41.55</v>
      </c>
      <c r="E57" s="371">
        <f t="shared" si="0"/>
        <v>112.29729729729729</v>
      </c>
      <c r="F57" s="371">
        <f t="shared" si="1"/>
        <v>4.5499999999999972</v>
      </c>
    </row>
    <row r="58" spans="1:8" ht="25.5" customHeight="1">
      <c r="A58" s="366">
        <v>1170000</v>
      </c>
      <c r="B58" s="373" t="s">
        <v>132</v>
      </c>
      <c r="C58" s="368">
        <f>C59+C60</f>
        <v>0</v>
      </c>
      <c r="D58" s="368">
        <f>D59+D60</f>
        <v>0</v>
      </c>
      <c r="E58" s="371" t="e">
        <f t="shared" si="0"/>
        <v>#DIV/0!</v>
      </c>
      <c r="F58" s="368">
        <f t="shared" si="1"/>
        <v>0</v>
      </c>
    </row>
    <row r="59" spans="1:8" ht="20.25">
      <c r="A59" s="369">
        <v>1170105005</v>
      </c>
      <c r="B59" s="370" t="s">
        <v>15</v>
      </c>
      <c r="C59" s="371">
        <v>0</v>
      </c>
      <c r="D59" s="371">
        <v>0</v>
      </c>
      <c r="E59" s="371" t="e">
        <f t="shared" si="0"/>
        <v>#DIV/0!</v>
      </c>
      <c r="F59" s="371">
        <f t="shared" si="1"/>
        <v>0</v>
      </c>
    </row>
    <row r="60" spans="1:8" ht="20.25">
      <c r="A60" s="369">
        <v>1170505005</v>
      </c>
      <c r="B60" s="374" t="s">
        <v>217</v>
      </c>
      <c r="C60" s="371">
        <v>0</v>
      </c>
      <c r="D60" s="372">
        <v>0</v>
      </c>
      <c r="E60" s="371" t="e">
        <f t="shared" si="0"/>
        <v>#DIV/0!</v>
      </c>
      <c r="F60" s="371">
        <f t="shared" si="1"/>
        <v>0</v>
      </c>
    </row>
    <row r="61" spans="1:8" s="6" customFormat="1" ht="20.25">
      <c r="A61" s="366">
        <v>100000</v>
      </c>
      <c r="B61" s="367" t="s">
        <v>16</v>
      </c>
      <c r="C61" s="478">
        <f>SUM(C4,C33)</f>
        <v>163843</v>
      </c>
      <c r="D61" s="478">
        <f>SUM(D4,D33)</f>
        <v>12130.91755</v>
      </c>
      <c r="E61" s="368">
        <f>SUM(D61/C61*100)</f>
        <v>7.4039889101151708</v>
      </c>
      <c r="F61" s="368">
        <f>SUM(D61-C61)</f>
        <v>-151712.08244999999</v>
      </c>
      <c r="G61" s="94"/>
      <c r="H61" s="94"/>
    </row>
    <row r="62" spans="1:8" s="6" customFormat="1" ht="30" customHeight="1">
      <c r="A62" s="366">
        <v>200000</v>
      </c>
      <c r="B62" s="367" t="s">
        <v>17</v>
      </c>
      <c r="C62" s="368">
        <f>C63+C66+C67+C68+C70+C65+C69</f>
        <v>705371.53417999996</v>
      </c>
      <c r="D62" s="368">
        <f>D63+D66+D67+D68+D70+D65+D69</f>
        <v>-88.19662000000244</v>
      </c>
      <c r="E62" s="368">
        <f t="shared" si="0"/>
        <v>-1.2503569498665936E-2</v>
      </c>
      <c r="F62" s="368">
        <f t="shared" si="1"/>
        <v>-705459.73080000002</v>
      </c>
      <c r="G62" s="94"/>
      <c r="H62" s="94"/>
    </row>
    <row r="63" spans="1:8" ht="21.75" customHeight="1">
      <c r="A63" s="376">
        <v>2021000000</v>
      </c>
      <c r="B63" s="377" t="s">
        <v>18</v>
      </c>
      <c r="C63" s="375">
        <v>10026.799999999999</v>
      </c>
      <c r="D63" s="388">
        <v>835.6</v>
      </c>
      <c r="E63" s="371">
        <f t="shared" si="0"/>
        <v>8.3336657757210677</v>
      </c>
      <c r="F63" s="371">
        <f t="shared" si="1"/>
        <v>-9191.1999999999989</v>
      </c>
    </row>
    <row r="64" spans="1:8" ht="0.75" customHeight="1">
      <c r="A64" s="376">
        <v>2020100905</v>
      </c>
      <c r="B64" s="384" t="s">
        <v>262</v>
      </c>
      <c r="C64" s="375">
        <v>0</v>
      </c>
      <c r="D64" s="388" t="s">
        <v>401</v>
      </c>
      <c r="E64" s="371" t="e">
        <f t="shared" si="0"/>
        <v>#VALUE!</v>
      </c>
      <c r="F64" s="371" t="e">
        <f t="shared" si="1"/>
        <v>#VALUE!</v>
      </c>
    </row>
    <row r="65" spans="1:8" ht="21.75" customHeight="1">
      <c r="A65" s="376">
        <v>2021500200</v>
      </c>
      <c r="B65" s="377" t="s">
        <v>228</v>
      </c>
      <c r="C65" s="375"/>
      <c r="D65" s="388"/>
      <c r="E65" s="371" t="e">
        <f t="shared" si="0"/>
        <v>#DIV/0!</v>
      </c>
      <c r="F65" s="371">
        <f t="shared" si="1"/>
        <v>0</v>
      </c>
    </row>
    <row r="66" spans="1:8" ht="20.25">
      <c r="A66" s="376">
        <v>2022000000</v>
      </c>
      <c r="B66" s="377" t="s">
        <v>19</v>
      </c>
      <c r="C66" s="375">
        <v>236042.63518000001</v>
      </c>
      <c r="D66" s="372">
        <v>0</v>
      </c>
      <c r="E66" s="371">
        <f t="shared" si="0"/>
        <v>0</v>
      </c>
      <c r="F66" s="371">
        <f t="shared" si="1"/>
        <v>-236042.63518000001</v>
      </c>
    </row>
    <row r="67" spans="1:8" ht="20.25">
      <c r="A67" s="376">
        <v>2023000000</v>
      </c>
      <c r="B67" s="377" t="s">
        <v>20</v>
      </c>
      <c r="C67" s="375">
        <v>405408.09899999999</v>
      </c>
      <c r="D67" s="389">
        <v>18143.8</v>
      </c>
      <c r="E67" s="371">
        <f t="shared" si="0"/>
        <v>4.4754409309420335</v>
      </c>
      <c r="F67" s="371">
        <f t="shared" si="1"/>
        <v>-387264.299</v>
      </c>
    </row>
    <row r="68" spans="1:8" ht="19.5" customHeight="1">
      <c r="A68" s="376">
        <v>2024000000</v>
      </c>
      <c r="B68" s="384" t="s">
        <v>21</v>
      </c>
      <c r="C68" s="375">
        <v>53894</v>
      </c>
      <c r="D68" s="390"/>
      <c r="E68" s="371">
        <f t="shared" si="0"/>
        <v>0</v>
      </c>
      <c r="F68" s="371">
        <f t="shared" si="1"/>
        <v>-53894</v>
      </c>
    </row>
    <row r="69" spans="1:8" ht="20.25">
      <c r="A69" s="376">
        <v>2180500005</v>
      </c>
      <c r="B69" s="384" t="s">
        <v>311</v>
      </c>
      <c r="C69" s="375">
        <v>0</v>
      </c>
      <c r="D69" s="390">
        <v>467.79521999999997</v>
      </c>
      <c r="E69" s="371" t="e">
        <f t="shared" si="0"/>
        <v>#DIV/0!</v>
      </c>
      <c r="F69" s="371">
        <f t="shared" si="1"/>
        <v>467.79521999999997</v>
      </c>
    </row>
    <row r="70" spans="1:8" ht="18" customHeight="1">
      <c r="A70" s="369">
        <v>2196001005</v>
      </c>
      <c r="B70" s="374" t="s">
        <v>23</v>
      </c>
      <c r="C70" s="372">
        <v>0</v>
      </c>
      <c r="D70" s="372">
        <v>-19535.39184</v>
      </c>
      <c r="E70" s="371" t="e">
        <f t="shared" si="0"/>
        <v>#DIV/0!</v>
      </c>
      <c r="F70" s="371">
        <f>SUM(D70-C70)</f>
        <v>-19535.39184</v>
      </c>
    </row>
    <row r="71" spans="1:8" s="6" customFormat="1" ht="22.5" customHeight="1">
      <c r="A71" s="366">
        <v>3000000000</v>
      </c>
      <c r="B71" s="373" t="s">
        <v>24</v>
      </c>
      <c r="C71" s="379">
        <v>0</v>
      </c>
      <c r="D71" s="391">
        <v>0</v>
      </c>
      <c r="E71" s="371" t="e">
        <f t="shared" si="0"/>
        <v>#DIV/0!</v>
      </c>
      <c r="F71" s="368">
        <f t="shared" si="1"/>
        <v>0</v>
      </c>
    </row>
    <row r="72" spans="1:8" s="6" customFormat="1" ht="22.5" customHeight="1">
      <c r="A72" s="366"/>
      <c r="B72" s="367" t="s">
        <v>25</v>
      </c>
      <c r="C72" s="481">
        <f>C61+C62</f>
        <v>869214.53417999996</v>
      </c>
      <c r="D72" s="481">
        <f>D61+D62</f>
        <v>12042.720929999998</v>
      </c>
      <c r="E72" s="371">
        <f>SUM(D72/C72*100)</f>
        <v>1.3854716478436324</v>
      </c>
      <c r="F72" s="368">
        <f>SUM(D73-C72)</f>
        <v>-881125.62105999992</v>
      </c>
      <c r="G72" s="213">
        <f>C72-798026.07441</f>
        <v>71188.459769999958</v>
      </c>
      <c r="H72" s="94">
        <f>D72-379713.41199</f>
        <v>-367670.69105999998</v>
      </c>
    </row>
    <row r="73" spans="1:8" s="6" customFormat="1" ht="20.25">
      <c r="A73" s="366"/>
      <c r="B73" s="392" t="s">
        <v>307</v>
      </c>
      <c r="C73" s="393">
        <f>C72-C134</f>
        <v>0</v>
      </c>
      <c r="D73" s="368">
        <f>D72-D134</f>
        <v>-11911.086880000001</v>
      </c>
      <c r="E73" s="394"/>
      <c r="F73" s="394"/>
      <c r="G73" s="94"/>
      <c r="H73" s="94"/>
    </row>
    <row r="74" spans="1:8" ht="20.25">
      <c r="A74" s="395"/>
      <c r="B74" s="396"/>
      <c r="C74" s="397"/>
      <c r="D74" s="397"/>
      <c r="E74" s="398"/>
      <c r="F74" s="398"/>
    </row>
    <row r="75" spans="1:8" ht="101.25">
      <c r="A75" s="399" t="s">
        <v>0</v>
      </c>
      <c r="B75" s="399" t="s">
        <v>26</v>
      </c>
      <c r="C75" s="363" t="s">
        <v>418</v>
      </c>
      <c r="D75" s="364" t="s">
        <v>420</v>
      </c>
      <c r="E75" s="363" t="s">
        <v>2</v>
      </c>
      <c r="F75" s="365" t="s">
        <v>3</v>
      </c>
    </row>
    <row r="76" spans="1:8" ht="20.25">
      <c r="A76" s="400">
        <v>1</v>
      </c>
      <c r="B76" s="399">
        <v>2</v>
      </c>
      <c r="C76" s="401">
        <v>3</v>
      </c>
      <c r="D76" s="402">
        <v>4</v>
      </c>
      <c r="E76" s="401">
        <v>5</v>
      </c>
      <c r="F76" s="401">
        <v>6</v>
      </c>
    </row>
    <row r="77" spans="1:8" s="6" customFormat="1" ht="22.5" customHeight="1">
      <c r="A77" s="403" t="s">
        <v>27</v>
      </c>
      <c r="B77" s="404" t="s">
        <v>28</v>
      </c>
      <c r="C77" s="394">
        <f>SUM(C78+C79+C80+C81+C82+C83+C84)</f>
        <v>48468.446349999998</v>
      </c>
      <c r="D77" s="394">
        <f>SUM(D78:D84)</f>
        <v>1222.7886599999999</v>
      </c>
      <c r="E77" s="405">
        <f>SUM(D77/C77*100)</f>
        <v>2.5228550780646177</v>
      </c>
      <c r="F77" s="405">
        <f>SUM(D77-C77)</f>
        <v>-47245.65769</v>
      </c>
    </row>
    <row r="78" spans="1:8" s="6" customFormat="1" ht="40.5">
      <c r="A78" s="406" t="s">
        <v>29</v>
      </c>
      <c r="B78" s="407" t="s">
        <v>30</v>
      </c>
      <c r="C78" s="408">
        <v>50</v>
      </c>
      <c r="D78" s="408">
        <v>0</v>
      </c>
      <c r="E78" s="405">
        <f>SUM(D78/C78*100)</f>
        <v>0</v>
      </c>
      <c r="F78" s="405">
        <f>SUM(D78-C78)</f>
        <v>-50</v>
      </c>
    </row>
    <row r="79" spans="1:8" ht="21.75" customHeight="1">
      <c r="A79" s="406" t="s">
        <v>31</v>
      </c>
      <c r="B79" s="409" t="s">
        <v>32</v>
      </c>
      <c r="C79" s="408">
        <v>24382.97</v>
      </c>
      <c r="D79" s="408">
        <v>636.32637999999997</v>
      </c>
      <c r="E79" s="410">
        <f t="shared" ref="E79:E134" si="2">SUM(D79/C79*100)</f>
        <v>2.609716453737998</v>
      </c>
      <c r="F79" s="410">
        <f t="shared" ref="F79:F134" si="3">SUM(D79-C79)</f>
        <v>-23746.643620000003</v>
      </c>
    </row>
    <row r="80" spans="1:8" ht="19.5" customHeight="1">
      <c r="A80" s="406" t="s">
        <v>33</v>
      </c>
      <c r="B80" s="409" t="s">
        <v>34</v>
      </c>
      <c r="C80" s="408">
        <v>10</v>
      </c>
      <c r="D80" s="408">
        <v>0</v>
      </c>
      <c r="E80" s="410">
        <f t="shared" si="2"/>
        <v>0</v>
      </c>
      <c r="F80" s="410">
        <f t="shared" si="3"/>
        <v>-10</v>
      </c>
    </row>
    <row r="81" spans="1:7" ht="38.25" customHeight="1">
      <c r="A81" s="406" t="s">
        <v>35</v>
      </c>
      <c r="B81" s="409" t="s">
        <v>36</v>
      </c>
      <c r="C81" s="411">
        <v>5277.2730000000001</v>
      </c>
      <c r="D81" s="411">
        <v>506.31592999999998</v>
      </c>
      <c r="E81" s="410">
        <f t="shared" si="2"/>
        <v>9.5942720795380492</v>
      </c>
      <c r="F81" s="410">
        <f t="shared" si="3"/>
        <v>-4770.9570700000004</v>
      </c>
    </row>
    <row r="82" spans="1:7" ht="18.75" customHeight="1">
      <c r="A82" s="406" t="s">
        <v>37</v>
      </c>
      <c r="B82" s="409" t="s">
        <v>38</v>
      </c>
      <c r="C82" s="408"/>
      <c r="D82" s="408">
        <v>0</v>
      </c>
      <c r="E82" s="410" t="e">
        <f t="shared" si="2"/>
        <v>#DIV/0!</v>
      </c>
      <c r="F82" s="410">
        <f t="shared" si="3"/>
        <v>0</v>
      </c>
    </row>
    <row r="83" spans="1:7" ht="24.75" customHeight="1">
      <c r="A83" s="406" t="s">
        <v>39</v>
      </c>
      <c r="B83" s="409" t="s">
        <v>40</v>
      </c>
      <c r="C83" s="411">
        <v>3737.4353500000002</v>
      </c>
      <c r="D83" s="411">
        <v>0</v>
      </c>
      <c r="E83" s="410">
        <f t="shared" si="2"/>
        <v>0</v>
      </c>
      <c r="F83" s="410">
        <f t="shared" si="3"/>
        <v>-3737.4353500000002</v>
      </c>
    </row>
    <row r="84" spans="1:7" ht="24" customHeight="1">
      <c r="A84" s="406" t="s">
        <v>41</v>
      </c>
      <c r="B84" s="409" t="s">
        <v>42</v>
      </c>
      <c r="C84" s="408">
        <v>15010.768</v>
      </c>
      <c r="D84" s="408">
        <v>80.146349999999998</v>
      </c>
      <c r="E84" s="410">
        <f t="shared" si="2"/>
        <v>0.53392571252849952</v>
      </c>
      <c r="F84" s="410">
        <f t="shared" si="3"/>
        <v>-14930.621649999999</v>
      </c>
    </row>
    <row r="85" spans="1:7" s="6" customFormat="1" ht="20.25">
      <c r="A85" s="412" t="s">
        <v>43</v>
      </c>
      <c r="B85" s="413" t="s">
        <v>44</v>
      </c>
      <c r="C85" s="394">
        <f>C86</f>
        <v>2481.1999999999998</v>
      </c>
      <c r="D85" s="394">
        <f>D86</f>
        <v>206.8</v>
      </c>
      <c r="E85" s="405">
        <f t="shared" si="2"/>
        <v>8.334676769305176</v>
      </c>
      <c r="F85" s="405">
        <f t="shared" si="3"/>
        <v>-2274.3999999999996</v>
      </c>
    </row>
    <row r="86" spans="1:7" ht="20.25">
      <c r="A86" s="414" t="s">
        <v>45</v>
      </c>
      <c r="B86" s="415" t="s">
        <v>46</v>
      </c>
      <c r="C86" s="408">
        <v>2481.1999999999998</v>
      </c>
      <c r="D86" s="408">
        <v>206.8</v>
      </c>
      <c r="E86" s="410">
        <f t="shared" si="2"/>
        <v>8.334676769305176</v>
      </c>
      <c r="F86" s="410">
        <f t="shared" si="3"/>
        <v>-2274.3999999999996</v>
      </c>
    </row>
    <row r="87" spans="1:7" s="6" customFormat="1" ht="21" customHeight="1">
      <c r="A87" s="403" t="s">
        <v>47</v>
      </c>
      <c r="B87" s="404" t="s">
        <v>48</v>
      </c>
      <c r="C87" s="394">
        <f>SUM(C89:C92)</f>
        <v>3910.8</v>
      </c>
      <c r="D87" s="394">
        <f>SUM(D89:D92)</f>
        <v>82.659099999999995</v>
      </c>
      <c r="E87" s="405">
        <f t="shared" si="2"/>
        <v>2.113611025877058</v>
      </c>
      <c r="F87" s="405">
        <f t="shared" si="3"/>
        <v>-3828.1409000000003</v>
      </c>
    </row>
    <row r="88" spans="1:7" ht="23.25" customHeight="1">
      <c r="A88" s="406" t="s">
        <v>49</v>
      </c>
      <c r="B88" s="409" t="s">
        <v>50</v>
      </c>
      <c r="C88" s="408"/>
      <c r="D88" s="408"/>
      <c r="E88" s="410" t="e">
        <f t="shared" si="2"/>
        <v>#DIV/0!</v>
      </c>
      <c r="F88" s="410">
        <f t="shared" si="3"/>
        <v>0</v>
      </c>
    </row>
    <row r="89" spans="1:7" ht="20.25">
      <c r="A89" s="416" t="s">
        <v>51</v>
      </c>
      <c r="B89" s="409" t="s">
        <v>313</v>
      </c>
      <c r="C89" s="408">
        <v>1218.8</v>
      </c>
      <c r="D89" s="408">
        <v>18</v>
      </c>
      <c r="E89" s="410">
        <f t="shared" si="2"/>
        <v>1.4768624876928127</v>
      </c>
      <c r="F89" s="410">
        <f t="shared" si="3"/>
        <v>-1200.8</v>
      </c>
    </row>
    <row r="90" spans="1:7" ht="36.75" customHeight="1">
      <c r="A90" s="417" t="s">
        <v>53</v>
      </c>
      <c r="B90" s="418" t="s">
        <v>54</v>
      </c>
      <c r="C90" s="408">
        <v>2592</v>
      </c>
      <c r="D90" s="408">
        <v>64.659099999999995</v>
      </c>
      <c r="E90" s="410">
        <f t="shared" si="2"/>
        <v>2.4945640432098766</v>
      </c>
      <c r="F90" s="410">
        <f t="shared" si="3"/>
        <v>-2527.3409000000001</v>
      </c>
    </row>
    <row r="91" spans="1:7" ht="21" customHeight="1">
      <c r="A91" s="417" t="s">
        <v>215</v>
      </c>
      <c r="B91" s="418" t="s">
        <v>216</v>
      </c>
      <c r="C91" s="408">
        <v>0</v>
      </c>
      <c r="D91" s="408">
        <v>0</v>
      </c>
      <c r="E91" s="410" t="e">
        <f t="shared" si="2"/>
        <v>#DIV/0!</v>
      </c>
      <c r="F91" s="410">
        <f t="shared" si="3"/>
        <v>0</v>
      </c>
    </row>
    <row r="92" spans="1:7" ht="34.5" customHeight="1">
      <c r="A92" s="417" t="s">
        <v>340</v>
      </c>
      <c r="B92" s="418" t="s">
        <v>341</v>
      </c>
      <c r="C92" s="419">
        <v>100</v>
      </c>
      <c r="D92" s="408">
        <v>0</v>
      </c>
      <c r="E92" s="410">
        <f t="shared" si="2"/>
        <v>0</v>
      </c>
      <c r="F92" s="410">
        <f t="shared" si="3"/>
        <v>-100</v>
      </c>
    </row>
    <row r="93" spans="1:7" s="6" customFormat="1" ht="27" customHeight="1">
      <c r="A93" s="403" t="s">
        <v>55</v>
      </c>
      <c r="B93" s="404" t="s">
        <v>56</v>
      </c>
      <c r="C93" s="420">
        <f>SUM(C94:C99)</f>
        <v>69291.939999999988</v>
      </c>
      <c r="D93" s="420">
        <f>SUM(D94:D99)</f>
        <v>0</v>
      </c>
      <c r="E93" s="405">
        <f t="shared" si="2"/>
        <v>0</v>
      </c>
      <c r="F93" s="405">
        <f t="shared" si="3"/>
        <v>-69291.939999999988</v>
      </c>
    </row>
    <row r="94" spans="1:7" ht="27" customHeight="1">
      <c r="A94" s="406" t="s">
        <v>398</v>
      </c>
      <c r="B94" s="407" t="s">
        <v>399</v>
      </c>
      <c r="C94" s="421">
        <v>200</v>
      </c>
      <c r="D94" s="421">
        <v>0</v>
      </c>
      <c r="E94" s="410">
        <f t="shared" si="2"/>
        <v>0</v>
      </c>
      <c r="F94" s="410">
        <f t="shared" si="3"/>
        <v>-200</v>
      </c>
    </row>
    <row r="95" spans="1:7" ht="21" customHeight="1">
      <c r="A95" s="406" t="s">
        <v>57</v>
      </c>
      <c r="B95" s="409" t="s">
        <v>58</v>
      </c>
      <c r="C95" s="421">
        <v>0</v>
      </c>
      <c r="D95" s="408">
        <v>0</v>
      </c>
      <c r="E95" s="410" t="e">
        <f t="shared" si="2"/>
        <v>#DIV/0!</v>
      </c>
      <c r="F95" s="410">
        <f t="shared" si="3"/>
        <v>0</v>
      </c>
    </row>
    <row r="96" spans="1:7" s="6" customFormat="1" ht="20.25" customHeight="1">
      <c r="A96" s="406" t="s">
        <v>57</v>
      </c>
      <c r="B96" s="409" t="s">
        <v>310</v>
      </c>
      <c r="C96" s="421">
        <v>420.54</v>
      </c>
      <c r="D96" s="408">
        <v>0</v>
      </c>
      <c r="E96" s="410">
        <f t="shared" si="2"/>
        <v>0</v>
      </c>
      <c r="F96" s="410">
        <f t="shared" si="3"/>
        <v>-420.54</v>
      </c>
      <c r="G96" s="50"/>
    </row>
    <row r="97" spans="1:7" s="6" customFormat="1" ht="20.25" customHeight="1">
      <c r="A97" s="406" t="s">
        <v>59</v>
      </c>
      <c r="B97" s="409" t="s">
        <v>393</v>
      </c>
      <c r="C97" s="421">
        <v>0</v>
      </c>
      <c r="D97" s="408"/>
      <c r="E97" s="410"/>
      <c r="F97" s="410"/>
      <c r="G97" s="50"/>
    </row>
    <row r="98" spans="1:7" ht="26.25" customHeight="1">
      <c r="A98" s="406" t="s">
        <v>61</v>
      </c>
      <c r="B98" s="409" t="s">
        <v>62</v>
      </c>
      <c r="C98" s="421">
        <v>67517.399999999994</v>
      </c>
      <c r="D98" s="408">
        <v>0</v>
      </c>
      <c r="E98" s="410">
        <f t="shared" si="2"/>
        <v>0</v>
      </c>
      <c r="F98" s="410">
        <f t="shared" si="3"/>
        <v>-67517.399999999994</v>
      </c>
    </row>
    <row r="99" spans="1:7" ht="40.5">
      <c r="A99" s="406" t="s">
        <v>63</v>
      </c>
      <c r="B99" s="409" t="s">
        <v>64</v>
      </c>
      <c r="C99" s="421">
        <v>1154</v>
      </c>
      <c r="D99" s="408">
        <v>0</v>
      </c>
      <c r="E99" s="410">
        <f t="shared" si="2"/>
        <v>0</v>
      </c>
      <c r="F99" s="410">
        <f t="shared" si="3"/>
        <v>-1154</v>
      </c>
    </row>
    <row r="100" spans="1:7" s="6" customFormat="1" ht="20.25">
      <c r="A100" s="403" t="s">
        <v>65</v>
      </c>
      <c r="B100" s="404" t="s">
        <v>66</v>
      </c>
      <c r="C100" s="394">
        <f>SUM(C101:C103)</f>
        <v>24695.997469999998</v>
      </c>
      <c r="D100" s="394">
        <f>SUM(D101:D103)</f>
        <v>0</v>
      </c>
      <c r="E100" s="405">
        <f t="shared" si="2"/>
        <v>0</v>
      </c>
      <c r="F100" s="405">
        <f t="shared" si="3"/>
        <v>-24695.997469999998</v>
      </c>
    </row>
    <row r="101" spans="1:7" ht="20.25">
      <c r="A101" s="406" t="s">
        <v>67</v>
      </c>
      <c r="B101" s="422" t="s">
        <v>68</v>
      </c>
      <c r="C101" s="408">
        <v>7643.0789999999997</v>
      </c>
      <c r="D101" s="408">
        <v>0</v>
      </c>
      <c r="E101" s="410">
        <f t="shared" si="2"/>
        <v>0</v>
      </c>
      <c r="F101" s="410">
        <f t="shared" si="3"/>
        <v>-7643.0789999999997</v>
      </c>
    </row>
    <row r="102" spans="1:7" ht="23.25" customHeight="1">
      <c r="A102" s="406" t="s">
        <v>69</v>
      </c>
      <c r="B102" s="422" t="s">
        <v>70</v>
      </c>
      <c r="C102" s="408">
        <v>9850</v>
      </c>
      <c r="D102" s="408">
        <v>0</v>
      </c>
      <c r="E102" s="410">
        <f t="shared" si="2"/>
        <v>0</v>
      </c>
      <c r="F102" s="410">
        <f t="shared" si="3"/>
        <v>-9850</v>
      </c>
    </row>
    <row r="103" spans="1:7" ht="19.5" customHeight="1">
      <c r="A103" s="406" t="s">
        <v>71</v>
      </c>
      <c r="B103" s="409" t="s">
        <v>72</v>
      </c>
      <c r="C103" s="408">
        <v>7202.9184699999996</v>
      </c>
      <c r="D103" s="408">
        <v>0</v>
      </c>
      <c r="E103" s="410">
        <f t="shared" si="2"/>
        <v>0</v>
      </c>
      <c r="F103" s="410">
        <f t="shared" si="3"/>
        <v>-7202.9184699999996</v>
      </c>
    </row>
    <row r="104" spans="1:7" s="6" customFormat="1" ht="20.25">
      <c r="A104" s="403" t="s">
        <v>73</v>
      </c>
      <c r="B104" s="423" t="s">
        <v>74</v>
      </c>
      <c r="C104" s="420">
        <f>SUM(C105)</f>
        <v>50</v>
      </c>
      <c r="D104" s="420">
        <f>SUM(D105)</f>
        <v>0</v>
      </c>
      <c r="E104" s="405">
        <f t="shared" si="2"/>
        <v>0</v>
      </c>
      <c r="F104" s="405">
        <f t="shared" si="3"/>
        <v>-50</v>
      </c>
    </row>
    <row r="105" spans="1:7" ht="40.5">
      <c r="A105" s="406" t="s">
        <v>75</v>
      </c>
      <c r="B105" s="422" t="s">
        <v>76</v>
      </c>
      <c r="C105" s="410">
        <v>50</v>
      </c>
      <c r="D105" s="411">
        <v>0</v>
      </c>
      <c r="E105" s="410">
        <f t="shared" si="2"/>
        <v>0</v>
      </c>
      <c r="F105" s="410">
        <f t="shared" si="3"/>
        <v>-50</v>
      </c>
    </row>
    <row r="106" spans="1:7" s="6" customFormat="1" ht="20.25">
      <c r="A106" s="403" t="s">
        <v>77</v>
      </c>
      <c r="B106" s="423" t="s">
        <v>78</v>
      </c>
      <c r="C106" s="420">
        <f>SUM(C107:C111)</f>
        <v>572594.18200000003</v>
      </c>
      <c r="D106" s="420">
        <f>D107+D108+D110+D111+D109</f>
        <v>16751.056049999999</v>
      </c>
      <c r="E106" s="405">
        <f t="shared" si="2"/>
        <v>2.9254673862543714</v>
      </c>
      <c r="F106" s="405">
        <f t="shared" si="3"/>
        <v>-555843.12595000002</v>
      </c>
    </row>
    <row r="107" spans="1:7" ht="20.25">
      <c r="A107" s="406" t="s">
        <v>79</v>
      </c>
      <c r="B107" s="422" t="s">
        <v>247</v>
      </c>
      <c r="C107" s="421">
        <v>92497.2</v>
      </c>
      <c r="D107" s="408">
        <v>4216.2539999999999</v>
      </c>
      <c r="E107" s="410">
        <f t="shared" si="2"/>
        <v>4.5582504119043605</v>
      </c>
      <c r="F107" s="410">
        <f t="shared" si="3"/>
        <v>-88280.945999999996</v>
      </c>
    </row>
    <row r="108" spans="1:7" ht="20.25">
      <c r="A108" s="406" t="s">
        <v>80</v>
      </c>
      <c r="B108" s="422" t="s">
        <v>248</v>
      </c>
      <c r="C108" s="421">
        <v>452762.48200000002</v>
      </c>
      <c r="D108" s="408">
        <v>11832.504999999999</v>
      </c>
      <c r="E108" s="410">
        <f t="shared" si="2"/>
        <v>2.6134022739101423</v>
      </c>
      <c r="F108" s="410">
        <f t="shared" si="3"/>
        <v>-440929.97700000001</v>
      </c>
    </row>
    <row r="109" spans="1:7" ht="20.25">
      <c r="A109" s="406" t="s">
        <v>319</v>
      </c>
      <c r="B109" s="422" t="s">
        <v>320</v>
      </c>
      <c r="C109" s="421">
        <v>20073.2</v>
      </c>
      <c r="D109" s="408">
        <v>628.91600000000005</v>
      </c>
      <c r="E109" s="410">
        <f t="shared" si="2"/>
        <v>3.1331128071259191</v>
      </c>
      <c r="F109" s="410">
        <f t="shared" si="3"/>
        <v>-19444.284</v>
      </c>
    </row>
    <row r="110" spans="1:7" ht="20.25">
      <c r="A110" s="406" t="s">
        <v>81</v>
      </c>
      <c r="B110" s="422" t="s">
        <v>249</v>
      </c>
      <c r="C110" s="421">
        <v>4500</v>
      </c>
      <c r="D110" s="408">
        <v>0</v>
      </c>
      <c r="E110" s="410">
        <f t="shared" si="2"/>
        <v>0</v>
      </c>
      <c r="F110" s="410">
        <f t="shared" si="3"/>
        <v>-4500</v>
      </c>
    </row>
    <row r="111" spans="1:7" ht="20.25">
      <c r="A111" s="406" t="s">
        <v>82</v>
      </c>
      <c r="B111" s="422" t="s">
        <v>250</v>
      </c>
      <c r="C111" s="421">
        <v>2761.3</v>
      </c>
      <c r="D111" s="408">
        <v>73.381050000000002</v>
      </c>
      <c r="E111" s="410">
        <f t="shared" si="2"/>
        <v>2.6574819831238905</v>
      </c>
      <c r="F111" s="410">
        <f t="shared" si="3"/>
        <v>-2687.9189500000002</v>
      </c>
    </row>
    <row r="112" spans="1:7" s="6" customFormat="1" ht="20.25">
      <c r="A112" s="403" t="s">
        <v>83</v>
      </c>
      <c r="B112" s="404" t="s">
        <v>84</v>
      </c>
      <c r="C112" s="394">
        <f>SUM(C113:C114)</f>
        <v>44105.569000000003</v>
      </c>
      <c r="D112" s="394">
        <f>SUM(D113:D114)</f>
        <v>868</v>
      </c>
      <c r="E112" s="405">
        <f t="shared" si="2"/>
        <v>1.9680054462056709</v>
      </c>
      <c r="F112" s="405">
        <f t="shared" si="3"/>
        <v>-43237.569000000003</v>
      </c>
    </row>
    <row r="113" spans="1:7" ht="20.25">
      <c r="A113" s="406" t="s">
        <v>85</v>
      </c>
      <c r="B113" s="409" t="s">
        <v>230</v>
      </c>
      <c r="C113" s="408">
        <v>43005.569000000003</v>
      </c>
      <c r="D113" s="408">
        <v>868</v>
      </c>
      <c r="E113" s="410">
        <f t="shared" si="2"/>
        <v>2.0183432522425178</v>
      </c>
      <c r="F113" s="410">
        <f t="shared" si="3"/>
        <v>-42137.569000000003</v>
      </c>
    </row>
    <row r="114" spans="1:7" ht="40.5">
      <c r="A114" s="406" t="s">
        <v>259</v>
      </c>
      <c r="B114" s="409" t="s">
        <v>260</v>
      </c>
      <c r="C114" s="408">
        <v>1100</v>
      </c>
      <c r="D114" s="408">
        <v>0</v>
      </c>
      <c r="E114" s="410">
        <f t="shared" si="2"/>
        <v>0</v>
      </c>
      <c r="F114" s="410">
        <f t="shared" si="3"/>
        <v>-1100</v>
      </c>
    </row>
    <row r="115" spans="1:7" s="6" customFormat="1" ht="20.25">
      <c r="A115" s="424">
        <v>1000</v>
      </c>
      <c r="B115" s="404" t="s">
        <v>86</v>
      </c>
      <c r="C115" s="394">
        <f>SUM(C116:C119)</f>
        <v>41628.59936</v>
      </c>
      <c r="D115" s="460">
        <f>D116+D117+D118+D119</f>
        <v>1.2</v>
      </c>
      <c r="E115" s="405">
        <f t="shared" si="2"/>
        <v>2.8826336183509775E-3</v>
      </c>
      <c r="F115" s="405">
        <f t="shared" si="3"/>
        <v>-41627.399360000003</v>
      </c>
      <c r="G115" s="94"/>
    </row>
    <row r="116" spans="1:7" ht="20.25">
      <c r="A116" s="425">
        <v>1001</v>
      </c>
      <c r="B116" s="426" t="s">
        <v>87</v>
      </c>
      <c r="C116" s="408">
        <v>60</v>
      </c>
      <c r="D116" s="408">
        <v>0</v>
      </c>
      <c r="E116" s="410">
        <f t="shared" si="2"/>
        <v>0</v>
      </c>
      <c r="F116" s="410">
        <f t="shared" si="3"/>
        <v>-60</v>
      </c>
    </row>
    <row r="117" spans="1:7" ht="20.25">
      <c r="A117" s="425">
        <v>1003</v>
      </c>
      <c r="B117" s="426" t="s">
        <v>88</v>
      </c>
      <c r="C117" s="408">
        <v>10599.801009999999</v>
      </c>
      <c r="D117" s="408"/>
      <c r="E117" s="410">
        <f t="shared" si="2"/>
        <v>0</v>
      </c>
      <c r="F117" s="410">
        <f t="shared" si="3"/>
        <v>-10599.801009999999</v>
      </c>
    </row>
    <row r="118" spans="1:7" ht="20.25">
      <c r="A118" s="425">
        <v>1004</v>
      </c>
      <c r="B118" s="426" t="s">
        <v>89</v>
      </c>
      <c r="C118" s="408">
        <v>30869.398349999999</v>
      </c>
      <c r="D118" s="461">
        <v>0</v>
      </c>
      <c r="E118" s="410">
        <f t="shared" si="2"/>
        <v>0</v>
      </c>
      <c r="F118" s="410">
        <f t="shared" si="3"/>
        <v>-30869.398349999999</v>
      </c>
    </row>
    <row r="119" spans="1:7" ht="33.75" customHeight="1">
      <c r="A119" s="406" t="s">
        <v>90</v>
      </c>
      <c r="B119" s="409" t="s">
        <v>91</v>
      </c>
      <c r="C119" s="408">
        <v>99.4</v>
      </c>
      <c r="D119" s="408">
        <v>1.2</v>
      </c>
      <c r="E119" s="410">
        <f t="shared" si="2"/>
        <v>1.2072434607645874</v>
      </c>
      <c r="F119" s="410">
        <f t="shared" si="3"/>
        <v>-98.2</v>
      </c>
    </row>
    <row r="120" spans="1:7" ht="20.25">
      <c r="A120" s="403" t="s">
        <v>92</v>
      </c>
      <c r="B120" s="404" t="s">
        <v>93</v>
      </c>
      <c r="C120" s="394">
        <f>C121+C122</f>
        <v>5757.4</v>
      </c>
      <c r="D120" s="394">
        <f>D121+D122</f>
        <v>359.988</v>
      </c>
      <c r="E120" s="410">
        <f t="shared" si="2"/>
        <v>6.2526140271650403</v>
      </c>
      <c r="F120" s="394">
        <f>F121+F122+F123+F124+F125</f>
        <v>-5397.4119999999994</v>
      </c>
    </row>
    <row r="121" spans="1:7" ht="20.25">
      <c r="A121" s="406" t="s">
        <v>94</v>
      </c>
      <c r="B121" s="409" t="s">
        <v>95</v>
      </c>
      <c r="C121" s="408">
        <v>450</v>
      </c>
      <c r="D121" s="408"/>
      <c r="E121" s="410">
        <f t="shared" si="2"/>
        <v>0</v>
      </c>
      <c r="F121" s="410">
        <f t="shared" ref="F121:F129" si="4">SUM(D121-C121)</f>
        <v>-450</v>
      </c>
    </row>
    <row r="122" spans="1:7" ht="20.25" customHeight="1">
      <c r="A122" s="406" t="s">
        <v>96</v>
      </c>
      <c r="B122" s="409" t="s">
        <v>97</v>
      </c>
      <c r="C122" s="408">
        <v>5307.4</v>
      </c>
      <c r="D122" s="408">
        <v>359.988</v>
      </c>
      <c r="E122" s="410">
        <f t="shared" si="2"/>
        <v>6.7827561517880701</v>
      </c>
      <c r="F122" s="410">
        <f t="shared" si="4"/>
        <v>-4947.4119999999994</v>
      </c>
    </row>
    <row r="123" spans="1:7" ht="15.75" customHeight="1">
      <c r="A123" s="406" t="s">
        <v>98</v>
      </c>
      <c r="B123" s="409" t="s">
        <v>99</v>
      </c>
      <c r="C123" s="408"/>
      <c r="D123" s="408"/>
      <c r="E123" s="410" t="e">
        <f t="shared" si="2"/>
        <v>#DIV/0!</v>
      </c>
      <c r="F123" s="410"/>
    </row>
    <row r="124" spans="1:7" ht="15.75" customHeight="1">
      <c r="A124" s="406" t="s">
        <v>100</v>
      </c>
      <c r="B124" s="409" t="s">
        <v>101</v>
      </c>
      <c r="C124" s="408"/>
      <c r="D124" s="408"/>
      <c r="E124" s="410" t="e">
        <f t="shared" si="2"/>
        <v>#DIV/0!</v>
      </c>
      <c r="F124" s="410"/>
    </row>
    <row r="125" spans="1:7" ht="15.75" customHeight="1">
      <c r="A125" s="406" t="s">
        <v>102</v>
      </c>
      <c r="B125" s="409" t="s">
        <v>103</v>
      </c>
      <c r="C125" s="408"/>
      <c r="D125" s="408"/>
      <c r="E125" s="410" t="e">
        <f t="shared" si="2"/>
        <v>#DIV/0!</v>
      </c>
      <c r="F125" s="410"/>
    </row>
    <row r="126" spans="1:7" ht="20.25" customHeight="1">
      <c r="A126" s="403" t="s">
        <v>104</v>
      </c>
      <c r="B126" s="404" t="s">
        <v>105</v>
      </c>
      <c r="C126" s="394">
        <f>C127</f>
        <v>45</v>
      </c>
      <c r="D126" s="462">
        <f>D127</f>
        <v>0</v>
      </c>
      <c r="E126" s="410">
        <f>SUM(D126/C126*100)</f>
        <v>0</v>
      </c>
      <c r="F126" s="410">
        <f t="shared" si="4"/>
        <v>-45</v>
      </c>
    </row>
    <row r="127" spans="1:7" ht="22.5" customHeight="1">
      <c r="A127" s="406" t="s">
        <v>106</v>
      </c>
      <c r="B127" s="409" t="s">
        <v>107</v>
      </c>
      <c r="C127" s="408">
        <v>45</v>
      </c>
      <c r="D127" s="408">
        <v>0</v>
      </c>
      <c r="E127" s="410">
        <f t="shared" si="2"/>
        <v>0</v>
      </c>
      <c r="F127" s="410">
        <f t="shared" si="4"/>
        <v>-45</v>
      </c>
    </row>
    <row r="128" spans="1:7" ht="19.5" customHeight="1">
      <c r="A128" s="403" t="s">
        <v>108</v>
      </c>
      <c r="B128" s="413" t="s">
        <v>109</v>
      </c>
      <c r="C128" s="427">
        <f>C129</f>
        <v>0</v>
      </c>
      <c r="D128" s="427">
        <v>0</v>
      </c>
      <c r="E128" s="410"/>
      <c r="F128" s="405">
        <f t="shared" si="4"/>
        <v>0</v>
      </c>
    </row>
    <row r="129" spans="1:8" ht="37.5" customHeight="1">
      <c r="A129" s="406" t="s">
        <v>110</v>
      </c>
      <c r="B129" s="415" t="s">
        <v>111</v>
      </c>
      <c r="C129" s="411">
        <v>0</v>
      </c>
      <c r="D129" s="411">
        <v>0</v>
      </c>
      <c r="E129" s="405"/>
      <c r="F129" s="410">
        <f t="shared" si="4"/>
        <v>0</v>
      </c>
    </row>
    <row r="130" spans="1:8" s="6" customFormat="1" ht="19.5" customHeight="1">
      <c r="A130" s="424">
        <v>1400</v>
      </c>
      <c r="B130" s="428" t="s">
        <v>112</v>
      </c>
      <c r="C130" s="420">
        <f>C131+C132+C133</f>
        <v>56185.4</v>
      </c>
      <c r="D130" s="420">
        <f>D131+D132+D133</f>
        <v>4461.3159999999998</v>
      </c>
      <c r="E130" s="405">
        <f t="shared" si="2"/>
        <v>7.9403474924090593</v>
      </c>
      <c r="F130" s="405">
        <f t="shared" si="3"/>
        <v>-51724.084000000003</v>
      </c>
    </row>
    <row r="131" spans="1:8" ht="40.5" customHeight="1">
      <c r="A131" s="425">
        <v>1401</v>
      </c>
      <c r="B131" s="426" t="s">
        <v>113</v>
      </c>
      <c r="C131" s="421">
        <v>53535.4</v>
      </c>
      <c r="D131" s="408">
        <v>4461.3159999999998</v>
      </c>
      <c r="E131" s="410">
        <f t="shared" si="2"/>
        <v>8.3333943521482983</v>
      </c>
      <c r="F131" s="410">
        <f t="shared" si="3"/>
        <v>-49074.084000000003</v>
      </c>
    </row>
    <row r="132" spans="1:8" ht="24.75" customHeight="1">
      <c r="A132" s="425">
        <v>1402</v>
      </c>
      <c r="B132" s="426" t="s">
        <v>114</v>
      </c>
      <c r="C132" s="421">
        <v>1475</v>
      </c>
      <c r="D132" s="408">
        <v>0</v>
      </c>
      <c r="E132" s="410">
        <f t="shared" si="2"/>
        <v>0</v>
      </c>
      <c r="F132" s="410">
        <f t="shared" si="3"/>
        <v>-1475</v>
      </c>
    </row>
    <row r="133" spans="1:8" ht="27" customHeight="1">
      <c r="A133" s="425">
        <v>1403</v>
      </c>
      <c r="B133" s="426" t="s">
        <v>115</v>
      </c>
      <c r="C133" s="421">
        <v>1175</v>
      </c>
      <c r="D133" s="408">
        <v>0</v>
      </c>
      <c r="E133" s="410">
        <f t="shared" si="2"/>
        <v>0</v>
      </c>
      <c r="F133" s="410">
        <f t="shared" si="3"/>
        <v>-1175</v>
      </c>
    </row>
    <row r="134" spans="1:8" s="6" customFormat="1" ht="20.25">
      <c r="A134" s="424"/>
      <c r="B134" s="429" t="s">
        <v>116</v>
      </c>
      <c r="C134" s="477">
        <f>C77+C85+C87+C93+C100+C104+C106+C112+C115+C120+C126+C128+C130</f>
        <v>869214.53418000008</v>
      </c>
      <c r="D134" s="477">
        <f>D77+D85+D87+D93+D100+D104+D106+D112+D115+D120+D126+D128+D130</f>
        <v>23953.807809999998</v>
      </c>
      <c r="E134" s="405">
        <f t="shared" si="2"/>
        <v>2.7557992725694067</v>
      </c>
      <c r="F134" s="405">
        <f t="shared" si="3"/>
        <v>-845260.72637000005</v>
      </c>
      <c r="G134" s="94"/>
      <c r="H134" s="94"/>
    </row>
    <row r="135" spans="1:8" ht="20.25">
      <c r="A135" s="430"/>
      <c r="B135" s="431"/>
      <c r="C135" s="432"/>
      <c r="D135" s="445"/>
      <c r="E135" s="433"/>
      <c r="F135" s="433"/>
    </row>
    <row r="136" spans="1:8" s="65" customFormat="1" ht="20.25">
      <c r="A136" s="434" t="s">
        <v>117</v>
      </c>
      <c r="B136" s="434"/>
      <c r="C136" s="435"/>
      <c r="D136" s="435"/>
      <c r="E136" s="436"/>
      <c r="F136" s="436"/>
    </row>
    <row r="137" spans="1:8" s="65" customFormat="1" ht="20.25">
      <c r="A137" s="437" t="s">
        <v>118</v>
      </c>
      <c r="B137" s="437"/>
      <c r="C137" s="435" t="s">
        <v>119</v>
      </c>
      <c r="D137" s="435"/>
      <c r="E137" s="436"/>
      <c r="F137" s="436"/>
    </row>
  </sheetData>
  <customSheetViews>
    <customSheetView guid="{61528DAC-5C4C-48F4-ADE2-8A724B05A086}" scale="60" showPageBreaks="1" printArea="1" hiddenRows="1" view="pageBreakPreview">
      <selection activeCell="D133" sqref="D13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50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zoomScale="70" zoomScaleNormal="100" zoomScaleSheetLayoutView="70" workbookViewId="0">
      <selection activeCell="C10" sqref="C10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7" t="s">
        <v>424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32.802800000000005</v>
      </c>
      <c r="E4" s="5">
        <f>SUM(D4/C4*100)</f>
        <v>5.6032933620306791</v>
      </c>
      <c r="F4" s="5">
        <f>SUM(D4-C4)</f>
        <v>-552.61720000000003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8.8133300000000006</v>
      </c>
      <c r="E5" s="5">
        <f t="shared" ref="E5:E47" si="0">SUM(D5/C5*100)</f>
        <v>14.063076432104676</v>
      </c>
      <c r="F5" s="5">
        <f t="shared" ref="F5:F47" si="1">SUM(D5-C5)</f>
        <v>-53.856670000000001</v>
      </c>
    </row>
    <row r="6" spans="1:6">
      <c r="A6" s="7">
        <v>1010200001</v>
      </c>
      <c r="B6" s="8" t="s">
        <v>225</v>
      </c>
      <c r="C6" s="9">
        <v>62.67</v>
      </c>
      <c r="D6" s="10">
        <v>8.8133300000000006</v>
      </c>
      <c r="E6" s="9">
        <f t="shared" ref="E6:E11" si="2">SUM(D6/C6*100)</f>
        <v>14.063076432104676</v>
      </c>
      <c r="F6" s="9">
        <f t="shared" si="1"/>
        <v>-53.856670000000001</v>
      </c>
    </row>
    <row r="7" spans="1:6" ht="31.5">
      <c r="A7" s="3">
        <v>1030000000</v>
      </c>
      <c r="B7" s="13" t="s">
        <v>267</v>
      </c>
      <c r="C7" s="5">
        <f>C8+C10+C9</f>
        <v>249.75</v>
      </c>
      <c r="D7" s="5">
        <f>D8+D10+D9+D11</f>
        <v>21.087230000000002</v>
      </c>
      <c r="E7" s="9">
        <f t="shared" si="2"/>
        <v>8.4433353353353358</v>
      </c>
      <c r="F7" s="9">
        <f t="shared" si="1"/>
        <v>-228.66276999999999</v>
      </c>
    </row>
    <row r="8" spans="1:6">
      <c r="A8" s="7">
        <v>1030223001</v>
      </c>
      <c r="B8" s="8" t="s">
        <v>269</v>
      </c>
      <c r="C8" s="9">
        <v>93.16</v>
      </c>
      <c r="D8" s="10">
        <v>9.6852900000000002</v>
      </c>
      <c r="E8" s="9">
        <f t="shared" si="2"/>
        <v>10.396404036066983</v>
      </c>
      <c r="F8" s="9">
        <f t="shared" si="1"/>
        <v>-83.474710000000002</v>
      </c>
    </row>
    <row r="9" spans="1:6">
      <c r="A9" s="7">
        <v>1030224001</v>
      </c>
      <c r="B9" s="8" t="s">
        <v>273</v>
      </c>
      <c r="C9" s="9">
        <v>1</v>
      </c>
      <c r="D9" s="10">
        <v>5.7099999999999998E-2</v>
      </c>
      <c r="E9" s="9">
        <f t="shared" si="2"/>
        <v>5.71</v>
      </c>
      <c r="F9" s="9">
        <f t="shared" si="1"/>
        <v>-0.94289999999999996</v>
      </c>
    </row>
    <row r="10" spans="1:6">
      <c r="A10" s="7">
        <v>1030225001</v>
      </c>
      <c r="B10" s="8" t="s">
        <v>268</v>
      </c>
      <c r="C10" s="9">
        <v>155.59</v>
      </c>
      <c r="D10" s="10">
        <v>12.99539</v>
      </c>
      <c r="E10" s="9">
        <f t="shared" si="2"/>
        <v>8.3523298412494373</v>
      </c>
      <c r="F10" s="9">
        <f t="shared" si="1"/>
        <v>-142.59460999999999</v>
      </c>
    </row>
    <row r="11" spans="1:6">
      <c r="A11" s="7">
        <v>1030226001</v>
      </c>
      <c r="B11" s="8" t="s">
        <v>274</v>
      </c>
      <c r="C11" s="9">
        <v>0</v>
      </c>
      <c r="D11" s="10">
        <v>-1.65055</v>
      </c>
      <c r="E11" s="9" t="e">
        <f t="shared" si="2"/>
        <v>#DIV/0!</v>
      </c>
      <c r="F11" s="9">
        <f t="shared" si="1"/>
        <v>-1.65055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2.9022399999999999</v>
      </c>
      <c r="E14" s="5">
        <f t="shared" si="0"/>
        <v>1.1845877551020407</v>
      </c>
      <c r="F14" s="5">
        <f t="shared" si="1"/>
        <v>-242.09775999999999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0.31758999999999998</v>
      </c>
      <c r="E15" s="9">
        <f t="shared" si="0"/>
        <v>0.63517999999999997</v>
      </c>
      <c r="F15" s="9">
        <f>SUM(D15-C15)</f>
        <v>-49.682409999999997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2.5846499999999999</v>
      </c>
      <c r="E16" s="9">
        <f t="shared" si="0"/>
        <v>1.3254615384615385</v>
      </c>
      <c r="F16" s="9">
        <f t="shared" si="1"/>
        <v>-192.41534999999999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</v>
      </c>
      <c r="E17" s="9">
        <f t="shared" si="0"/>
        <v>0</v>
      </c>
      <c r="F17" s="5">
        <f t="shared" si="1"/>
        <v>-3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</v>
      </c>
      <c r="E18" s="9">
        <f t="shared" si="0"/>
        <v>0</v>
      </c>
      <c r="F18" s="9">
        <f t="shared" si="1"/>
        <v>-3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222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50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32.802800000000005</v>
      </c>
      <c r="E37" s="5">
        <f t="shared" si="0"/>
        <v>5.1276808603764152</v>
      </c>
      <c r="F37" s="5">
        <f t="shared" si="1"/>
        <v>-606.91719999999998</v>
      </c>
    </row>
    <row r="38" spans="1:11" s="6" customFormat="1">
      <c r="A38" s="3">
        <v>2000000000</v>
      </c>
      <c r="B38" s="4" t="s">
        <v>17</v>
      </c>
      <c r="C38" s="192">
        <f>C39+C40+C41+C42+C43+C44</f>
        <v>2375.2829999999999</v>
      </c>
      <c r="D38" s="192">
        <f>D39+D40+D41+D42+D43+D45+D44</f>
        <v>167.07650000000001</v>
      </c>
      <c r="E38" s="5">
        <f t="shared" si="0"/>
        <v>7.0339618479145436</v>
      </c>
      <c r="F38" s="5">
        <f t="shared" si="1"/>
        <v>-2208.2064999999998</v>
      </c>
      <c r="G38" s="19"/>
    </row>
    <row r="39" spans="1:11">
      <c r="A39" s="16">
        <v>2021000000</v>
      </c>
      <c r="B39" s="17" t="s">
        <v>18</v>
      </c>
      <c r="C39" s="224">
        <v>1901.5</v>
      </c>
      <c r="D39" s="20">
        <v>158.46</v>
      </c>
      <c r="E39" s="9">
        <f t="shared" si="0"/>
        <v>8.3334209834341308</v>
      </c>
      <c r="F39" s="9">
        <f t="shared" si="1"/>
        <v>-1743.04</v>
      </c>
    </row>
    <row r="40" spans="1:11">
      <c r="A40" s="16">
        <v>2021500200</v>
      </c>
      <c r="B40" s="17" t="s">
        <v>228</v>
      </c>
      <c r="C40" s="221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1">
        <v>366.14</v>
      </c>
      <c r="D41" s="10">
        <v>0</v>
      </c>
      <c r="E41" s="9">
        <f t="shared" si="0"/>
        <v>0</v>
      </c>
      <c r="F41" s="9">
        <f t="shared" si="1"/>
        <v>-366.14</v>
      </c>
    </row>
    <row r="42" spans="1:11" ht="19.5" customHeight="1">
      <c r="A42" s="16">
        <v>2023000000</v>
      </c>
      <c r="B42" s="17" t="s">
        <v>20</v>
      </c>
      <c r="C42" s="221">
        <v>107.643</v>
      </c>
      <c r="D42" s="185">
        <v>8.6165000000000003</v>
      </c>
      <c r="E42" s="9">
        <f t="shared" si="0"/>
        <v>8.0047007236884884</v>
      </c>
      <c r="F42" s="9">
        <f t="shared" si="1"/>
        <v>-99.026499999999999</v>
      </c>
    </row>
    <row r="43" spans="1:11">
      <c r="A43" s="7">
        <v>2070500010</v>
      </c>
      <c r="B43" s="17" t="s">
        <v>339</v>
      </c>
      <c r="C43" s="221">
        <v>0</v>
      </c>
      <c r="D43" s="186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1">
        <v>0</v>
      </c>
      <c r="D44" s="186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9">
        <v>0</v>
      </c>
      <c r="D45" s="218">
        <v>0</v>
      </c>
      <c r="E45" s="5" t="e">
        <f t="shared" si="0"/>
        <v>#DIV/0!</v>
      </c>
      <c r="F45" s="5">
        <f>SUM(D45-C45)</f>
        <v>0</v>
      </c>
    </row>
    <row r="46" spans="1:11" s="444" customFormat="1" ht="19.5" hidden="1" customHeight="1">
      <c r="A46" s="3">
        <v>3000000000</v>
      </c>
      <c r="B46" s="13" t="s">
        <v>24</v>
      </c>
      <c r="C46" s="230">
        <v>0</v>
      </c>
      <c r="D46" s="231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5"/>
      <c r="B47" s="276" t="s">
        <v>25</v>
      </c>
      <c r="C47" s="479">
        <f>C37+C38</f>
        <v>3015.0029999999997</v>
      </c>
      <c r="D47" s="471">
        <f>D37+D38</f>
        <v>199.8793</v>
      </c>
      <c r="E47" s="277">
        <f t="shared" si="0"/>
        <v>6.6294892575562949</v>
      </c>
      <c r="F47" s="277">
        <f t="shared" si="1"/>
        <v>-2815.1236999999996</v>
      </c>
      <c r="G47" s="198"/>
      <c r="H47" s="198"/>
      <c r="K47" s="129"/>
    </row>
    <row r="48" spans="1:11" s="6" customFormat="1">
      <c r="A48" s="3"/>
      <c r="B48" s="21" t="s">
        <v>308</v>
      </c>
      <c r="C48" s="476">
        <f>C47-C94</f>
        <v>0</v>
      </c>
      <c r="D48" s="5">
        <f>D47-D94</f>
        <v>168.84638000000001</v>
      </c>
      <c r="E48" s="22"/>
      <c r="F48" s="22"/>
    </row>
    <row r="49" spans="1:6">
      <c r="A49" s="23"/>
      <c r="B49" s="24"/>
      <c r="C49" s="184"/>
      <c r="D49" s="184"/>
      <c r="E49" s="26"/>
      <c r="F49" s="92"/>
    </row>
    <row r="50" spans="1:6" ht="50.25" customHeight="1">
      <c r="A50" s="28" t="s">
        <v>0</v>
      </c>
      <c r="B50" s="28" t="s">
        <v>26</v>
      </c>
      <c r="C50" s="178" t="s">
        <v>403</v>
      </c>
      <c r="D50" s="179" t="s">
        <v>404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1206.6660000000002</v>
      </c>
      <c r="D52" s="22">
        <f>D54+D57+D58+D59</f>
        <v>25.171230000000001</v>
      </c>
      <c r="E52" s="34">
        <f>SUM(D52/C52*100)</f>
        <v>2.0860146884059052</v>
      </c>
      <c r="F52" s="34">
        <f>SUM(D52-C52)</f>
        <v>-1181.4947700000002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25.171230000000001</v>
      </c>
      <c r="E54" s="38">
        <f>SUM(D54/C54*100)</f>
        <v>2.1804599792099792</v>
      </c>
      <c r="F54" s="38">
        <f t="shared" ref="F54:F94" si="3">SUM(D54-C54)</f>
        <v>-1129.2287700000002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2.266</v>
      </c>
      <c r="D59" s="92">
        <v>0</v>
      </c>
      <c r="E59" s="38">
        <f t="shared" si="4"/>
        <v>0</v>
      </c>
      <c r="F59" s="38">
        <f t="shared" si="3"/>
        <v>-2.266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2</v>
      </c>
      <c r="E60" s="34">
        <f t="shared" si="4"/>
        <v>1.9345540369306369</v>
      </c>
      <c r="F60" s="34">
        <f t="shared" si="3"/>
        <v>-101.383</v>
      </c>
    </row>
    <row r="61" spans="1:6">
      <c r="A61" s="43" t="s">
        <v>45</v>
      </c>
      <c r="B61" s="44" t="s">
        <v>46</v>
      </c>
      <c r="C61" s="92">
        <v>103.383</v>
      </c>
      <c r="D61" s="92">
        <v>2</v>
      </c>
      <c r="E61" s="38">
        <f t="shared" si="4"/>
        <v>1.9345540369306369</v>
      </c>
      <c r="F61" s="38">
        <f t="shared" si="3"/>
        <v>-101.383</v>
      </c>
    </row>
    <row r="62" spans="1:6" s="6" customFormat="1" ht="17.25" customHeight="1">
      <c r="A62" s="30" t="s">
        <v>47</v>
      </c>
      <c r="B62" s="31" t="s">
        <v>48</v>
      </c>
      <c r="C62" s="464">
        <f>C65+C66+C67</f>
        <v>15</v>
      </c>
      <c r="D62" s="464">
        <f>D65+D66+D67</f>
        <v>0</v>
      </c>
      <c r="E62" s="34">
        <f t="shared" si="4"/>
        <v>0</v>
      </c>
      <c r="F62" s="34">
        <f t="shared" si="3"/>
        <v>-15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340</v>
      </c>
      <c r="B67" s="47" t="s">
        <v>394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692.15</v>
      </c>
      <c r="D68" s="104">
        <f>D71+D72+D69+D70</f>
        <v>0</v>
      </c>
      <c r="E68" s="34">
        <f t="shared" si="4"/>
        <v>0</v>
      </c>
      <c r="F68" s="34">
        <f t="shared" si="3"/>
        <v>-692.15</v>
      </c>
    </row>
    <row r="69" spans="1:7" ht="16.5" customHeight="1">
      <c r="A69" s="35" t="s">
        <v>57</v>
      </c>
      <c r="B69" s="39" t="s">
        <v>58</v>
      </c>
      <c r="C69" s="105">
        <v>4.26</v>
      </c>
      <c r="D69" s="92">
        <v>0</v>
      </c>
      <c r="E69" s="38">
        <f t="shared" si="4"/>
        <v>0</v>
      </c>
      <c r="F69" s="38">
        <f t="shared" si="3"/>
        <v>-4.26</v>
      </c>
    </row>
    <row r="70" spans="1:7" s="6" customFormat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615.89</v>
      </c>
      <c r="D71" s="92">
        <v>0</v>
      </c>
      <c r="E71" s="38">
        <f t="shared" si="4"/>
        <v>0</v>
      </c>
      <c r="F71" s="38">
        <f t="shared" si="3"/>
        <v>-615.89</v>
      </c>
    </row>
    <row r="72" spans="1:7">
      <c r="A72" s="35" t="s">
        <v>63</v>
      </c>
      <c r="B72" s="39" t="s">
        <v>64</v>
      </c>
      <c r="C72" s="105">
        <v>50</v>
      </c>
      <c r="D72" s="92">
        <v>0</v>
      </c>
      <c r="E72" s="38">
        <f t="shared" si="4"/>
        <v>0</v>
      </c>
      <c r="F72" s="38">
        <f t="shared" si="3"/>
        <v>-50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633.6</v>
      </c>
      <c r="D73" s="22">
        <f>D76</f>
        <v>3.8616899999999998</v>
      </c>
      <c r="E73" s="34">
        <f t="shared" si="4"/>
        <v>0.60948390151515153</v>
      </c>
      <c r="F73" s="34">
        <f t="shared" si="3"/>
        <v>-629.73831000000007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633.6</v>
      </c>
      <c r="D76" s="92">
        <v>3.8616899999999998</v>
      </c>
      <c r="E76" s="38">
        <f t="shared" si="4"/>
        <v>0.60948390151515153</v>
      </c>
      <c r="F76" s="38">
        <f t="shared" si="3"/>
        <v>-629.73831000000007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0</v>
      </c>
      <c r="E77" s="34">
        <f t="shared" si="4"/>
        <v>0</v>
      </c>
      <c r="F77" s="34">
        <f t="shared" si="3"/>
        <v>-334.20400000000001</v>
      </c>
    </row>
    <row r="78" spans="1:7" ht="14.25" customHeight="1">
      <c r="A78" s="35" t="s">
        <v>85</v>
      </c>
      <c r="B78" s="39" t="s">
        <v>230</v>
      </c>
      <c r="C78" s="92">
        <v>334.20400000000001</v>
      </c>
      <c r="D78" s="92">
        <v>0</v>
      </c>
      <c r="E78" s="38">
        <f t="shared" si="4"/>
        <v>0</v>
      </c>
      <c r="F78" s="38">
        <f t="shared" si="3"/>
        <v>-334.20400000000001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8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3">
        <f>C52+C60+C62+C68+C73+C77+C84</f>
        <v>3015.0030000000002</v>
      </c>
      <c r="D94" s="463">
        <f>D52+D60+D62+D68+D73+D77+D79+D84+D90</f>
        <v>31.032920000000001</v>
      </c>
      <c r="E94" s="127">
        <f t="shared" si="4"/>
        <v>1.02928322127706</v>
      </c>
      <c r="F94" s="34">
        <f t="shared" si="3"/>
        <v>-2983.9700800000001</v>
      </c>
      <c r="G94" s="198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3"/>
      <c r="D96" s="183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>
      <selection activeCell="C10" sqref="C10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8" zoomScale="70" zoomScaleNormal="100" zoomScaleSheetLayoutView="70" workbookViewId="0">
      <selection activeCell="D92" sqref="D92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427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134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146.08464000000001</v>
      </c>
      <c r="E4" s="5">
        <f>SUM(D4/C4*100)</f>
        <v>4.480684104627767</v>
      </c>
      <c r="F4" s="5">
        <f>SUM(D4-C4)</f>
        <v>-3114.2353600000001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19.637720000000002</v>
      </c>
      <c r="E5" s="5">
        <f t="shared" ref="E5:E52" si="0">SUM(D5/C5*100)</f>
        <v>5.6072525840900012</v>
      </c>
      <c r="F5" s="5">
        <f t="shared" ref="F5:F52" si="1">SUM(D5-C5)</f>
        <v>-330.58228000000003</v>
      </c>
    </row>
    <row r="6" spans="1:6">
      <c r="A6" s="7">
        <v>1010200001</v>
      </c>
      <c r="B6" s="8" t="s">
        <v>225</v>
      </c>
      <c r="C6" s="9">
        <v>350.22</v>
      </c>
      <c r="D6" s="10">
        <v>19.637720000000002</v>
      </c>
      <c r="E6" s="9">
        <f t="shared" ref="E6:E11" si="2">SUM(D6/C6*100)</f>
        <v>5.6072525840900012</v>
      </c>
      <c r="F6" s="9">
        <f t="shared" si="1"/>
        <v>-330.58228000000003</v>
      </c>
    </row>
    <row r="7" spans="1:6" ht="31.5">
      <c r="A7" s="3">
        <v>1030000000</v>
      </c>
      <c r="B7" s="13" t="s">
        <v>267</v>
      </c>
      <c r="C7" s="5">
        <f>C8+C10+C9</f>
        <v>717.1</v>
      </c>
      <c r="D7" s="5">
        <f>D8+D10+D9+D11</f>
        <v>60.547480000000007</v>
      </c>
      <c r="E7" s="5">
        <f t="shared" si="2"/>
        <v>8.4433802816901409</v>
      </c>
      <c r="F7" s="5">
        <f t="shared" si="1"/>
        <v>-656.55251999999996</v>
      </c>
    </row>
    <row r="8" spans="1:6">
      <c r="A8" s="7">
        <v>1030223001</v>
      </c>
      <c r="B8" s="8" t="s">
        <v>269</v>
      </c>
      <c r="C8" s="9">
        <v>267.48</v>
      </c>
      <c r="D8" s="10">
        <v>27.809249999999999</v>
      </c>
      <c r="E8" s="9">
        <f t="shared" si="2"/>
        <v>10.396758636159712</v>
      </c>
      <c r="F8" s="9">
        <f t="shared" si="1"/>
        <v>-239.67075000000003</v>
      </c>
    </row>
    <row r="9" spans="1:6">
      <c r="A9" s="7">
        <v>1030224001</v>
      </c>
      <c r="B9" s="8" t="s">
        <v>275</v>
      </c>
      <c r="C9" s="9">
        <v>2.87</v>
      </c>
      <c r="D9" s="10">
        <v>0.16391</v>
      </c>
      <c r="E9" s="9">
        <f t="shared" si="2"/>
        <v>5.7111498257839717</v>
      </c>
      <c r="F9" s="9">
        <f t="shared" si="1"/>
        <v>-2.7060900000000001</v>
      </c>
    </row>
    <row r="10" spans="1:6">
      <c r="A10" s="7">
        <v>1030225001</v>
      </c>
      <c r="B10" s="8" t="s">
        <v>268</v>
      </c>
      <c r="C10" s="9">
        <v>446.75</v>
      </c>
      <c r="D10" s="10">
        <v>37.313519999999997</v>
      </c>
      <c r="E10" s="9">
        <f t="shared" si="2"/>
        <v>8.3522148852825957</v>
      </c>
      <c r="F10" s="9">
        <f t="shared" si="1"/>
        <v>-409.43648000000002</v>
      </c>
    </row>
    <row r="11" spans="1:6">
      <c r="A11" s="7">
        <v>1030226001</v>
      </c>
      <c r="B11" s="8" t="s">
        <v>277</v>
      </c>
      <c r="C11" s="9">
        <v>0</v>
      </c>
      <c r="D11" s="10">
        <v>-4.7392000000000003</v>
      </c>
      <c r="E11" s="9" t="e">
        <f t="shared" si="2"/>
        <v>#DIV/0!</v>
      </c>
      <c r="F11" s="9">
        <f t="shared" si="1"/>
        <v>-4.7392000000000003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65.299440000000004</v>
      </c>
      <c r="E14" s="5">
        <f t="shared" si="0"/>
        <v>3.0471040597293513</v>
      </c>
      <c r="F14" s="5">
        <f t="shared" si="1"/>
        <v>-2077.7005600000002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5.2468199999999996</v>
      </c>
      <c r="E15" s="5">
        <f t="shared" si="0"/>
        <v>0.55639660657476142</v>
      </c>
      <c r="F15" s="9">
        <f>SUM(D15-C15)</f>
        <v>-937.75318000000004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60.052619999999997</v>
      </c>
      <c r="E16" s="5">
        <f t="shared" si="0"/>
        <v>5.0043850000000001</v>
      </c>
      <c r="F16" s="9">
        <f t="shared" si="1"/>
        <v>-1139.9473800000001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0.6</v>
      </c>
      <c r="E17" s="5">
        <f t="shared" si="0"/>
        <v>6</v>
      </c>
      <c r="F17" s="5">
        <f t="shared" si="1"/>
        <v>-9.4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0.6</v>
      </c>
      <c r="E18" s="9">
        <f t="shared" si="0"/>
        <v>6</v>
      </c>
      <c r="F18" s="9">
        <f t="shared" si="1"/>
        <v>-9.4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215</v>
      </c>
      <c r="D25" s="5">
        <f>D26+D30+D32+D35+D37</f>
        <v>1.5938499999999998</v>
      </c>
      <c r="E25" s="5">
        <f t="shared" si="0"/>
        <v>0.74132558139534876</v>
      </c>
      <c r="F25" s="5">
        <f t="shared" si="1"/>
        <v>-213.40615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4.1669999999999998</v>
      </c>
      <c r="E26" s="5">
        <f t="shared" si="0"/>
        <v>1.9381395348837209</v>
      </c>
      <c r="F26" s="5">
        <f t="shared" si="1"/>
        <v>-210.833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165</v>
      </c>
      <c r="D28" s="10">
        <v>0</v>
      </c>
      <c r="E28" s="9">
        <f t="shared" si="0"/>
        <v>0</v>
      </c>
      <c r="F28" s="9">
        <f t="shared" si="1"/>
        <v>-165</v>
      </c>
    </row>
    <row r="29" spans="1:6">
      <c r="A29" s="7">
        <v>1110503000</v>
      </c>
      <c r="B29" s="11" t="s">
        <v>221</v>
      </c>
      <c r="C29" s="12">
        <v>50</v>
      </c>
      <c r="D29" s="10">
        <v>4.1669999999999998</v>
      </c>
      <c r="E29" s="9">
        <f>SUM(D29/C29*100)</f>
        <v>8.3339999999999996</v>
      </c>
      <c r="F29" s="9">
        <f t="shared" si="1"/>
        <v>-45.832999999999998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8" customHeight="1">
      <c r="A31" s="7">
        <v>1130206005</v>
      </c>
      <c r="B31" s="8" t="s">
        <v>220</v>
      </c>
      <c r="C31" s="9">
        <v>0</v>
      </c>
      <c r="D31" s="10">
        <v>0</v>
      </c>
      <c r="E31" s="9" t="e">
        <f>SUM(D31/C31*100)</f>
        <v>#DIV/0!</v>
      </c>
      <c r="F31" s="9">
        <f t="shared" si="1"/>
        <v>0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100">
        <v>1160000000</v>
      </c>
      <c r="B35" s="13" t="s">
        <v>241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customHeight="1">
      <c r="A36" s="7">
        <v>1160701010</v>
      </c>
      <c r="B36" s="8" t="s">
        <v>405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4.7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-2.57315</v>
      </c>
      <c r="E37" s="5" t="e">
        <f t="shared" si="0"/>
        <v>#DIV/0!</v>
      </c>
      <c r="F37" s="5">
        <f t="shared" si="1"/>
        <v>-2.57315</v>
      </c>
    </row>
    <row r="38" spans="1:7" ht="22.5" customHeight="1">
      <c r="A38" s="7">
        <v>1170105005</v>
      </c>
      <c r="B38" s="8" t="s">
        <v>15</v>
      </c>
      <c r="C38" s="9">
        <v>0</v>
      </c>
      <c r="D38" s="9">
        <v>-2.57315</v>
      </c>
      <c r="E38" s="9" t="e">
        <f t="shared" si="0"/>
        <v>#DIV/0!</v>
      </c>
      <c r="F38" s="9">
        <f t="shared" si="1"/>
        <v>-2.57315</v>
      </c>
    </row>
    <row r="39" spans="1:7" ht="43.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6">
        <f>SUM(C4,C25)</f>
        <v>3475.32</v>
      </c>
      <c r="D40" s="126">
        <f>D4+D25</f>
        <v>147.67849000000001</v>
      </c>
      <c r="E40" s="5">
        <f t="shared" si="0"/>
        <v>4.2493494124282085</v>
      </c>
      <c r="F40" s="5">
        <f t="shared" si="1"/>
        <v>-3327.6415100000004</v>
      </c>
    </row>
    <row r="41" spans="1:7" s="6" customFormat="1" ht="20.25" customHeight="1">
      <c r="A41" s="3">
        <v>2000000000</v>
      </c>
      <c r="B41" s="4" t="s">
        <v>17</v>
      </c>
      <c r="C41" s="449">
        <f>C42+C43+C44+C46+C47+C45+C48</f>
        <v>9832.1780299999991</v>
      </c>
      <c r="D41" s="449">
        <f>D42+D43+D44+D46+D47+D45+D48</f>
        <v>520.2704</v>
      </c>
      <c r="E41" s="5">
        <f t="shared" si="0"/>
        <v>5.2915071148279447</v>
      </c>
      <c r="F41" s="5">
        <f t="shared" si="1"/>
        <v>-9311.9076299999997</v>
      </c>
      <c r="G41" s="19"/>
    </row>
    <row r="42" spans="1:7" ht="19.5" customHeight="1">
      <c r="A42" s="16">
        <v>2021000000</v>
      </c>
      <c r="B42" s="17" t="s">
        <v>18</v>
      </c>
      <c r="C42" s="450">
        <v>6036.4</v>
      </c>
      <c r="D42" s="451">
        <v>503.03699999999998</v>
      </c>
      <c r="E42" s="9">
        <f t="shared" si="0"/>
        <v>8.3333940759393013</v>
      </c>
      <c r="F42" s="9">
        <f t="shared" si="1"/>
        <v>-5533.3629999999994</v>
      </c>
    </row>
    <row r="43" spans="1:7" ht="27.75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3555.4910300000001</v>
      </c>
      <c r="D44" s="10">
        <v>0</v>
      </c>
      <c r="E44" s="9">
        <f t="shared" si="0"/>
        <v>0</v>
      </c>
      <c r="F44" s="9">
        <f t="shared" si="1"/>
        <v>-3555.4910300000001</v>
      </c>
    </row>
    <row r="45" spans="1:7" ht="23.25" hidden="1" customHeight="1">
      <c r="A45" s="16">
        <v>2022999910</v>
      </c>
      <c r="B45" s="18" t="s">
        <v>332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215.28700000000001</v>
      </c>
      <c r="D46" s="185">
        <v>17.2334</v>
      </c>
      <c r="E46" s="9">
        <f t="shared" si="0"/>
        <v>8.0048493406476009</v>
      </c>
      <c r="F46" s="9">
        <f t="shared" si="1"/>
        <v>-198.05360000000002</v>
      </c>
    </row>
    <row r="47" spans="1:7" ht="14.25" customHeight="1">
      <c r="A47" s="16">
        <v>2020400000</v>
      </c>
      <c r="B47" s="17" t="s">
        <v>21</v>
      </c>
      <c r="C47" s="12">
        <v>25</v>
      </c>
      <c r="D47" s="186">
        <v>0</v>
      </c>
      <c r="E47" s="9">
        <f t="shared" si="0"/>
        <v>0</v>
      </c>
      <c r="F47" s="9">
        <f t="shared" si="1"/>
        <v>-25</v>
      </c>
    </row>
    <row r="48" spans="1:7" ht="16.5" customHeight="1">
      <c r="A48" s="7">
        <v>2070500010</v>
      </c>
      <c r="B48" s="17" t="s">
        <v>333</v>
      </c>
      <c r="C48" s="12">
        <v>0</v>
      </c>
      <c r="D48" s="186">
        <v>0</v>
      </c>
      <c r="E48" s="9" t="e">
        <f t="shared" si="0"/>
        <v>#DIV/0!</v>
      </c>
      <c r="F48" s="9">
        <f t="shared" si="1"/>
        <v>0</v>
      </c>
    </row>
    <row r="49" spans="1:8" ht="47.25" hidden="1">
      <c r="A49" s="16">
        <v>2020900000</v>
      </c>
      <c r="B49" s="18" t="s">
        <v>22</v>
      </c>
      <c r="C49" s="271"/>
      <c r="D49" s="270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9">
        <v>0</v>
      </c>
      <c r="D50" s="269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2">
        <v>0</v>
      </c>
      <c r="D51" s="269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2">
        <f>SUM(C40,C41,C51)</f>
        <v>13307.498029999999</v>
      </c>
      <c r="D52" s="472">
        <f>D40+D41</f>
        <v>667.94889000000001</v>
      </c>
      <c r="E52" s="5">
        <f t="shared" si="0"/>
        <v>5.0193423924932947</v>
      </c>
      <c r="F52" s="5">
        <f t="shared" si="1"/>
        <v>-12639.549139999999</v>
      </c>
      <c r="G52" s="94"/>
      <c r="H52" s="94"/>
    </row>
    <row r="53" spans="1:8" s="6" customFormat="1">
      <c r="A53" s="3"/>
      <c r="B53" s="21" t="s">
        <v>307</v>
      </c>
      <c r="C53" s="5">
        <f>C52-C101</f>
        <v>0</v>
      </c>
      <c r="D53" s="5">
        <f>D52-D101</f>
        <v>626.94889000000001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5" t="s">
        <v>418</v>
      </c>
      <c r="D55" s="146" t="s">
        <v>426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2045.3389999999999</v>
      </c>
      <c r="D57" s="102">
        <f>D58+D59+D60+D61+D62+D64+D63</f>
        <v>37</v>
      </c>
      <c r="E57" s="34">
        <f>SUM(D57/C57*100)</f>
        <v>1.8089910767848265</v>
      </c>
      <c r="F57" s="34">
        <f>SUM(D57-C57)</f>
        <v>-2008.3389999999999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7">
        <v>1939.6</v>
      </c>
      <c r="D59" s="92">
        <v>37</v>
      </c>
      <c r="E59" s="38">
        <f t="shared" ref="E59:E101" si="3">SUM(D59/C59*100)</f>
        <v>1.9076098164570017</v>
      </c>
      <c r="F59" s="38">
        <f t="shared" ref="F59:F101" si="4">SUM(D59-C59)</f>
        <v>-1902.6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5.7389999999999999</v>
      </c>
      <c r="D64" s="92">
        <v>0</v>
      </c>
      <c r="E64" s="38">
        <f t="shared" si="3"/>
        <v>0</v>
      </c>
      <c r="F64" s="38">
        <f t="shared" si="4"/>
        <v>-5.7389999999999999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4</v>
      </c>
      <c r="E65" s="34">
        <f t="shared" si="3"/>
        <v>1.9345446807275821</v>
      </c>
      <c r="F65" s="34">
        <f t="shared" si="4"/>
        <v>-202.767</v>
      </c>
    </row>
    <row r="66" spans="1:7">
      <c r="A66" s="43" t="s">
        <v>45</v>
      </c>
      <c r="B66" s="44" t="s">
        <v>46</v>
      </c>
      <c r="C66" s="92">
        <v>206.767</v>
      </c>
      <c r="D66" s="92">
        <v>4</v>
      </c>
      <c r="E66" s="38">
        <f t="shared" si="3"/>
        <v>1.9345446807275821</v>
      </c>
      <c r="F66" s="38">
        <f t="shared" si="4"/>
        <v>-202.767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315</v>
      </c>
      <c r="D67" s="22">
        <f>D70+D72+D71</f>
        <v>0</v>
      </c>
      <c r="E67" s="34">
        <f t="shared" si="3"/>
        <v>0</v>
      </c>
      <c r="F67" s="34">
        <f t="shared" si="4"/>
        <v>-315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3</v>
      </c>
      <c r="D70" s="92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92">
        <v>310</v>
      </c>
      <c r="D71" s="92">
        <v>0</v>
      </c>
      <c r="E71" s="38">
        <f t="shared" ref="E71" si="5">SUM(D71/C71*100)</f>
        <v>0</v>
      </c>
      <c r="F71" s="38">
        <f t="shared" ref="F71" si="6">SUM(D71-C71)</f>
        <v>-310</v>
      </c>
    </row>
    <row r="72" spans="1:7" ht="15.75" customHeight="1">
      <c r="A72" s="46" t="s">
        <v>340</v>
      </c>
      <c r="B72" s="47" t="s">
        <v>341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6" t="s">
        <v>55</v>
      </c>
      <c r="B73" s="31" t="s">
        <v>56</v>
      </c>
      <c r="C73" s="104">
        <f>C75+C76+C77+C74</f>
        <v>2118.9299999999998</v>
      </c>
      <c r="D73" s="104">
        <f>SUM(D74:D77)</f>
        <v>0</v>
      </c>
      <c r="E73" s="34">
        <f t="shared" si="3"/>
        <v>0</v>
      </c>
      <c r="F73" s="34">
        <f t="shared" si="4"/>
        <v>-2118.9299999999998</v>
      </c>
    </row>
    <row r="74" spans="1:7" ht="15.75" customHeight="1">
      <c r="A74" s="35" t="s">
        <v>57</v>
      </c>
      <c r="B74" s="39" t="s">
        <v>58</v>
      </c>
      <c r="C74" s="105">
        <v>8.52</v>
      </c>
      <c r="D74" s="92">
        <v>0</v>
      </c>
      <c r="E74" s="38">
        <f t="shared" si="3"/>
        <v>0</v>
      </c>
      <c r="F74" s="38">
        <f t="shared" si="4"/>
        <v>-8.52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1910.41</v>
      </c>
      <c r="D76" s="92">
        <v>0</v>
      </c>
      <c r="E76" s="38">
        <f t="shared" si="3"/>
        <v>0</v>
      </c>
      <c r="F76" s="38">
        <f t="shared" si="4"/>
        <v>-1910.41</v>
      </c>
    </row>
    <row r="77" spans="1:7">
      <c r="A77" s="35" t="s">
        <v>63</v>
      </c>
      <c r="B77" s="39" t="s">
        <v>64</v>
      </c>
      <c r="C77" s="105">
        <v>200</v>
      </c>
      <c r="D77" s="92">
        <v>0</v>
      </c>
      <c r="E77" s="38">
        <f t="shared" si="3"/>
        <v>0</v>
      </c>
      <c r="F77" s="38">
        <f t="shared" si="4"/>
        <v>-200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5123.2620299999999</v>
      </c>
      <c r="D78" s="22">
        <f>SUM(D79:D82)</f>
        <v>0</v>
      </c>
      <c r="E78" s="34">
        <f t="shared" si="3"/>
        <v>0</v>
      </c>
      <c r="F78" s="34">
        <f t="shared" si="4"/>
        <v>-5123.2620299999999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92">
        <v>920</v>
      </c>
      <c r="D80" s="92"/>
      <c r="E80" s="38">
        <f t="shared" si="3"/>
        <v>0</v>
      </c>
      <c r="F80" s="38">
        <f t="shared" si="4"/>
        <v>-920</v>
      </c>
    </row>
    <row r="81" spans="1:6" ht="15" customHeight="1">
      <c r="A81" s="35" t="s">
        <v>71</v>
      </c>
      <c r="B81" s="39" t="s">
        <v>72</v>
      </c>
      <c r="C81" s="92">
        <v>4203.2620299999999</v>
      </c>
      <c r="D81" s="92">
        <v>0</v>
      </c>
      <c r="E81" s="38">
        <f t="shared" si="3"/>
        <v>0</v>
      </c>
      <c r="F81" s="38">
        <f t="shared" si="4"/>
        <v>-4203.2620299999999</v>
      </c>
    </row>
    <row r="82" spans="1:6" ht="18" hidden="1" customHeight="1">
      <c r="A82" s="35" t="s">
        <v>252</v>
      </c>
      <c r="B82" s="39" t="s">
        <v>253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3448.2</v>
      </c>
      <c r="D83" s="22">
        <f>D84+D85</f>
        <v>0</v>
      </c>
      <c r="E83" s="34">
        <f t="shared" si="3"/>
        <v>0</v>
      </c>
      <c r="F83" s="34">
        <f t="shared" si="4"/>
        <v>-3448.2</v>
      </c>
    </row>
    <row r="84" spans="1:6" ht="14.25" customHeight="1">
      <c r="A84" s="35" t="s">
        <v>85</v>
      </c>
      <c r="B84" s="39" t="s">
        <v>230</v>
      </c>
      <c r="C84" s="92">
        <v>3448.2</v>
      </c>
      <c r="D84" s="92">
        <v>0</v>
      </c>
      <c r="E84" s="38">
        <f t="shared" si="3"/>
        <v>0</v>
      </c>
      <c r="F84" s="38">
        <f t="shared" si="4"/>
        <v>-3448.2</v>
      </c>
    </row>
    <row r="85" spans="1:6" ht="14.25" hidden="1" customHeight="1">
      <c r="A85" s="35" t="s">
        <v>259</v>
      </c>
      <c r="B85" s="39" t="s">
        <v>260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8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0</v>
      </c>
      <c r="E91" s="34">
        <f t="shared" si="3"/>
        <v>0</v>
      </c>
      <c r="F91" s="22">
        <f>F92+F93+F94+F95+F96</f>
        <v>-50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0</v>
      </c>
      <c r="E92" s="38">
        <f t="shared" si="3"/>
        <v>0</v>
      </c>
      <c r="F92" s="38">
        <f>SUM(D92-C92)</f>
        <v>-50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5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63">
        <f>C57+C65+C67+C73+C78+C83+C91+C86+C97</f>
        <v>13307.498029999999</v>
      </c>
      <c r="D101" s="463">
        <f>D57+D65+D67+D73+D78+D83+D91+D86+D97</f>
        <v>41</v>
      </c>
      <c r="E101" s="34">
        <f t="shared" si="3"/>
        <v>0.3080969834267186</v>
      </c>
      <c r="F101" s="34">
        <f t="shared" si="4"/>
        <v>-13266.498029999999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61528DAC-5C4C-48F4-ADE2-8A724B05A086}" scale="70" showPageBreaks="1" printArea="1" hiddenRows="1" view="pageBreakPreview" topLeftCell="A38">
      <selection activeCell="D92" sqref="D92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4"/>
  <sheetViews>
    <sheetView view="pageBreakPreview" topLeftCell="A24" zoomScale="70" zoomScaleNormal="100" zoomScaleSheetLayoutView="70" workbookViewId="0">
      <selection activeCell="D33" sqref="D3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428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419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75.734580000000008</v>
      </c>
      <c r="E4" s="5">
        <f>SUM(D4/C4*100)</f>
        <v>4.1022094150656221</v>
      </c>
      <c r="F4" s="5">
        <f>SUM(D4-C4)</f>
        <v>-1770.45542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3.2137500000000001</v>
      </c>
      <c r="E5" s="5">
        <f t="shared" ref="E5:E53" si="0">SUM(D5/C5*100)</f>
        <v>4.5488322717622074</v>
      </c>
      <c r="F5" s="5">
        <f t="shared" ref="F5:F53" si="1">SUM(D5-C5)</f>
        <v>-67.436250000000001</v>
      </c>
    </row>
    <row r="6" spans="1:6">
      <c r="A6" s="7">
        <v>1010200001</v>
      </c>
      <c r="B6" s="8" t="s">
        <v>225</v>
      </c>
      <c r="C6" s="9">
        <v>70.650000000000006</v>
      </c>
      <c r="D6" s="10">
        <v>3.2137500000000001</v>
      </c>
      <c r="E6" s="9">
        <f t="shared" ref="E6:E11" si="2">SUM(D6/C6*100)</f>
        <v>4.5488322717622074</v>
      </c>
      <c r="F6" s="9">
        <f t="shared" si="1"/>
        <v>-67.436250000000001</v>
      </c>
    </row>
    <row r="7" spans="1:6" ht="31.5">
      <c r="A7" s="3">
        <v>1030000000</v>
      </c>
      <c r="B7" s="13" t="s">
        <v>267</v>
      </c>
      <c r="C7" s="5">
        <f>C8+C10+C9</f>
        <v>677.54000000000008</v>
      </c>
      <c r="D7" s="5">
        <f>D8+D10+D9+D11</f>
        <v>57.20694000000001</v>
      </c>
      <c r="E7" s="9">
        <f t="shared" si="2"/>
        <v>8.4433302830829184</v>
      </c>
      <c r="F7" s="9">
        <f t="shared" si="1"/>
        <v>-620.33306000000005</v>
      </c>
    </row>
    <row r="8" spans="1:6">
      <c r="A8" s="7">
        <v>1030223001</v>
      </c>
      <c r="B8" s="8" t="s">
        <v>269</v>
      </c>
      <c r="C8" s="9">
        <v>252.72</v>
      </c>
      <c r="D8" s="10">
        <v>26.27495</v>
      </c>
      <c r="E8" s="9">
        <f t="shared" si="2"/>
        <v>10.396862139917696</v>
      </c>
      <c r="F8" s="9">
        <f t="shared" si="1"/>
        <v>-226.44505000000001</v>
      </c>
    </row>
    <row r="9" spans="1:6">
      <c r="A9" s="7">
        <v>1030224001</v>
      </c>
      <c r="B9" s="8" t="s">
        <v>275</v>
      </c>
      <c r="C9" s="9">
        <v>2.71</v>
      </c>
      <c r="D9" s="10">
        <v>0.15489</v>
      </c>
      <c r="E9" s="9">
        <f t="shared" si="2"/>
        <v>5.7154981549815496</v>
      </c>
      <c r="F9" s="9">
        <f t="shared" si="1"/>
        <v>-2.55511</v>
      </c>
    </row>
    <row r="10" spans="1:6">
      <c r="A10" s="7">
        <v>1030225001</v>
      </c>
      <c r="B10" s="8" t="s">
        <v>268</v>
      </c>
      <c r="C10" s="9">
        <v>422.11</v>
      </c>
      <c r="D10" s="10">
        <v>35.254840000000002</v>
      </c>
      <c r="E10" s="9">
        <f t="shared" si="2"/>
        <v>8.3520504133993505</v>
      </c>
      <c r="F10" s="9">
        <f t="shared" si="1"/>
        <v>-386.85516000000001</v>
      </c>
    </row>
    <row r="11" spans="1:6">
      <c r="A11" s="7">
        <v>1030226001</v>
      </c>
      <c r="B11" s="8" t="s">
        <v>277</v>
      </c>
      <c r="C11" s="9">
        <v>0</v>
      </c>
      <c r="D11" s="10">
        <v>-4.4777399999999998</v>
      </c>
      <c r="E11" s="9" t="e">
        <f t="shared" si="2"/>
        <v>#DIV/0!</v>
      </c>
      <c r="F11" s="9">
        <f t="shared" si="1"/>
        <v>-4.4777399999999998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15.313889999999999</v>
      </c>
      <c r="E14" s="5">
        <f t="shared" si="0"/>
        <v>1.412720479704797</v>
      </c>
      <c r="F14" s="5">
        <f t="shared" si="1"/>
        <v>-1068.6861100000001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2.6290900000000001</v>
      </c>
      <c r="E15" s="9">
        <f t="shared" si="0"/>
        <v>0.78715269461077841</v>
      </c>
      <c r="F15" s="9">
        <f>SUM(D15-C15)</f>
        <v>-331.37090999999998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12.684799999999999</v>
      </c>
      <c r="E16" s="9">
        <f t="shared" si="0"/>
        <v>1.6913066666666667</v>
      </c>
      <c r="F16" s="9">
        <f t="shared" si="1"/>
        <v>-737.3152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384.6</v>
      </c>
      <c r="D25" s="5">
        <f>D26+D30+D32+D38+D35</f>
        <v>24.753399999999999</v>
      </c>
      <c r="E25" s="5">
        <f t="shared" si="0"/>
        <v>6.4361414456578254</v>
      </c>
      <c r="F25" s="5">
        <f t="shared" si="1"/>
        <v>-359.84660000000002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3.05</v>
      </c>
      <c r="E26" s="5">
        <f t="shared" si="0"/>
        <v>0.79303172126885069</v>
      </c>
      <c r="F26" s="5">
        <f t="shared" si="1"/>
        <v>-381.55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354</v>
      </c>
      <c r="D28" s="10">
        <v>3.05</v>
      </c>
      <c r="E28" s="9">
        <f t="shared" si="0"/>
        <v>0.8615819209039548</v>
      </c>
      <c r="F28" s="9">
        <f t="shared" si="1"/>
        <v>-350.95</v>
      </c>
    </row>
    <row r="29" spans="1:6" ht="18" customHeight="1">
      <c r="A29" s="7">
        <v>1110503505</v>
      </c>
      <c r="B29" s="11" t="s">
        <v>221</v>
      </c>
      <c r="C29" s="12">
        <v>30.6</v>
      </c>
      <c r="D29" s="10">
        <v>0</v>
      </c>
      <c r="E29" s="9">
        <f t="shared" si="0"/>
        <v>0</v>
      </c>
      <c r="F29" s="9">
        <f t="shared" si="1"/>
        <v>-30.6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>
      <c r="A31" s="7">
        <v>1130206510</v>
      </c>
      <c r="B31" s="8" t="s">
        <v>14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7.25" customHeight="1">
      <c r="A32" s="70">
        <v>1140000000</v>
      </c>
      <c r="B32" s="71" t="s">
        <v>129</v>
      </c>
      <c r="C32" s="5">
        <f>C34</f>
        <v>0</v>
      </c>
      <c r="D32" s="5">
        <f>D33+D34</f>
        <v>21.555</v>
      </c>
      <c r="E32" s="5" t="e">
        <f t="shared" si="0"/>
        <v>#DIV/0!</v>
      </c>
      <c r="F32" s="5">
        <f t="shared" si="1"/>
        <v>21.555</v>
      </c>
    </row>
    <row r="33" spans="1:7">
      <c r="A33" s="16">
        <v>1140200000</v>
      </c>
      <c r="B33" s="18" t="s">
        <v>130</v>
      </c>
      <c r="C33" s="9">
        <v>0</v>
      </c>
      <c r="D33" s="10">
        <v>21.555</v>
      </c>
      <c r="E33" s="9" t="e">
        <f t="shared" si="0"/>
        <v>#DIV/0!</v>
      </c>
      <c r="F33" s="9">
        <f t="shared" si="1"/>
        <v>21.555</v>
      </c>
    </row>
    <row r="34" spans="1:7" ht="1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241</v>
      </c>
      <c r="C35" s="5">
        <f>C37+C36</f>
        <v>0</v>
      </c>
      <c r="D35" s="5">
        <f>D37+D36</f>
        <v>0.1484</v>
      </c>
      <c r="E35" s="5" t="e">
        <f t="shared" si="0"/>
        <v>#DIV/0!</v>
      </c>
      <c r="F35" s="5">
        <f t="shared" si="1"/>
        <v>0.1484</v>
      </c>
    </row>
    <row r="36" spans="1:7" ht="24.75" customHeight="1">
      <c r="A36" s="7">
        <v>1160709000</v>
      </c>
      <c r="B36" s="8" t="s">
        <v>429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30.75" customHeight="1">
      <c r="A37" s="7">
        <v>1169005010</v>
      </c>
      <c r="B37" s="8" t="s">
        <v>309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1" customFormat="1" ht="21.75" hidden="1" customHeight="1">
      <c r="A40" s="278">
        <v>1170505005</v>
      </c>
      <c r="B40" s="279" t="s">
        <v>217</v>
      </c>
      <c r="C40" s="147">
        <v>0</v>
      </c>
      <c r="D40" s="447">
        <v>0</v>
      </c>
      <c r="E40" s="280" t="e">
        <f t="shared" si="0"/>
        <v>#DIV/0!</v>
      </c>
      <c r="F40" s="280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2230.79</v>
      </c>
      <c r="D41" s="126">
        <f>D4+D25</f>
        <v>100.48798000000001</v>
      </c>
      <c r="E41" s="5">
        <f t="shared" si="0"/>
        <v>4.5045916469053564</v>
      </c>
      <c r="F41" s="5">
        <f t="shared" si="1"/>
        <v>-2130.3020200000001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4356.357</v>
      </c>
      <c r="D42" s="5">
        <f>D43+D45+D47+D48+D49+D50+D44+D46+D52</f>
        <v>267.42739999999998</v>
      </c>
      <c r="E42" s="5">
        <f t="shared" si="0"/>
        <v>6.1387852281160606</v>
      </c>
      <c r="F42" s="5">
        <f t="shared" si="1"/>
        <v>-4088.9295999999999</v>
      </c>
      <c r="G42" s="19"/>
    </row>
    <row r="43" spans="1:7">
      <c r="A43" s="16">
        <v>2021000000</v>
      </c>
      <c r="B43" s="17" t="s">
        <v>18</v>
      </c>
      <c r="C43" s="448">
        <v>3002.3</v>
      </c>
      <c r="D43" s="20">
        <v>250.19399999999999</v>
      </c>
      <c r="E43" s="9">
        <f t="shared" si="0"/>
        <v>8.3334110515271611</v>
      </c>
      <c r="F43" s="9">
        <f t="shared" si="1"/>
        <v>-2752.1060000000002</v>
      </c>
    </row>
    <row r="44" spans="1:7">
      <c r="A44" s="16">
        <v>2021500200</v>
      </c>
      <c r="B44" s="17" t="s">
        <v>228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1093.03</v>
      </c>
      <c r="D45" s="10">
        <v>0</v>
      </c>
      <c r="E45" s="9">
        <f t="shared" si="0"/>
        <v>0</v>
      </c>
      <c r="F45" s="9">
        <f t="shared" si="1"/>
        <v>-1093.03</v>
      </c>
    </row>
    <row r="46" spans="1:7">
      <c r="A46" s="16">
        <v>2022999910</v>
      </c>
      <c r="B46" s="18" t="s">
        <v>332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211.02699999999999</v>
      </c>
      <c r="D47" s="185">
        <v>17.2334</v>
      </c>
      <c r="E47" s="9">
        <f>SUM(D47/C47*100)</f>
        <v>8.1664431565629041</v>
      </c>
      <c r="F47" s="9">
        <f>SUM(D47-C47)</f>
        <v>-193.7936</v>
      </c>
    </row>
    <row r="48" spans="1:7">
      <c r="A48" s="16">
        <v>2024000000</v>
      </c>
      <c r="B48" s="17" t="s">
        <v>21</v>
      </c>
      <c r="C48" s="12">
        <v>50</v>
      </c>
      <c r="D48" s="186"/>
      <c r="E48" s="9">
        <f t="shared" si="0"/>
        <v>0</v>
      </c>
      <c r="F48" s="9">
        <f t="shared" si="1"/>
        <v>-50</v>
      </c>
    </row>
    <row r="49" spans="1:8" ht="30" customHeight="1">
      <c r="A49" s="16">
        <v>2020700000</v>
      </c>
      <c r="B49" s="18" t="s">
        <v>22</v>
      </c>
      <c r="C49" s="12"/>
      <c r="D49" s="186"/>
      <c r="E49" s="9" t="e">
        <f t="shared" si="0"/>
        <v>#DIV/0!</v>
      </c>
      <c r="F49" s="9">
        <f t="shared" si="1"/>
        <v>0</v>
      </c>
    </row>
    <row r="50" spans="1:8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>
      <c r="A51" s="3">
        <v>3000000000</v>
      </c>
      <c r="B51" s="13" t="s">
        <v>24</v>
      </c>
      <c r="C51" s="189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339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2">
        <f>C41+C42</f>
        <v>6587.1469999999999</v>
      </c>
      <c r="D53" s="473">
        <f>D41+D42</f>
        <v>367.91537999999997</v>
      </c>
      <c r="E53" s="5">
        <f t="shared" si="0"/>
        <v>5.5853525054169886</v>
      </c>
      <c r="F53" s="5">
        <f t="shared" si="1"/>
        <v>-6219.2316199999996</v>
      </c>
      <c r="G53" s="94"/>
      <c r="H53" s="94"/>
    </row>
    <row r="54" spans="1:8" s="6" customFormat="1">
      <c r="A54" s="3"/>
      <c r="B54" s="21" t="s">
        <v>307</v>
      </c>
      <c r="C54" s="5">
        <f>C53-C102</f>
        <v>0</v>
      </c>
      <c r="D54" s="5">
        <f>D53-D102</f>
        <v>297.45620999999994</v>
      </c>
      <c r="E54" s="22"/>
      <c r="F54" s="22"/>
    </row>
    <row r="55" spans="1:8" ht="32.25" customHeight="1">
      <c r="A55" s="23"/>
      <c r="B55" s="24"/>
      <c r="C55" s="182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418</v>
      </c>
      <c r="D56" s="73" t="s">
        <v>419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1544.307</v>
      </c>
      <c r="D58" s="102">
        <f>D59+D60+D61+D62+D63+D65+D64</f>
        <v>51.25712</v>
      </c>
      <c r="E58" s="34">
        <f>SUM(D58/C58*100)</f>
        <v>3.319101707108755</v>
      </c>
      <c r="F58" s="34">
        <f>SUM(D58-C58)</f>
        <v>-1493.04988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1523.7</v>
      </c>
      <c r="D60" s="92">
        <v>51.25712</v>
      </c>
      <c r="E60" s="38">
        <f t="shared" ref="E60:E102" si="3">SUM(D60/C60*100)</f>
        <v>3.3639902868018634</v>
      </c>
      <c r="F60" s="38">
        <f t="shared" ref="F60:F102" si="4">SUM(D60-C60)</f>
        <v>-1472.4428800000001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3.6070000000000002</v>
      </c>
      <c r="D65" s="92">
        <v>0</v>
      </c>
      <c r="E65" s="38">
        <f t="shared" si="3"/>
        <v>0</v>
      </c>
      <c r="F65" s="38">
        <f t="shared" si="4"/>
        <v>-3.6070000000000002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4</v>
      </c>
      <c r="E66" s="34">
        <f t="shared" si="3"/>
        <v>1.9345446807275821</v>
      </c>
      <c r="F66" s="34">
        <f t="shared" si="4"/>
        <v>-202.767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4</v>
      </c>
      <c r="E67" s="38">
        <f t="shared" si="3"/>
        <v>1.9345446807275821</v>
      </c>
      <c r="F67" s="38">
        <f t="shared" si="4"/>
        <v>-202.767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0</v>
      </c>
      <c r="E68" s="34">
        <f t="shared" si="3"/>
        <v>0</v>
      </c>
      <c r="F68" s="34">
        <f t="shared" si="4"/>
        <v>-15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215</v>
      </c>
      <c r="B72" s="47" t="s">
        <v>216</v>
      </c>
      <c r="C72" s="92">
        <v>10</v>
      </c>
      <c r="D72" s="92">
        <v>0</v>
      </c>
      <c r="E72" s="38">
        <f t="shared" si="3"/>
        <v>0</v>
      </c>
      <c r="F72" s="38">
        <f t="shared" si="4"/>
        <v>-10</v>
      </c>
    </row>
    <row r="73" spans="1:7" ht="17.25" customHeight="1">
      <c r="A73" s="46" t="s">
        <v>340</v>
      </c>
      <c r="B73" s="47" t="s">
        <v>391</v>
      </c>
      <c r="C73" s="92">
        <v>2</v>
      </c>
      <c r="D73" s="92">
        <v>0</v>
      </c>
      <c r="E73" s="38">
        <f>SUM(D73/C73*100)</f>
        <v>0</v>
      </c>
      <c r="F73" s="38">
        <f>SUM(D73-C73)</f>
        <v>-2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2196.98</v>
      </c>
      <c r="D74" s="104">
        <f>SUM(D75:D78)</f>
        <v>0</v>
      </c>
      <c r="E74" s="34">
        <f t="shared" si="3"/>
        <v>0</v>
      </c>
      <c r="F74" s="34">
        <f t="shared" si="4"/>
        <v>-2196.98</v>
      </c>
    </row>
    <row r="75" spans="1:7" ht="17.25" customHeight="1">
      <c r="A75" s="35" t="s">
        <v>57</v>
      </c>
      <c r="B75" s="39" t="s">
        <v>58</v>
      </c>
      <c r="C75" s="105">
        <v>4.26</v>
      </c>
      <c r="D75" s="92">
        <v>0</v>
      </c>
      <c r="E75" s="38">
        <f t="shared" si="3"/>
        <v>0</v>
      </c>
      <c r="F75" s="38">
        <f t="shared" si="4"/>
        <v>-4.26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1947.57</v>
      </c>
      <c r="D77" s="92">
        <v>0</v>
      </c>
      <c r="E77" s="38">
        <f t="shared" si="3"/>
        <v>0</v>
      </c>
      <c r="F77" s="38">
        <f t="shared" si="4"/>
        <v>-1947.57</v>
      </c>
    </row>
    <row r="78" spans="1:7" ht="16.5" customHeight="1">
      <c r="A78" s="35" t="s">
        <v>63</v>
      </c>
      <c r="B78" s="39" t="s">
        <v>64</v>
      </c>
      <c r="C78" s="105">
        <v>245.15</v>
      </c>
      <c r="D78" s="92">
        <v>0</v>
      </c>
      <c r="E78" s="38">
        <f t="shared" si="3"/>
        <v>0</v>
      </c>
      <c r="F78" s="38">
        <f t="shared" si="4"/>
        <v>-245.15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215</v>
      </c>
      <c r="B80" s="47" t="s">
        <v>216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814.99299999999994</v>
      </c>
      <c r="D81" s="22">
        <f>SUM(D82:D84)</f>
        <v>0</v>
      </c>
      <c r="E81" s="34">
        <f t="shared" si="3"/>
        <v>0</v>
      </c>
      <c r="F81" s="34">
        <f t="shared" si="4"/>
        <v>-814.99299999999994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397.49299999999999</v>
      </c>
      <c r="D83" s="92">
        <v>0</v>
      </c>
      <c r="E83" s="38">
        <f t="shared" si="3"/>
        <v>0</v>
      </c>
      <c r="F83" s="38">
        <f t="shared" si="4"/>
        <v>-397.49299999999999</v>
      </c>
    </row>
    <row r="84" spans="1:6" ht="18" customHeight="1">
      <c r="A84" s="35" t="s">
        <v>71</v>
      </c>
      <c r="B84" s="39" t="s">
        <v>72</v>
      </c>
      <c r="C84" s="92">
        <v>417.5</v>
      </c>
      <c r="D84" s="92">
        <v>0</v>
      </c>
      <c r="E84" s="38">
        <f t="shared" si="3"/>
        <v>0</v>
      </c>
      <c r="F84" s="38">
        <f t="shared" si="4"/>
        <v>-417.5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1799.1</v>
      </c>
      <c r="D85" s="22">
        <f>SUM(D86)</f>
        <v>15.20205</v>
      </c>
      <c r="E85" s="34">
        <f t="shared" si="3"/>
        <v>0.84498082374520589</v>
      </c>
      <c r="F85" s="34">
        <f t="shared" si="4"/>
        <v>-1783.8979499999998</v>
      </c>
    </row>
    <row r="86" spans="1:6" ht="14.25" customHeight="1">
      <c r="A86" s="35" t="s">
        <v>85</v>
      </c>
      <c r="B86" s="39" t="s">
        <v>230</v>
      </c>
      <c r="C86" s="92">
        <v>1799.1</v>
      </c>
      <c r="D86" s="92">
        <v>15.20205</v>
      </c>
      <c r="E86" s="38">
        <f t="shared" si="3"/>
        <v>0.84498082374520589</v>
      </c>
      <c r="F86" s="38">
        <f t="shared" si="4"/>
        <v>-1783.8979499999998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8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63">
        <f>C58+C66+C68+C74+C81+C85+C87+C92+C79</f>
        <v>6587.1470000000008</v>
      </c>
      <c r="D102" s="463">
        <f>D58+D66+D68+D74+D81+D85+D92+D87</f>
        <v>70.45917</v>
      </c>
      <c r="E102" s="34">
        <f t="shared" si="3"/>
        <v>1.0696462368306034</v>
      </c>
      <c r="F102" s="34">
        <f t="shared" si="4"/>
        <v>-6516.6878300000008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61528DAC-5C4C-48F4-ADE2-8A724B05A086}" scale="70" showPageBreaks="1" fitToPage="1" printArea="1" hiddenRows="1" view="pageBreakPreview" topLeftCell="A24">
      <selection activeCell="D33" sqref="D33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53" sqref="C53:D53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2">
        <f>C5+C12+C14+C17+C20+C7</f>
        <v>4757.13</v>
      </c>
      <c r="D4" s="192">
        <f>D5+D12+D14+D17+D20+D7</f>
        <v>139.90699999999998</v>
      </c>
      <c r="E4" s="5">
        <f>SUM(D4/C4*100)</f>
        <v>2.9409959366256544</v>
      </c>
      <c r="F4" s="5">
        <f>SUM(D4-C4)</f>
        <v>-4617.223</v>
      </c>
    </row>
    <row r="5" spans="1:6" s="6" customFormat="1">
      <c r="A5" s="68">
        <v>1010000000</v>
      </c>
      <c r="B5" s="67" t="s">
        <v>5</v>
      </c>
      <c r="C5" s="192">
        <f>C6</f>
        <v>486</v>
      </c>
      <c r="D5" s="192">
        <f>D6</f>
        <v>11.30884</v>
      </c>
      <c r="E5" s="5">
        <f t="shared" ref="E5:E50" si="0">SUM(D5/C5*100)</f>
        <v>2.3269218106995884</v>
      </c>
      <c r="F5" s="5">
        <f t="shared" ref="F5:F50" si="1">SUM(D5-C5)</f>
        <v>-474.69116000000002</v>
      </c>
    </row>
    <row r="6" spans="1:6">
      <c r="A6" s="7">
        <v>1010200001</v>
      </c>
      <c r="B6" s="8" t="s">
        <v>225</v>
      </c>
      <c r="C6" s="219">
        <v>486</v>
      </c>
      <c r="D6" s="220">
        <v>11.30884</v>
      </c>
      <c r="E6" s="9">
        <f t="shared" ref="E6:E11" si="2">SUM(D6/C6*100)</f>
        <v>2.3269218106995884</v>
      </c>
      <c r="F6" s="9">
        <f t="shared" si="1"/>
        <v>-474.69116000000002</v>
      </c>
    </row>
    <row r="7" spans="1:6" ht="31.5">
      <c r="A7" s="3">
        <v>1030000000</v>
      </c>
      <c r="B7" s="13" t="s">
        <v>267</v>
      </c>
      <c r="C7" s="264">
        <f>C8+C10+C9</f>
        <v>806.13000000000011</v>
      </c>
      <c r="D7" s="192">
        <f>D8+D10+D9+D11</f>
        <v>68.063719999999989</v>
      </c>
      <c r="E7" s="5">
        <f t="shared" si="2"/>
        <v>8.4432684554600339</v>
      </c>
      <c r="F7" s="5">
        <f t="shared" si="1"/>
        <v>-738.06628000000012</v>
      </c>
    </row>
    <row r="8" spans="1:6">
      <c r="A8" s="7">
        <v>1030223001</v>
      </c>
      <c r="B8" s="8" t="s">
        <v>269</v>
      </c>
      <c r="C8" s="219">
        <v>300.69</v>
      </c>
      <c r="D8" s="220">
        <v>31.261430000000001</v>
      </c>
      <c r="E8" s="9">
        <f t="shared" si="2"/>
        <v>10.396564568159899</v>
      </c>
      <c r="F8" s="9">
        <f t="shared" si="1"/>
        <v>-269.42856999999998</v>
      </c>
    </row>
    <row r="9" spans="1:6">
      <c r="A9" s="7">
        <v>1030224001</v>
      </c>
      <c r="B9" s="8" t="s">
        <v>275</v>
      </c>
      <c r="C9" s="219">
        <v>3.22</v>
      </c>
      <c r="D9" s="220">
        <v>0.18426000000000001</v>
      </c>
      <c r="E9" s="9">
        <f t="shared" si="2"/>
        <v>5.7223602484472051</v>
      </c>
      <c r="F9" s="9">
        <f t="shared" si="1"/>
        <v>-3.0357400000000001</v>
      </c>
    </row>
    <row r="10" spans="1:6">
      <c r="A10" s="7">
        <v>1030225001</v>
      </c>
      <c r="B10" s="8" t="s">
        <v>268</v>
      </c>
      <c r="C10" s="219">
        <v>502.22</v>
      </c>
      <c r="D10" s="220">
        <v>41.945529999999998</v>
      </c>
      <c r="E10" s="9">
        <f t="shared" si="2"/>
        <v>8.3520230178009616</v>
      </c>
      <c r="F10" s="9">
        <f t="shared" si="1"/>
        <v>-460.27447000000001</v>
      </c>
    </row>
    <row r="11" spans="1:6">
      <c r="A11" s="7">
        <v>1030226001</v>
      </c>
      <c r="B11" s="8" t="s">
        <v>276</v>
      </c>
      <c r="C11" s="219">
        <v>0</v>
      </c>
      <c r="D11" s="218">
        <v>-5.3274999999999997</v>
      </c>
      <c r="E11" s="9" t="e">
        <f t="shared" si="2"/>
        <v>#DIV/0!</v>
      </c>
      <c r="F11" s="9">
        <f t="shared" si="1"/>
        <v>-5.3274999999999997</v>
      </c>
    </row>
    <row r="12" spans="1:6" s="6" customFormat="1">
      <c r="A12" s="68">
        <v>1050000000</v>
      </c>
      <c r="B12" s="67" t="s">
        <v>6</v>
      </c>
      <c r="C12" s="192">
        <f>SUM(C13:C13)</f>
        <v>95</v>
      </c>
      <c r="D12" s="192">
        <f>D13</f>
        <v>0.59157999999999999</v>
      </c>
      <c r="E12" s="5">
        <f t="shared" si="0"/>
        <v>0.62271578947368422</v>
      </c>
      <c r="F12" s="5">
        <f t="shared" si="1"/>
        <v>-94.408420000000007</v>
      </c>
    </row>
    <row r="13" spans="1:6" ht="15.75" customHeight="1">
      <c r="A13" s="7">
        <v>1050300000</v>
      </c>
      <c r="B13" s="11" t="s">
        <v>226</v>
      </c>
      <c r="C13" s="221">
        <v>95</v>
      </c>
      <c r="D13" s="220">
        <v>0.59157999999999999</v>
      </c>
      <c r="E13" s="9">
        <f t="shared" si="0"/>
        <v>0.62271578947368422</v>
      </c>
      <c r="F13" s="9">
        <f t="shared" si="1"/>
        <v>-94.408420000000007</v>
      </c>
    </row>
    <row r="14" spans="1:6" s="6" customFormat="1" ht="15.75" customHeight="1">
      <c r="A14" s="68">
        <v>1060000000</v>
      </c>
      <c r="B14" s="67" t="s">
        <v>133</v>
      </c>
      <c r="C14" s="192">
        <f>C15+C16</f>
        <v>3350</v>
      </c>
      <c r="D14" s="192">
        <f>D15+D16</f>
        <v>58.942859999999996</v>
      </c>
      <c r="E14" s="5">
        <f t="shared" si="0"/>
        <v>1.7594883582089553</v>
      </c>
      <c r="F14" s="5">
        <f t="shared" si="1"/>
        <v>-3291.0571399999999</v>
      </c>
    </row>
    <row r="15" spans="1:6" s="6" customFormat="1" ht="15.75" customHeight="1">
      <c r="A15" s="7">
        <v>1060100000</v>
      </c>
      <c r="B15" s="11" t="s">
        <v>8</v>
      </c>
      <c r="C15" s="219">
        <v>400</v>
      </c>
      <c r="D15" s="220">
        <v>1.0607</v>
      </c>
      <c r="E15" s="9">
        <f t="shared" si="0"/>
        <v>0.26517499999999999</v>
      </c>
      <c r="F15" s="9">
        <f>SUM(D15-C15)</f>
        <v>-398.9393</v>
      </c>
    </row>
    <row r="16" spans="1:6" ht="15.75" customHeight="1">
      <c r="A16" s="7">
        <v>1060600000</v>
      </c>
      <c r="B16" s="11" t="s">
        <v>7</v>
      </c>
      <c r="C16" s="219">
        <v>2950</v>
      </c>
      <c r="D16" s="220">
        <v>57.882159999999999</v>
      </c>
      <c r="E16" s="9">
        <f t="shared" si="0"/>
        <v>1.9621071186440679</v>
      </c>
      <c r="F16" s="9">
        <f t="shared" si="1"/>
        <v>-2892.1178399999999</v>
      </c>
    </row>
    <row r="17" spans="1:6" s="6" customFormat="1">
      <c r="A17" s="3">
        <v>1080000000</v>
      </c>
      <c r="B17" s="4" t="s">
        <v>10</v>
      </c>
      <c r="C17" s="192">
        <f>C18</f>
        <v>20</v>
      </c>
      <c r="D17" s="192">
        <f>D18</f>
        <v>1</v>
      </c>
      <c r="E17" s="5">
        <f t="shared" si="0"/>
        <v>5</v>
      </c>
      <c r="F17" s="5">
        <f t="shared" si="1"/>
        <v>-19</v>
      </c>
    </row>
    <row r="18" spans="1:6" ht="18" customHeight="1">
      <c r="A18" s="7">
        <v>1080400001</v>
      </c>
      <c r="B18" s="8" t="s">
        <v>224</v>
      </c>
      <c r="C18" s="219">
        <v>20</v>
      </c>
      <c r="D18" s="220">
        <v>1</v>
      </c>
      <c r="E18" s="9">
        <f t="shared" si="0"/>
        <v>5</v>
      </c>
      <c r="F18" s="9">
        <f t="shared" si="1"/>
        <v>-19</v>
      </c>
    </row>
    <row r="19" spans="1:6" ht="47.25" hidden="1" customHeight="1">
      <c r="A19" s="7">
        <v>1080714001</v>
      </c>
      <c r="B19" s="8" t="s">
        <v>11</v>
      </c>
      <c r="C19" s="219"/>
      <c r="D19" s="22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2">
        <f>C21+C22+C23+C24</f>
        <v>0</v>
      </c>
      <c r="D20" s="192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2"/>
      <c r="D21" s="222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2"/>
      <c r="D22" s="222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2"/>
      <c r="D23" s="222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2"/>
      <c r="D24" s="222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2">
        <f>C26+C29+C31+C36</f>
        <v>91.4</v>
      </c>
      <c r="D25" s="93">
        <f>D26+D29+D31+D36+D34</f>
        <v>0</v>
      </c>
      <c r="E25" s="5">
        <f t="shared" si="0"/>
        <v>0</v>
      </c>
      <c r="F25" s="5">
        <f t="shared" si="1"/>
        <v>-91.4</v>
      </c>
    </row>
    <row r="26" spans="1:6" s="6" customFormat="1" ht="30" customHeight="1">
      <c r="A26" s="68">
        <v>1110000000</v>
      </c>
      <c r="B26" s="69" t="s">
        <v>126</v>
      </c>
      <c r="C26" s="192">
        <f>C27+C28</f>
        <v>91.4</v>
      </c>
      <c r="D26" s="93">
        <f>D27+D28</f>
        <v>0</v>
      </c>
      <c r="E26" s="5">
        <f t="shared" si="0"/>
        <v>0</v>
      </c>
      <c r="F26" s="5">
        <f t="shared" si="1"/>
        <v>-91.4</v>
      </c>
    </row>
    <row r="27" spans="1:6" ht="15" customHeight="1">
      <c r="A27" s="16">
        <v>1110502510</v>
      </c>
      <c r="B27" s="17" t="s">
        <v>222</v>
      </c>
      <c r="C27" s="221">
        <v>79.400000000000006</v>
      </c>
      <c r="D27" s="218">
        <v>0</v>
      </c>
      <c r="E27" s="9">
        <f t="shared" si="0"/>
        <v>0</v>
      </c>
      <c r="F27" s="9">
        <f t="shared" si="1"/>
        <v>-79.400000000000006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9">
        <v>0</v>
      </c>
      <c r="D38" s="22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3">
        <f>SUM(C4,C25)</f>
        <v>4848.53</v>
      </c>
      <c r="D39" s="223">
        <f>D4+D25</f>
        <v>139.90699999999998</v>
      </c>
      <c r="E39" s="5">
        <f t="shared" si="0"/>
        <v>2.8855550032690318</v>
      </c>
      <c r="F39" s="5">
        <f t="shared" si="1"/>
        <v>-4708.6229999999996</v>
      </c>
    </row>
    <row r="40" spans="1:7" s="6" customFormat="1">
      <c r="A40" s="3">
        <v>2000000000</v>
      </c>
      <c r="B40" s="4" t="s">
        <v>17</v>
      </c>
      <c r="C40" s="192">
        <f>C41+C43+C45+C46+C47+C48+C42+C44</f>
        <v>4387.9870000000001</v>
      </c>
      <c r="D40" s="192">
        <f>D41+D43+D45+D46+D47+D48+D42+D44</f>
        <v>260.3014</v>
      </c>
      <c r="E40" s="5">
        <f t="shared" si="0"/>
        <v>5.9321369912900836</v>
      </c>
      <c r="F40" s="5">
        <f t="shared" si="1"/>
        <v>-4127.6855999999998</v>
      </c>
      <c r="G40" s="19"/>
    </row>
    <row r="41" spans="1:7">
      <c r="A41" s="16">
        <v>2021000000</v>
      </c>
      <c r="B41" s="17" t="s">
        <v>18</v>
      </c>
      <c r="C41" s="224">
        <v>2916.8</v>
      </c>
      <c r="D41" s="225">
        <v>243.06800000000001</v>
      </c>
      <c r="E41" s="9">
        <f t="shared" si="0"/>
        <v>8.3333790455293482</v>
      </c>
      <c r="F41" s="9">
        <f t="shared" si="1"/>
        <v>-2673.732</v>
      </c>
    </row>
    <row r="42" spans="1:7" ht="17.25" customHeight="1">
      <c r="A42" s="16">
        <v>2021500200</v>
      </c>
      <c r="B42" s="17" t="s">
        <v>228</v>
      </c>
      <c r="C42" s="224">
        <v>0</v>
      </c>
      <c r="D42" s="225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4">
        <v>1260.1600000000001</v>
      </c>
      <c r="D43" s="220">
        <v>0</v>
      </c>
      <c r="E43" s="9">
        <f t="shared" si="0"/>
        <v>0</v>
      </c>
      <c r="F43" s="9">
        <f t="shared" si="1"/>
        <v>-1260.1600000000001</v>
      </c>
    </row>
    <row r="44" spans="1:7" ht="15.75" hidden="1" customHeight="1">
      <c r="A44" s="16">
        <v>2022999910</v>
      </c>
      <c r="B44" s="18" t="s">
        <v>332</v>
      </c>
      <c r="C44" s="452">
        <v>0</v>
      </c>
      <c r="D44" s="453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1">
        <v>211.02699999999999</v>
      </c>
      <c r="D45" s="226">
        <v>17.2334</v>
      </c>
      <c r="E45" s="9">
        <f t="shared" si="0"/>
        <v>8.1664431565629041</v>
      </c>
      <c r="F45" s="9">
        <f t="shared" si="1"/>
        <v>-193.7936</v>
      </c>
    </row>
    <row r="46" spans="1:7" ht="17.25" customHeight="1">
      <c r="A46" s="16">
        <v>2020400000</v>
      </c>
      <c r="B46" s="17" t="s">
        <v>21</v>
      </c>
      <c r="C46" s="221"/>
      <c r="D46" s="227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339</v>
      </c>
      <c r="C47" s="221"/>
      <c r="D47" s="227">
        <v>0</v>
      </c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22"/>
      <c r="D48" s="222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8">
        <v>0</v>
      </c>
      <c r="D49" s="222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1">
        <f>C39+C40</f>
        <v>9236.5169999999998</v>
      </c>
      <c r="D50" s="249">
        <f>D39+D40</f>
        <v>400.20839999999998</v>
      </c>
      <c r="E50" s="192">
        <f t="shared" si="0"/>
        <v>4.3328930158413614</v>
      </c>
      <c r="F50" s="93">
        <f t="shared" si="1"/>
        <v>-8836.3086000000003</v>
      </c>
      <c r="G50" s="150"/>
      <c r="H50" s="198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366.70839999999998</v>
      </c>
      <c r="E51" s="32"/>
      <c r="F51" s="32"/>
    </row>
    <row r="52" spans="1:8">
      <c r="A52" s="23"/>
      <c r="B52" s="24"/>
      <c r="C52" s="216"/>
      <c r="D52" s="216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418</v>
      </c>
      <c r="D53" s="73" t="s">
        <v>425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1893.269</v>
      </c>
      <c r="D55" s="32">
        <f>D56+D57+D58+D59+D60+D62+D61</f>
        <v>28.7</v>
      </c>
      <c r="E55" s="34">
        <f>SUM(D55/C55*100)</f>
        <v>1.515896578880233</v>
      </c>
      <c r="F55" s="34">
        <f>SUM(D55-C55)</f>
        <v>-1864.569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28.7</v>
      </c>
      <c r="E57" s="38">
        <f t="shared" ref="E57:E69" si="3">SUM(D57/C57*100)</f>
        <v>1.6229359873331826</v>
      </c>
      <c r="F57" s="38">
        <f t="shared" ref="F57:F69" si="4">SUM(D57-C57)</f>
        <v>-1739.7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24.869</v>
      </c>
      <c r="D62" s="37">
        <v>0</v>
      </c>
      <c r="E62" s="38">
        <f t="shared" si="3"/>
        <v>0</v>
      </c>
      <c r="F62" s="38">
        <f t="shared" si="4"/>
        <v>-24.869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4.8</v>
      </c>
      <c r="E63" s="34">
        <f t="shared" si="3"/>
        <v>2.3214536168730984</v>
      </c>
      <c r="F63" s="34">
        <f t="shared" si="4"/>
        <v>-201.96699999999998</v>
      </c>
    </row>
    <row r="64" spans="1:8">
      <c r="A64" s="43" t="s">
        <v>45</v>
      </c>
      <c r="B64" s="44" t="s">
        <v>46</v>
      </c>
      <c r="C64" s="37">
        <v>206.767</v>
      </c>
      <c r="D64" s="37">
        <v>4.8</v>
      </c>
      <c r="E64" s="38">
        <f t="shared" si="3"/>
        <v>2.3214536168730984</v>
      </c>
      <c r="F64" s="38">
        <f t="shared" si="4"/>
        <v>-201.96699999999998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</v>
      </c>
      <c r="E65" s="34">
        <f t="shared" si="3"/>
        <v>0</v>
      </c>
      <c r="F65" s="34">
        <f t="shared" si="4"/>
        <v>-15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10</v>
      </c>
      <c r="D69" s="37">
        <v>0</v>
      </c>
      <c r="E69" s="38">
        <f t="shared" si="3"/>
        <v>0</v>
      </c>
      <c r="F69" s="38">
        <f t="shared" si="4"/>
        <v>-10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2499.9500000000003</v>
      </c>
      <c r="D71" s="48">
        <f>SUM(D72:D75)</f>
        <v>0</v>
      </c>
      <c r="E71" s="34">
        <f t="shared" ref="E71:E86" si="5">SUM(D71/C71*100)</f>
        <v>0</v>
      </c>
      <c r="F71" s="34">
        <f t="shared" ref="F71:F86" si="6">SUM(D71-C71)</f>
        <v>-2499.9500000000003</v>
      </c>
    </row>
    <row r="72" spans="1:7" s="6" customFormat="1" ht="17.25" customHeight="1">
      <c r="A72" s="35" t="s">
        <v>57</v>
      </c>
      <c r="B72" s="39" t="s">
        <v>58</v>
      </c>
      <c r="C72" s="49">
        <v>4.26</v>
      </c>
      <c r="D72" s="37">
        <v>0</v>
      </c>
      <c r="E72" s="38">
        <f t="shared" si="5"/>
        <v>0</v>
      </c>
      <c r="F72" s="38">
        <f t="shared" si="6"/>
        <v>-4.26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2145.69</v>
      </c>
      <c r="D74" s="37">
        <v>0</v>
      </c>
      <c r="E74" s="38">
        <f t="shared" si="5"/>
        <v>0</v>
      </c>
      <c r="F74" s="38">
        <f t="shared" si="6"/>
        <v>-2145.69</v>
      </c>
    </row>
    <row r="75" spans="1:7" s="6" customFormat="1">
      <c r="A75" s="35" t="s">
        <v>63</v>
      </c>
      <c r="B75" s="39" t="s">
        <v>64</v>
      </c>
      <c r="C75" s="49">
        <v>350</v>
      </c>
      <c r="D75" s="37">
        <v>0</v>
      </c>
      <c r="E75" s="38">
        <f t="shared" si="5"/>
        <v>0</v>
      </c>
      <c r="F75" s="38">
        <f t="shared" si="6"/>
        <v>-350</v>
      </c>
    </row>
    <row r="76" spans="1:7" ht="17.25" customHeight="1">
      <c r="A76" s="30" t="s">
        <v>65</v>
      </c>
      <c r="B76" s="31" t="s">
        <v>66</v>
      </c>
      <c r="C76" s="32">
        <f>SUM(C77:C79)</f>
        <v>2576.3310000000001</v>
      </c>
      <c r="D76" s="32">
        <f>SUM(D77:D79)</f>
        <v>0</v>
      </c>
      <c r="E76" s="34">
        <f t="shared" si="5"/>
        <v>0</v>
      </c>
      <c r="F76" s="34">
        <f t="shared" si="6"/>
        <v>-2576.3310000000001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1192.3309999999999</v>
      </c>
      <c r="D78" s="37">
        <v>0</v>
      </c>
      <c r="E78" s="38">
        <f t="shared" si="5"/>
        <v>0</v>
      </c>
      <c r="F78" s="38">
        <f t="shared" si="6"/>
        <v>-1192.3309999999999</v>
      </c>
    </row>
    <row r="79" spans="1:7" s="6" customFormat="1">
      <c r="A79" s="35" t="s">
        <v>71</v>
      </c>
      <c r="B79" s="39" t="s">
        <v>72</v>
      </c>
      <c r="C79" s="37">
        <v>1384</v>
      </c>
      <c r="D79" s="37">
        <v>0</v>
      </c>
      <c r="E79" s="38">
        <f t="shared" si="5"/>
        <v>0</v>
      </c>
      <c r="F79" s="38">
        <f t="shared" si="6"/>
        <v>-1384</v>
      </c>
    </row>
    <row r="80" spans="1:7">
      <c r="A80" s="30" t="s">
        <v>83</v>
      </c>
      <c r="B80" s="31" t="s">
        <v>84</v>
      </c>
      <c r="C80" s="32">
        <f>C81</f>
        <v>1995.2</v>
      </c>
      <c r="D80" s="32">
        <f>D81</f>
        <v>0</v>
      </c>
      <c r="E80" s="34">
        <f t="shared" si="5"/>
        <v>0</v>
      </c>
      <c r="F80" s="34">
        <f t="shared" si="6"/>
        <v>-1995.2</v>
      </c>
    </row>
    <row r="81" spans="1:6" s="6" customFormat="1" ht="15" customHeight="1">
      <c r="A81" s="35" t="s">
        <v>85</v>
      </c>
      <c r="B81" s="39" t="s">
        <v>230</v>
      </c>
      <c r="C81" s="37">
        <v>1995.2</v>
      </c>
      <c r="D81" s="37">
        <v>0</v>
      </c>
      <c r="E81" s="38">
        <f t="shared" si="5"/>
        <v>0</v>
      </c>
      <c r="F81" s="38">
        <f t="shared" si="6"/>
        <v>-1995.2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1">
        <f>C55+C63+C65+C71+C76+C80+C82+C87+C93</f>
        <v>9236.5170000000016</v>
      </c>
      <c r="D97" s="251">
        <f>D55+D63+D65+D71+D76+D80+D82+D87+D93</f>
        <v>33.5</v>
      </c>
      <c r="E97" s="34">
        <f t="shared" si="7"/>
        <v>0.36269082815524506</v>
      </c>
      <c r="F97" s="34">
        <f>SUM(D97-C97)</f>
        <v>-9203.0170000000016</v>
      </c>
    </row>
    <row r="98" spans="1:6" s="65" customFormat="1" ht="22.5" customHeight="1">
      <c r="A98" s="63" t="s">
        <v>117</v>
      </c>
      <c r="B98" s="63"/>
      <c r="C98" s="183"/>
      <c r="D98" s="183"/>
    </row>
    <row r="99" spans="1:6" ht="16.5" customHeight="1">
      <c r="A99" s="66" t="s">
        <v>118</v>
      </c>
      <c r="B99" s="66"/>
      <c r="C99" s="183" t="s">
        <v>119</v>
      </c>
      <c r="D99" s="183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0" zoomScale="70" zoomScaleNormal="100" zoomScaleSheetLayoutView="70" workbookViewId="0">
      <selection activeCell="D82" sqref="D82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406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271.31175999999999</v>
      </c>
      <c r="E4" s="5">
        <f>SUM(D4/C4*100)</f>
        <v>5.4191686041402019</v>
      </c>
      <c r="F4" s="5">
        <f>SUM(D4-C4)</f>
        <v>-4735.2082399999999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110.82531</v>
      </c>
      <c r="E5" s="5">
        <f t="shared" ref="E5:E51" si="0">SUM(D5/C5*100)</f>
        <v>5.5735923355461674</v>
      </c>
      <c r="F5" s="5">
        <f t="shared" ref="F5:F51" si="1">SUM(D5-C5)</f>
        <v>-1877.5746900000001</v>
      </c>
    </row>
    <row r="6" spans="1:6">
      <c r="A6" s="7">
        <v>1010200001</v>
      </c>
      <c r="B6" s="8" t="s">
        <v>225</v>
      </c>
      <c r="C6" s="91">
        <v>1988.4</v>
      </c>
      <c r="D6" s="10">
        <v>110.82531</v>
      </c>
      <c r="E6" s="9">
        <f t="shared" ref="E6:E11" si="2">SUM(D6/C6*100)</f>
        <v>5.5735923355461674</v>
      </c>
      <c r="F6" s="9">
        <f t="shared" si="1"/>
        <v>-1877.5746900000001</v>
      </c>
    </row>
    <row r="7" spans="1:6">
      <c r="A7" s="3">
        <v>1030200001</v>
      </c>
      <c r="B7" s="13" t="s">
        <v>265</v>
      </c>
      <c r="C7" s="5">
        <f>C8+C10+C9</f>
        <v>398.11999999999995</v>
      </c>
      <c r="D7" s="5">
        <f>D8+D9+D10+D11</f>
        <v>33.6143</v>
      </c>
      <c r="E7" s="9">
        <f t="shared" si="2"/>
        <v>8.443258314076159</v>
      </c>
      <c r="F7" s="9">
        <f t="shared" si="1"/>
        <v>-364.50569999999993</v>
      </c>
    </row>
    <row r="8" spans="1:6">
      <c r="A8" s="7">
        <v>1030223001</v>
      </c>
      <c r="B8" s="8" t="s">
        <v>269</v>
      </c>
      <c r="C8" s="9">
        <v>148.5</v>
      </c>
      <c r="D8" s="10">
        <v>15.43891</v>
      </c>
      <c r="E8" s="9">
        <f t="shared" si="2"/>
        <v>10.396572390572391</v>
      </c>
      <c r="F8" s="9">
        <f t="shared" si="1"/>
        <v>-133.06109000000001</v>
      </c>
    </row>
    <row r="9" spans="1:6">
      <c r="A9" s="7">
        <v>1030224001</v>
      </c>
      <c r="B9" s="8" t="s">
        <v>275</v>
      </c>
      <c r="C9" s="9">
        <v>1.59</v>
      </c>
      <c r="D9" s="10">
        <v>9.1009999999999994E-2</v>
      </c>
      <c r="E9" s="9">
        <f t="shared" si="2"/>
        <v>5.7238993710691819</v>
      </c>
      <c r="F9" s="9">
        <f t="shared" si="1"/>
        <v>-1.49899</v>
      </c>
    </row>
    <row r="10" spans="1:6">
      <c r="A10" s="7">
        <v>1030225001</v>
      </c>
      <c r="B10" s="8" t="s">
        <v>268</v>
      </c>
      <c r="C10" s="9">
        <v>248.03</v>
      </c>
      <c r="D10" s="10">
        <v>20.715420000000002</v>
      </c>
      <c r="E10" s="9">
        <f t="shared" si="2"/>
        <v>8.3519816151272028</v>
      </c>
      <c r="F10" s="9">
        <f t="shared" si="1"/>
        <v>-227.31458000000001</v>
      </c>
    </row>
    <row r="11" spans="1:6">
      <c r="A11" s="7">
        <v>1030226001</v>
      </c>
      <c r="B11" s="8" t="s">
        <v>277</v>
      </c>
      <c r="C11" s="9">
        <v>0</v>
      </c>
      <c r="D11" s="10">
        <v>-2.63104</v>
      </c>
      <c r="E11" s="9" t="e">
        <f t="shared" si="2"/>
        <v>#DIV/0!</v>
      </c>
      <c r="F11" s="9">
        <f t="shared" si="1"/>
        <v>-2.63104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0</v>
      </c>
      <c r="E12" s="5">
        <f t="shared" si="0"/>
        <v>0</v>
      </c>
      <c r="F12" s="5">
        <f t="shared" si="1"/>
        <v>-70</v>
      </c>
    </row>
    <row r="13" spans="1:6" ht="15.75" customHeight="1">
      <c r="A13" s="7">
        <v>1050300000</v>
      </c>
      <c r="B13" s="11" t="s">
        <v>226</v>
      </c>
      <c r="C13" s="12">
        <v>70</v>
      </c>
      <c r="D13" s="10">
        <v>0</v>
      </c>
      <c r="E13" s="9">
        <f t="shared" si="0"/>
        <v>0</v>
      </c>
      <c r="F13" s="9">
        <f t="shared" si="1"/>
        <v>-70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126.87215</v>
      </c>
      <c r="E14" s="5">
        <f t="shared" si="0"/>
        <v>4.9753784313725493</v>
      </c>
      <c r="F14" s="5">
        <f t="shared" si="1"/>
        <v>-2423.1278499999999</v>
      </c>
    </row>
    <row r="15" spans="1:6" s="6" customFormat="1" ht="15" customHeight="1">
      <c r="A15" s="7">
        <v>1060100000</v>
      </c>
      <c r="B15" s="11" t="s">
        <v>243</v>
      </c>
      <c r="C15" s="9">
        <v>1000</v>
      </c>
      <c r="D15" s="10">
        <v>22.36918</v>
      </c>
      <c r="E15" s="9">
        <f t="shared" si="0"/>
        <v>2.2369179999999997</v>
      </c>
      <c r="F15" s="9">
        <f>SUM(D15-C15)</f>
        <v>-977.63081999999997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104.50297</v>
      </c>
      <c r="E16" s="9">
        <f t="shared" si="0"/>
        <v>6.7421270967741931</v>
      </c>
      <c r="F16" s="9">
        <f t="shared" si="1"/>
        <v>-1445.49703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271.31175999999999</v>
      </c>
      <c r="E39" s="5">
        <f t="shared" si="0"/>
        <v>5.4191686041402019</v>
      </c>
      <c r="F39" s="5">
        <f t="shared" si="1"/>
        <v>-4735.2082399999999</v>
      </c>
    </row>
    <row r="40" spans="1:7" s="6" customFormat="1">
      <c r="A40" s="3">
        <v>2000000000</v>
      </c>
      <c r="B40" s="4" t="s">
        <v>17</v>
      </c>
      <c r="C40" s="232">
        <f>C41+C43+C45+C46+C47+C49+C42+C44+C48</f>
        <v>14091.1535</v>
      </c>
      <c r="D40" s="476">
        <f>D41+D43+D45+D46+D47+D49+D42+D48</f>
        <v>268.20177999999999</v>
      </c>
      <c r="E40" s="5">
        <f t="shared" si="0"/>
        <v>1.9033344573245898</v>
      </c>
      <c r="F40" s="5">
        <f t="shared" si="1"/>
        <v>-13822.951720000001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735.99699999999996</v>
      </c>
      <c r="E41" s="9">
        <f t="shared" si="0"/>
        <v>8.3333937204904949</v>
      </c>
      <c r="F41" s="9">
        <f t="shared" si="1"/>
        <v>-8095.9029999999993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1">
        <v>5150.7134999999998</v>
      </c>
      <c r="D43" s="10">
        <v>0</v>
      </c>
      <c r="E43" s="9">
        <f t="shared" si="0"/>
        <v>0</v>
      </c>
      <c r="F43" s="9">
        <f t="shared" si="1"/>
        <v>-5150.7134999999998</v>
      </c>
    </row>
    <row r="44" spans="1:7" ht="15" hidden="1" customHeight="1">
      <c r="A44" s="16">
        <v>2022999910</v>
      </c>
      <c r="B44" s="18" t="s">
        <v>332</v>
      </c>
      <c r="C44" s="191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8.5399999999999991</v>
      </c>
      <c r="D45" s="185">
        <v>0</v>
      </c>
      <c r="E45" s="9">
        <f t="shared" si="0"/>
        <v>0</v>
      </c>
      <c r="F45" s="9">
        <f t="shared" si="1"/>
        <v>-8.5399999999999991</v>
      </c>
    </row>
    <row r="46" spans="1:7" ht="24" customHeight="1">
      <c r="A46" s="16">
        <v>2020400000</v>
      </c>
      <c r="B46" s="17" t="s">
        <v>21</v>
      </c>
      <c r="C46" s="12">
        <v>100</v>
      </c>
      <c r="D46" s="186">
        <v>0</v>
      </c>
      <c r="E46" s="9">
        <f t="shared" si="0"/>
        <v>0</v>
      </c>
      <c r="F46" s="9">
        <f t="shared" si="1"/>
        <v>-100</v>
      </c>
    </row>
    <row r="47" spans="1:7" ht="4.5" hidden="1" customHeight="1">
      <c r="A47" s="16">
        <v>2020900000</v>
      </c>
      <c r="B47" s="18" t="s">
        <v>22</v>
      </c>
      <c r="C47" s="12"/>
      <c r="D47" s="186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/>
      <c r="D48" s="186">
        <v>0</v>
      </c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31.5">
      <c r="A50" s="3">
        <v>3000000000</v>
      </c>
      <c r="B50" s="13" t="s">
        <v>24</v>
      </c>
      <c r="C50" s="189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8">
        <f>SUM(C39,C40,C50)</f>
        <v>19097.673500000001</v>
      </c>
      <c r="D51" s="249">
        <f>D39+D40</f>
        <v>539.51353999999992</v>
      </c>
      <c r="E51" s="93">
        <f t="shared" si="0"/>
        <v>2.825022325363348</v>
      </c>
      <c r="F51" s="93">
        <f t="shared" si="1"/>
        <v>-18558.159960000001</v>
      </c>
      <c r="G51" s="150">
        <f>18968.9976-D51</f>
        <v>18429.484059999999</v>
      </c>
    </row>
    <row r="52" spans="1:7" s="6" customFormat="1" ht="23.25" customHeight="1">
      <c r="A52" s="3"/>
      <c r="B52" s="21" t="s">
        <v>307</v>
      </c>
      <c r="C52" s="93">
        <f>C51-C98</f>
        <v>0</v>
      </c>
      <c r="D52" s="93">
        <f>D51-D98</f>
        <v>247.30676999999991</v>
      </c>
      <c r="E52" s="193"/>
      <c r="F52" s="193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418</v>
      </c>
      <c r="D54" s="73" t="s">
        <v>425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2455.5940000000001</v>
      </c>
      <c r="D56" s="33">
        <f>D57+D58+D59+D60+D61+D63+D62</f>
        <v>184.6</v>
      </c>
      <c r="E56" s="34">
        <f>SUM(D56/C56*100)</f>
        <v>7.5175293635674292</v>
      </c>
      <c r="F56" s="34">
        <f>SUM(D56-C56)</f>
        <v>-2270.9940000000001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44.6</v>
      </c>
      <c r="E58" s="38">
        <f t="shared" ref="E58:E98" si="3">SUM(D58/C58*100)</f>
        <v>2.070854808004829</v>
      </c>
      <c r="F58" s="38">
        <f t="shared" ref="F58:F98" si="4">SUM(D58-C58)</f>
        <v>-2109.1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8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201.89400000000001</v>
      </c>
      <c r="D63" s="37">
        <v>140</v>
      </c>
      <c r="E63" s="38">
        <f t="shared" si="3"/>
        <v>69.343318771236383</v>
      </c>
      <c r="F63" s="38">
        <f t="shared" si="4"/>
        <v>-61.894000000000005</v>
      </c>
    </row>
    <row r="64" spans="1:7" s="6" customFormat="1" ht="15.75" hidden="1" customHeight="1">
      <c r="A64" s="41" t="s">
        <v>43</v>
      </c>
      <c r="B64" s="42" t="s">
        <v>44</v>
      </c>
      <c r="C64" s="149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9">
        <f>C69+C70+C71</f>
        <v>105</v>
      </c>
      <c r="D66" s="149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7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1282.33</v>
      </c>
      <c r="D72" s="48">
        <f>SUM(D73:D76)</f>
        <v>1.865</v>
      </c>
      <c r="E72" s="34">
        <f t="shared" si="3"/>
        <v>0.14543838169581935</v>
      </c>
      <c r="F72" s="34">
        <f t="shared" si="4"/>
        <v>-1280.4649999999999</v>
      </c>
    </row>
    <row r="73" spans="1:7" ht="15" customHeight="1">
      <c r="A73" s="35" t="s">
        <v>57</v>
      </c>
      <c r="B73" s="39" t="s">
        <v>58</v>
      </c>
      <c r="C73" s="49">
        <v>8.5399999999999991</v>
      </c>
      <c r="D73" s="37">
        <v>0</v>
      </c>
      <c r="E73" s="38">
        <f t="shared" si="3"/>
        <v>0</v>
      </c>
      <c r="F73" s="38">
        <f t="shared" si="4"/>
        <v>-8.5399999999999991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973.79</v>
      </c>
      <c r="D75" s="37">
        <v>1.865</v>
      </c>
      <c r="E75" s="38">
        <f t="shared" si="3"/>
        <v>0.19151973218044957</v>
      </c>
      <c r="F75" s="38">
        <f t="shared" si="4"/>
        <v>-971.92499999999995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0</v>
      </c>
      <c r="E76" s="38">
        <f t="shared" si="3"/>
        <v>0</v>
      </c>
      <c r="F76" s="38">
        <f t="shared" si="4"/>
        <v>-300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10318.949500000001</v>
      </c>
      <c r="D77" s="32">
        <f>D78+D79+D80+D83</f>
        <v>105.74177</v>
      </c>
      <c r="E77" s="34">
        <f t="shared" si="3"/>
        <v>1.024733864624495</v>
      </c>
      <c r="F77" s="34">
        <f t="shared" si="4"/>
        <v>-10213.20773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0</v>
      </c>
      <c r="E79" s="38">
        <f t="shared" si="3"/>
        <v>0</v>
      </c>
      <c r="F79" s="38">
        <f t="shared" si="4"/>
        <v>-700</v>
      </c>
    </row>
    <row r="80" spans="1:7" ht="17.25" customHeight="1">
      <c r="A80" s="35" t="s">
        <v>71</v>
      </c>
      <c r="B80" s="39" t="s">
        <v>72</v>
      </c>
      <c r="C80" s="37">
        <v>9618.9495000000006</v>
      </c>
      <c r="D80" s="37">
        <v>105.74177</v>
      </c>
      <c r="E80" s="38">
        <f t="shared" si="3"/>
        <v>1.099306842186873</v>
      </c>
      <c r="F80" s="38">
        <f t="shared" si="4"/>
        <v>-9513.2077300000001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4885.8</v>
      </c>
      <c r="D81" s="32">
        <f>D82</f>
        <v>0</v>
      </c>
      <c r="E81" s="38">
        <f t="shared" si="3"/>
        <v>0</v>
      </c>
      <c r="F81" s="38">
        <f t="shared" si="4"/>
        <v>-4885.8</v>
      </c>
    </row>
    <row r="82" spans="1:6" ht="19.5" customHeight="1">
      <c r="A82" s="35" t="s">
        <v>85</v>
      </c>
      <c r="B82" s="39" t="s">
        <v>230</v>
      </c>
      <c r="C82" s="37">
        <v>4885.8</v>
      </c>
      <c r="D82" s="37"/>
      <c r="E82" s="38">
        <f t="shared" si="3"/>
        <v>0</v>
      </c>
      <c r="F82" s="38">
        <f t="shared" si="4"/>
        <v>-4885.8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4"/>
      <c r="D96" s="175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1">
        <f>C56+C72+C77+C84+C89+C95+C66+C81</f>
        <v>19097.673500000001</v>
      </c>
      <c r="D98" s="251">
        <f>SUM(D56+D66+D72+D77+D81+D89)</f>
        <v>292.20677000000001</v>
      </c>
      <c r="E98" s="34">
        <f t="shared" si="3"/>
        <v>1.5300647484626859</v>
      </c>
      <c r="F98" s="34">
        <f t="shared" si="4"/>
        <v>-18805.46673</v>
      </c>
      <c r="G98" s="198"/>
    </row>
    <row r="99" spans="1:7" ht="20.25" customHeight="1">
      <c r="D99" s="180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30">
      <selection activeCell="D82" sqref="D8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5" zoomScale="70" zoomScaleNormal="100" zoomScaleSheetLayoutView="86" workbookViewId="0">
      <selection activeCell="C41" sqref="C4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431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418</v>
      </c>
      <c r="D3" s="73" t="s">
        <v>425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276.98063000000002</v>
      </c>
      <c r="E4" s="5">
        <f>SUM(D4/C4*100)</f>
        <v>4.7150855839369461</v>
      </c>
      <c r="F4" s="5">
        <f>SUM(D4-C4)</f>
        <v>-5597.3693700000003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157.96709000000001</v>
      </c>
      <c r="E5" s="5">
        <f t="shared" ref="E5:E52" si="0">SUM(D5/C5*100)</f>
        <v>9.3080602203759373</v>
      </c>
      <c r="F5" s="5">
        <f t="shared" ref="F5:F52" si="1">SUM(D5-C5)</f>
        <v>-1539.1329099999998</v>
      </c>
    </row>
    <row r="6" spans="1:6">
      <c r="A6" s="7">
        <v>1010200001</v>
      </c>
      <c r="B6" s="8" t="s">
        <v>225</v>
      </c>
      <c r="C6" s="9">
        <v>1697.1</v>
      </c>
      <c r="D6" s="10">
        <v>157.96709000000001</v>
      </c>
      <c r="E6" s="9">
        <f t="shared" ref="E6:E11" si="2">SUM(D6/C6*100)</f>
        <v>9.3080602203759373</v>
      </c>
      <c r="F6" s="9">
        <f t="shared" si="1"/>
        <v>-1539.1329099999998</v>
      </c>
    </row>
    <row r="7" spans="1:6" ht="31.5">
      <c r="A7" s="3">
        <v>1030000000</v>
      </c>
      <c r="B7" s="13" t="s">
        <v>267</v>
      </c>
      <c r="C7" s="5">
        <f>C8+C10+C9</f>
        <v>749.25</v>
      </c>
      <c r="D7" s="5">
        <f>D8+D10+D9+D11</f>
        <v>63.261679999999991</v>
      </c>
      <c r="E7" s="9">
        <f t="shared" si="2"/>
        <v>8.443334000667333</v>
      </c>
      <c r="F7" s="9">
        <f t="shared" si="1"/>
        <v>-685.98832000000004</v>
      </c>
    </row>
    <row r="8" spans="1:6">
      <c r="A8" s="7">
        <v>1030223001</v>
      </c>
      <c r="B8" s="8" t="s">
        <v>269</v>
      </c>
      <c r="C8" s="9">
        <v>279.47000000000003</v>
      </c>
      <c r="D8" s="10">
        <v>29.055869999999999</v>
      </c>
      <c r="E8" s="9">
        <f t="shared" si="2"/>
        <v>10.396776040362113</v>
      </c>
      <c r="F8" s="9">
        <f t="shared" si="1"/>
        <v>-250.41413000000003</v>
      </c>
    </row>
    <row r="9" spans="1:6">
      <c r="A9" s="7">
        <v>1030224001</v>
      </c>
      <c r="B9" s="8" t="s">
        <v>275</v>
      </c>
      <c r="C9" s="9">
        <v>3</v>
      </c>
      <c r="D9" s="10">
        <v>0.17129</v>
      </c>
      <c r="E9" s="9">
        <f t="shared" si="2"/>
        <v>5.7096666666666662</v>
      </c>
      <c r="F9" s="9">
        <f t="shared" si="1"/>
        <v>-2.8287100000000001</v>
      </c>
    </row>
    <row r="10" spans="1:6">
      <c r="A10" s="7">
        <v>1030225001</v>
      </c>
      <c r="B10" s="8" t="s">
        <v>268</v>
      </c>
      <c r="C10" s="9">
        <v>466.78</v>
      </c>
      <c r="D10" s="10">
        <v>38.986190000000001</v>
      </c>
      <c r="E10" s="9">
        <f t="shared" si="2"/>
        <v>8.3521551908822147</v>
      </c>
      <c r="F10" s="9">
        <f t="shared" si="1"/>
        <v>-427.79380999999995</v>
      </c>
    </row>
    <row r="11" spans="1:6">
      <c r="A11" s="7">
        <v>1030226001</v>
      </c>
      <c r="B11" s="8" t="s">
        <v>278</v>
      </c>
      <c r="C11" s="9">
        <v>0</v>
      </c>
      <c r="D11" s="10">
        <v>-4.95167</v>
      </c>
      <c r="E11" s="9" t="e">
        <f t="shared" si="2"/>
        <v>#DIV/0!</v>
      </c>
      <c r="F11" s="9">
        <f t="shared" si="1"/>
        <v>-4.95167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0</v>
      </c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55.651859999999999</v>
      </c>
      <c r="E14" s="5">
        <f t="shared" si="0"/>
        <v>1.6368194117647057</v>
      </c>
      <c r="F14" s="5">
        <f t="shared" si="1"/>
        <v>-3344.3481400000001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3.5874799999999998</v>
      </c>
      <c r="E15" s="9">
        <f t="shared" si="0"/>
        <v>0.29895666666666665</v>
      </c>
      <c r="F15" s="9">
        <f>SUM(D15-C15)</f>
        <v>-1196.4125200000001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52.06438</v>
      </c>
      <c r="E16" s="9">
        <f t="shared" si="0"/>
        <v>2.3665627272727274</v>
      </c>
      <c r="F16" s="9">
        <f t="shared" si="1"/>
        <v>-2147.9356200000002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0.1</v>
      </c>
      <c r="E17" s="5">
        <f t="shared" si="0"/>
        <v>1.25</v>
      </c>
      <c r="F17" s="5">
        <f t="shared" si="1"/>
        <v>-7.9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0.1</v>
      </c>
      <c r="E18" s="9">
        <f t="shared" si="0"/>
        <v>1.25</v>
      </c>
      <c r="F18" s="9">
        <f t="shared" si="1"/>
        <v>-7.9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276.98063000000002</v>
      </c>
      <c r="E39" s="5">
        <f t="shared" si="0"/>
        <v>4.7150855839369461</v>
      </c>
      <c r="F39" s="5">
        <f t="shared" si="1"/>
        <v>-5597.3693700000003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7872.8969400000005</v>
      </c>
      <c r="D40" s="232">
        <f>D41+D43+D45+D46+D48+D49+D42+D44+D51</f>
        <v>95.775400000000005</v>
      </c>
      <c r="E40" s="5">
        <f t="shared" si="0"/>
        <v>1.2165204337096276</v>
      </c>
      <c r="F40" s="5">
        <f t="shared" si="1"/>
        <v>-7777.1215400000001</v>
      </c>
      <c r="G40" s="19"/>
    </row>
    <row r="41" spans="1:7" ht="15.75" customHeight="1">
      <c r="A41" s="16">
        <v>2021500200</v>
      </c>
      <c r="B41" s="17" t="s">
        <v>397</v>
      </c>
      <c r="C41" s="12">
        <v>942.5</v>
      </c>
      <c r="D41" s="20">
        <v>78.542000000000002</v>
      </c>
      <c r="E41" s="9">
        <f t="shared" si="0"/>
        <v>8.3333687002652521</v>
      </c>
      <c r="F41" s="9">
        <f t="shared" si="1"/>
        <v>-863.95799999999997</v>
      </c>
    </row>
    <row r="42" spans="1:7" ht="15.75" customHeight="1">
      <c r="A42" s="16">
        <v>2020100310</v>
      </c>
      <c r="B42" s="17" t="s">
        <v>228</v>
      </c>
      <c r="C42" s="12">
        <v>1250</v>
      </c>
      <c r="D42" s="20">
        <v>0</v>
      </c>
      <c r="E42" s="9">
        <f t="shared" si="0"/>
        <v>0</v>
      </c>
      <c r="F42" s="9">
        <f t="shared" si="1"/>
        <v>-1250</v>
      </c>
    </row>
    <row r="43" spans="1:7" ht="15.75" customHeight="1">
      <c r="A43" s="16">
        <v>2022000000</v>
      </c>
      <c r="B43" s="17" t="s">
        <v>19</v>
      </c>
      <c r="C43" s="12">
        <v>2097.6639399999999</v>
      </c>
      <c r="D43" s="10">
        <v>0</v>
      </c>
      <c r="E43" s="9">
        <f t="shared" si="0"/>
        <v>0</v>
      </c>
      <c r="F43" s="9">
        <f t="shared" si="1"/>
        <v>-2097.6639399999999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3582.7330000000002</v>
      </c>
      <c r="D45" s="185">
        <v>17.2334</v>
      </c>
      <c r="E45" s="9">
        <f t="shared" si="0"/>
        <v>0.48101267942657178</v>
      </c>
      <c r="F45" s="9">
        <f t="shared" si="1"/>
        <v>-3565.4996000000001</v>
      </c>
    </row>
    <row r="46" spans="1:7" ht="12.75" customHeight="1">
      <c r="A46" s="16">
        <v>2020400000</v>
      </c>
      <c r="B46" s="17" t="s">
        <v>21</v>
      </c>
      <c r="C46" s="12">
        <v>0</v>
      </c>
      <c r="D46" s="186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339</v>
      </c>
      <c r="C47" s="12">
        <v>0</v>
      </c>
      <c r="D47" s="186"/>
      <c r="E47" s="9"/>
      <c r="F47" s="9"/>
    </row>
    <row r="48" spans="1:7" ht="15" customHeight="1">
      <c r="A48" s="16">
        <v>2020900000</v>
      </c>
      <c r="B48" s="18" t="s">
        <v>22</v>
      </c>
      <c r="C48" s="12">
        <v>0</v>
      </c>
      <c r="D48" s="186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9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0</v>
      </c>
      <c r="D51" s="10">
        <v>0</v>
      </c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8">
        <f>C39+C40</f>
        <v>13747.246940000001</v>
      </c>
      <c r="D52" s="249">
        <f>D39+D40</f>
        <v>372.75603000000001</v>
      </c>
      <c r="E52" s="5">
        <f t="shared" si="0"/>
        <v>2.7114958480552325</v>
      </c>
      <c r="F52" s="5">
        <f t="shared" si="1"/>
        <v>-13374.49091</v>
      </c>
      <c r="G52" s="94"/>
    </row>
    <row r="53" spans="1:7" s="6" customFormat="1">
      <c r="A53" s="3"/>
      <c r="B53" s="21" t="s">
        <v>308</v>
      </c>
      <c r="C53" s="93">
        <f>C52-C103</f>
        <v>0</v>
      </c>
      <c r="D53" s="93">
        <f>D52-D103</f>
        <v>292.13953000000004</v>
      </c>
      <c r="E53" s="22"/>
      <c r="F53" s="22"/>
    </row>
    <row r="54" spans="1:7">
      <c r="A54" s="23"/>
      <c r="B54" s="24"/>
      <c r="C54" s="184"/>
      <c r="D54" s="184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418</v>
      </c>
      <c r="D55" s="73" t="s">
        <v>425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1">
        <f>C58+C59+C60+C61+C62+C64+C63</f>
        <v>2179.6669999999999</v>
      </c>
      <c r="D57" s="32">
        <f>D58+D59+D60+D61+D62+D64+D63</f>
        <v>46.3</v>
      </c>
      <c r="E57" s="34">
        <f>SUM(D57/C57*100)</f>
        <v>2.1241776840223761</v>
      </c>
      <c r="F57" s="34">
        <f>SUM(D57-C57)</f>
        <v>-2133.3669999999997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2174.6669999999999</v>
      </c>
      <c r="D59" s="37">
        <v>46.3</v>
      </c>
      <c r="E59" s="38">
        <f t="shared" ref="E59:E103" si="3">SUM(D59/C59*100)</f>
        <v>2.1290615988562847</v>
      </c>
      <c r="F59" s="38">
        <f t="shared" ref="F59:F103" si="4">SUM(D59-C59)</f>
        <v>-2128.3669999999997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/>
      <c r="D64" s="37">
        <v>0</v>
      </c>
      <c r="E64" s="38" t="e">
        <f t="shared" si="3"/>
        <v>#DIV/0!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4.8</v>
      </c>
      <c r="E65" s="34">
        <f t="shared" si="3"/>
        <v>2.3214536168730984</v>
      </c>
      <c r="F65" s="34">
        <f t="shared" si="4"/>
        <v>-201.96699999999998</v>
      </c>
    </row>
    <row r="66" spans="1:7">
      <c r="A66" s="43" t="s">
        <v>45</v>
      </c>
      <c r="B66" s="44" t="s">
        <v>46</v>
      </c>
      <c r="C66" s="37">
        <v>206.767</v>
      </c>
      <c r="D66" s="37">
        <v>4.8</v>
      </c>
      <c r="E66" s="38">
        <f t="shared" si="3"/>
        <v>2.3214536168730984</v>
      </c>
      <c r="F66" s="38">
        <f t="shared" si="4"/>
        <v>-201.96699999999998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0</v>
      </c>
      <c r="E67" s="34">
        <f t="shared" si="3"/>
        <v>0</v>
      </c>
      <c r="F67" s="34">
        <f t="shared" si="4"/>
        <v>-7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215</v>
      </c>
      <c r="B71" s="47" t="s">
        <v>216</v>
      </c>
      <c r="C71" s="37">
        <v>5</v>
      </c>
      <c r="D71" s="37">
        <v>0</v>
      </c>
      <c r="E71" s="34">
        <f t="shared" si="3"/>
        <v>0</v>
      </c>
      <c r="F71" s="34">
        <f t="shared" si="4"/>
        <v>-5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2870.48</v>
      </c>
      <c r="D73" s="48">
        <f>SUM(D74:D77)</f>
        <v>0</v>
      </c>
      <c r="E73" s="34">
        <f t="shared" si="3"/>
        <v>0</v>
      </c>
      <c r="F73" s="34">
        <f t="shared" si="4"/>
        <v>-2870.48</v>
      </c>
    </row>
    <row r="74" spans="1:7" ht="15" customHeight="1">
      <c r="A74" s="35" t="s">
        <v>57</v>
      </c>
      <c r="B74" s="39" t="s">
        <v>58</v>
      </c>
      <c r="C74" s="49">
        <v>4.26</v>
      </c>
      <c r="D74" s="37">
        <v>0</v>
      </c>
      <c r="E74" s="38">
        <f t="shared" si="3"/>
        <v>0</v>
      </c>
      <c r="F74" s="38">
        <f t="shared" si="4"/>
        <v>-4.26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2746.22</v>
      </c>
      <c r="D76" s="37">
        <v>0</v>
      </c>
      <c r="E76" s="38">
        <f t="shared" si="3"/>
        <v>0</v>
      </c>
      <c r="F76" s="38">
        <f t="shared" si="4"/>
        <v>-2746.22</v>
      </c>
    </row>
    <row r="77" spans="1:7">
      <c r="A77" s="35" t="s">
        <v>63</v>
      </c>
      <c r="B77" s="39" t="s">
        <v>64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7236.3329400000002</v>
      </c>
      <c r="D78" s="32">
        <f>SUM(D79:D82)</f>
        <v>29.516500000000001</v>
      </c>
      <c r="E78" s="34">
        <f t="shared" si="3"/>
        <v>0.40789306192426239</v>
      </c>
      <c r="F78" s="34">
        <f t="shared" si="4"/>
        <v>-7206.8164400000005</v>
      </c>
    </row>
    <row r="79" spans="1:7" ht="15.75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7.25" customHeight="1">
      <c r="A80" s="35" t="s">
        <v>69</v>
      </c>
      <c r="B80" s="51" t="s">
        <v>70</v>
      </c>
      <c r="C80" s="37">
        <v>2938.3890000000001</v>
      </c>
      <c r="D80" s="37">
        <v>0</v>
      </c>
      <c r="E80" s="38">
        <f t="shared" si="3"/>
        <v>0</v>
      </c>
      <c r="F80" s="38">
        <f t="shared" si="4"/>
        <v>-2938.3890000000001</v>
      </c>
    </row>
    <row r="81" spans="1:6" ht="18" customHeight="1">
      <c r="A81" s="35" t="s">
        <v>71</v>
      </c>
      <c r="B81" s="39" t="s">
        <v>72</v>
      </c>
      <c r="C81" s="37">
        <v>926.23793999999998</v>
      </c>
      <c r="D81" s="37">
        <v>29.516500000000001</v>
      </c>
      <c r="E81" s="38">
        <f t="shared" si="3"/>
        <v>3.1867081583809882</v>
      </c>
      <c r="F81" s="38">
        <f t="shared" si="4"/>
        <v>-896.72144000000003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1212</v>
      </c>
      <c r="D83" s="32">
        <f>D84+D85</f>
        <v>0</v>
      </c>
      <c r="E83" s="34">
        <f t="shared" si="3"/>
        <v>0</v>
      </c>
      <c r="F83" s="34">
        <f t="shared" si="4"/>
        <v>-1212</v>
      </c>
    </row>
    <row r="84" spans="1:6" ht="18" customHeight="1">
      <c r="A84" s="35" t="s">
        <v>85</v>
      </c>
      <c r="B84" s="39" t="s">
        <v>230</v>
      </c>
      <c r="C84" s="37">
        <v>1212</v>
      </c>
      <c r="D84" s="37">
        <v>0</v>
      </c>
      <c r="E84" s="38">
        <f t="shared" si="3"/>
        <v>0</v>
      </c>
      <c r="F84" s="38">
        <f t="shared" si="4"/>
        <v>-1212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0</v>
      </c>
      <c r="E93" s="38">
        <f t="shared" si="3"/>
        <v>0</v>
      </c>
      <c r="F93" s="22">
        <f>F94+F95+F96+F97+F98</f>
        <v>-35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0</v>
      </c>
      <c r="E94" s="38">
        <f t="shared" si="3"/>
        <v>0</v>
      </c>
      <c r="F94" s="38">
        <f>SUM(D94-C94)</f>
        <v>-35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1">
        <f>C57+C65+C67+C73+C78+C83+C86+C93+C99+C91</f>
        <v>13747.246940000001</v>
      </c>
      <c r="D103" s="251">
        <f>D57+D65+D67+D73+D78+D83+D86+D93+D99+D91</f>
        <v>80.616500000000002</v>
      </c>
      <c r="E103" s="34">
        <f t="shared" si="3"/>
        <v>0.58641923253325945</v>
      </c>
      <c r="F103" s="34">
        <f t="shared" si="4"/>
        <v>-13666.630440000001</v>
      </c>
    </row>
    <row r="104" spans="1:6">
      <c r="D104" s="180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25">
      <selection activeCell="C41" sqref="C4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2020-02-07T13:48:23Z</cp:lastPrinted>
  <dcterms:created xsi:type="dcterms:W3CDTF">1996-10-08T23:32:33Z</dcterms:created>
  <dcterms:modified xsi:type="dcterms:W3CDTF">2021-02-05T11:42:28Z</dcterms:modified>
</cp:coreProperties>
</file>