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-120" windowWidth="13650" windowHeight="1584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1'!$5:$5</definedName>
    <definedName name="_xlnm.Print_Titles" localSheetId="1">'Приложение 2'!$4:$5</definedName>
    <definedName name="_xlnm.Print_Titles" localSheetId="2">'Приложение 3'!$4:$4</definedName>
    <definedName name="_xlnm.Print_Titles" localSheetId="3">'Приложение 4'!$5:$5</definedName>
  </definedNames>
  <calcPr calcId="145621"/>
</workbook>
</file>

<file path=xl/calcChain.xml><?xml version="1.0" encoding="utf-8"?>
<calcChain xmlns="http://schemas.openxmlformats.org/spreadsheetml/2006/main">
  <c r="D150" i="1" l="1"/>
  <c r="I383" i="2" l="1"/>
  <c r="H383" i="2"/>
  <c r="G383" i="2"/>
  <c r="F383" i="2"/>
  <c r="E383" i="2"/>
  <c r="C383" i="2"/>
  <c r="I381" i="2"/>
  <c r="H381" i="2"/>
  <c r="C381" i="2" s="1"/>
  <c r="G381" i="2"/>
  <c r="F381" i="2"/>
  <c r="E381" i="2"/>
  <c r="I380" i="2"/>
  <c r="I379" i="2" s="1"/>
  <c r="H380" i="2"/>
  <c r="H379" i="2" s="1"/>
  <c r="G380" i="2"/>
  <c r="G379" i="2" s="1"/>
  <c r="F380" i="2"/>
  <c r="F379" i="2" s="1"/>
  <c r="C379" i="2" s="1"/>
  <c r="E380" i="2"/>
  <c r="C380" i="2" s="1"/>
  <c r="E379" i="2"/>
  <c r="I378" i="2"/>
  <c r="H378" i="2"/>
  <c r="G378" i="2"/>
  <c r="F378" i="2"/>
  <c r="E378" i="2"/>
  <c r="C378" i="2"/>
  <c r="I376" i="2"/>
  <c r="H376" i="2"/>
  <c r="C376" i="2" s="1"/>
  <c r="G376" i="2"/>
  <c r="F376" i="2"/>
  <c r="E376" i="2"/>
  <c r="I375" i="2"/>
  <c r="I374" i="2" s="1"/>
  <c r="H375" i="2"/>
  <c r="H374" i="2" s="1"/>
  <c r="G375" i="2"/>
  <c r="G374" i="2" s="1"/>
  <c r="F375" i="2"/>
  <c r="F374" i="2" s="1"/>
  <c r="E375" i="2"/>
  <c r="C375" i="2" s="1"/>
  <c r="E374" i="2"/>
  <c r="D374" i="2"/>
  <c r="I373" i="2"/>
  <c r="H373" i="2"/>
  <c r="G373" i="2"/>
  <c r="F373" i="2"/>
  <c r="E373" i="2"/>
  <c r="C373" i="2"/>
  <c r="I371" i="2"/>
  <c r="C371" i="2" s="1"/>
  <c r="H371" i="2"/>
  <c r="G371" i="2"/>
  <c r="F371" i="2"/>
  <c r="E371" i="2"/>
  <c r="I370" i="2"/>
  <c r="I369" i="2" s="1"/>
  <c r="H370" i="2"/>
  <c r="H369" i="2" s="1"/>
  <c r="G370" i="2"/>
  <c r="C370" i="2" s="1"/>
  <c r="F370" i="2"/>
  <c r="E370" i="2"/>
  <c r="F369" i="2"/>
  <c r="E369" i="2"/>
  <c r="H368" i="2"/>
  <c r="G368" i="2"/>
  <c r="C368" i="2"/>
  <c r="H366" i="2"/>
  <c r="G366" i="2"/>
  <c r="G364" i="2" s="1"/>
  <c r="C366" i="2"/>
  <c r="H365" i="2"/>
  <c r="H364" i="2" s="1"/>
  <c r="G365" i="2"/>
  <c r="C365" i="2" s="1"/>
  <c r="E363" i="2"/>
  <c r="C363" i="2"/>
  <c r="E361" i="2"/>
  <c r="C361" i="2" s="1"/>
  <c r="E360" i="2"/>
  <c r="C360" i="2"/>
  <c r="I358" i="2"/>
  <c r="H358" i="2"/>
  <c r="G358" i="2"/>
  <c r="C358" i="2" s="1"/>
  <c r="F358" i="2"/>
  <c r="E358" i="2"/>
  <c r="D358" i="2"/>
  <c r="I356" i="2"/>
  <c r="H356" i="2"/>
  <c r="G356" i="2"/>
  <c r="F356" i="2"/>
  <c r="C356" i="2" s="1"/>
  <c r="E356" i="2"/>
  <c r="D356" i="2"/>
  <c r="I355" i="2"/>
  <c r="I354" i="2" s="1"/>
  <c r="H355" i="2"/>
  <c r="H354" i="2" s="1"/>
  <c r="G355" i="2"/>
  <c r="G354" i="2" s="1"/>
  <c r="F355" i="2"/>
  <c r="F354" i="2" s="1"/>
  <c r="E355" i="2"/>
  <c r="E354" i="2" s="1"/>
  <c r="D355" i="2"/>
  <c r="C355" i="2" s="1"/>
  <c r="D354" i="2"/>
  <c r="E353" i="2"/>
  <c r="C353" i="2"/>
  <c r="E351" i="2"/>
  <c r="C351" i="2"/>
  <c r="E350" i="2"/>
  <c r="C350" i="2"/>
  <c r="E349" i="2"/>
  <c r="C349" i="2" s="1"/>
  <c r="F348" i="2"/>
  <c r="C348" i="2"/>
  <c r="F346" i="2"/>
  <c r="C346" i="2"/>
  <c r="F345" i="2"/>
  <c r="C345" i="2"/>
  <c r="F344" i="2"/>
  <c r="C344" i="2" s="1"/>
  <c r="G343" i="2"/>
  <c r="F343" i="2"/>
  <c r="C343" i="2"/>
  <c r="G341" i="2"/>
  <c r="F341" i="2"/>
  <c r="F339" i="2" s="1"/>
  <c r="C339" i="2" s="1"/>
  <c r="C341" i="2"/>
  <c r="G340" i="2"/>
  <c r="G339" i="2" s="1"/>
  <c r="F340" i="2"/>
  <c r="C340" i="2" s="1"/>
  <c r="E338" i="2"/>
  <c r="C338" i="2"/>
  <c r="E336" i="2"/>
  <c r="C336" i="2" s="1"/>
  <c r="E335" i="2"/>
  <c r="C335" i="2"/>
  <c r="G333" i="2"/>
  <c r="F333" i="2"/>
  <c r="C333" i="2"/>
  <c r="G331" i="2"/>
  <c r="F331" i="2"/>
  <c r="C331" i="2"/>
  <c r="G330" i="2"/>
  <c r="F330" i="2"/>
  <c r="C330" i="2"/>
  <c r="F329" i="2"/>
  <c r="C329" i="2"/>
  <c r="I328" i="2"/>
  <c r="H328" i="2"/>
  <c r="G328" i="2"/>
  <c r="C328" i="2"/>
  <c r="I326" i="2"/>
  <c r="H326" i="2"/>
  <c r="G326" i="2"/>
  <c r="C326" i="2"/>
  <c r="I325" i="2"/>
  <c r="H325" i="2"/>
  <c r="G325" i="2"/>
  <c r="C325" i="2"/>
  <c r="I324" i="2"/>
  <c r="C324" i="2" s="1"/>
  <c r="H324" i="2"/>
  <c r="G324" i="2"/>
  <c r="F323" i="2"/>
  <c r="C323" i="2" s="1"/>
  <c r="F321" i="2"/>
  <c r="C321" i="2"/>
  <c r="F320" i="2"/>
  <c r="C320" i="2"/>
  <c r="F319" i="2"/>
  <c r="C319" i="2"/>
  <c r="F318" i="2"/>
  <c r="C318" i="2" s="1"/>
  <c r="F316" i="2"/>
  <c r="C316" i="2"/>
  <c r="F315" i="2"/>
  <c r="C315" i="2"/>
  <c r="F314" i="2"/>
  <c r="C314" i="2"/>
  <c r="F313" i="2"/>
  <c r="C313" i="2" s="1"/>
  <c r="F311" i="2"/>
  <c r="C311" i="2"/>
  <c r="F310" i="2"/>
  <c r="C310" i="2"/>
  <c r="F309" i="2"/>
  <c r="C309" i="2"/>
  <c r="F308" i="2"/>
  <c r="C308" i="2" s="1"/>
  <c r="F306" i="2"/>
  <c r="C306" i="2"/>
  <c r="F305" i="2"/>
  <c r="C305" i="2"/>
  <c r="F304" i="2"/>
  <c r="C304" i="2"/>
  <c r="F303" i="2"/>
  <c r="C303" i="2" s="1"/>
  <c r="F301" i="2"/>
  <c r="C301" i="2"/>
  <c r="F300" i="2"/>
  <c r="C300" i="2"/>
  <c r="F299" i="2"/>
  <c r="C299" i="2"/>
  <c r="G298" i="2"/>
  <c r="C298" i="2" s="1"/>
  <c r="G296" i="2"/>
  <c r="C296" i="2"/>
  <c r="G295" i="2"/>
  <c r="C295" i="2"/>
  <c r="G294" i="2"/>
  <c r="F294" i="2"/>
  <c r="C294" i="2" s="1"/>
  <c r="F293" i="2"/>
  <c r="C293" i="2"/>
  <c r="F291" i="2"/>
  <c r="C291" i="2"/>
  <c r="F290" i="2"/>
  <c r="C290" i="2"/>
  <c r="F289" i="2"/>
  <c r="C289" i="2" s="1"/>
  <c r="F288" i="2"/>
  <c r="C288" i="2"/>
  <c r="F286" i="2"/>
  <c r="C286" i="2"/>
  <c r="F285" i="2"/>
  <c r="C285" i="2"/>
  <c r="F284" i="2"/>
  <c r="C284" i="2" s="1"/>
  <c r="E283" i="2"/>
  <c r="C283" i="2"/>
  <c r="E281" i="2"/>
  <c r="C281" i="2"/>
  <c r="E280" i="2"/>
  <c r="C280" i="2"/>
  <c r="E279" i="2"/>
  <c r="C279" i="2" s="1"/>
  <c r="E278" i="2"/>
  <c r="C278" i="2"/>
  <c r="E276" i="2"/>
  <c r="C276" i="2"/>
  <c r="E275" i="2"/>
  <c r="C275" i="2"/>
  <c r="E274" i="2"/>
  <c r="C274" i="2" s="1"/>
  <c r="E273" i="2"/>
  <c r="C273" i="2"/>
  <c r="E271" i="2"/>
  <c r="C271" i="2"/>
  <c r="E270" i="2"/>
  <c r="C270" i="2"/>
  <c r="E269" i="2"/>
  <c r="C269" i="2" s="1"/>
  <c r="G268" i="2"/>
  <c r="C268" i="2"/>
  <c r="G266" i="2"/>
  <c r="C266" i="2"/>
  <c r="G265" i="2"/>
  <c r="C265" i="2"/>
  <c r="G264" i="2"/>
  <c r="C264" i="2" s="1"/>
  <c r="G263" i="2"/>
  <c r="C263" i="2"/>
  <c r="G261" i="2"/>
  <c r="C261" i="2"/>
  <c r="G260" i="2"/>
  <c r="C260" i="2"/>
  <c r="G259" i="2"/>
  <c r="C259" i="2" s="1"/>
  <c r="F258" i="2"/>
  <c r="C258" i="2"/>
  <c r="F256" i="2"/>
  <c r="C256" i="2"/>
  <c r="F255" i="2"/>
  <c r="F254" i="2" s="1"/>
  <c r="C254" i="2" s="1"/>
  <c r="C255" i="2"/>
  <c r="G254" i="2"/>
  <c r="G253" i="2"/>
  <c r="C253" i="2"/>
  <c r="G251" i="2"/>
  <c r="C251" i="2"/>
  <c r="G250" i="2"/>
  <c r="G249" i="2" s="1"/>
  <c r="C249" i="2" s="1"/>
  <c r="C250" i="2"/>
  <c r="F248" i="2"/>
  <c r="C248" i="2"/>
  <c r="F246" i="2"/>
  <c r="C246" i="2"/>
  <c r="F245" i="2"/>
  <c r="F244" i="2" s="1"/>
  <c r="C244" i="2" s="1"/>
  <c r="C245" i="2"/>
  <c r="G244" i="2"/>
  <c r="E243" i="2"/>
  <c r="C243" i="2"/>
  <c r="E241" i="2"/>
  <c r="C241" i="2"/>
  <c r="E240" i="2"/>
  <c r="C240" i="2" s="1"/>
  <c r="E238" i="2"/>
  <c r="C238" i="2"/>
  <c r="E236" i="2"/>
  <c r="C236" i="2"/>
  <c r="E235" i="2"/>
  <c r="C235" i="2" s="1"/>
  <c r="E233" i="2"/>
  <c r="C233" i="2"/>
  <c r="E231" i="2"/>
  <c r="C231" i="2"/>
  <c r="E230" i="2"/>
  <c r="C230" i="2" s="1"/>
  <c r="F228" i="2"/>
  <c r="C228" i="2"/>
  <c r="F226" i="2"/>
  <c r="C226" i="2"/>
  <c r="F225" i="2"/>
  <c r="C225" i="2" s="1"/>
  <c r="F223" i="2"/>
  <c r="C223" i="2"/>
  <c r="F221" i="2"/>
  <c r="C221" i="2"/>
  <c r="F220" i="2"/>
  <c r="C220" i="2" s="1"/>
  <c r="F218" i="2"/>
  <c r="C218" i="2"/>
  <c r="F216" i="2"/>
  <c r="C216" i="2"/>
  <c r="F215" i="2"/>
  <c r="C215" i="2" s="1"/>
  <c r="F213" i="2"/>
  <c r="C213" i="2"/>
  <c r="F211" i="2"/>
  <c r="C211" i="2"/>
  <c r="F210" i="2"/>
  <c r="C210" i="2" s="1"/>
  <c r="C208" i="2"/>
  <c r="C206" i="2"/>
  <c r="C205" i="2"/>
  <c r="E204" i="2"/>
  <c r="C204" i="2"/>
  <c r="C203" i="2"/>
  <c r="C201" i="2"/>
  <c r="C200" i="2"/>
  <c r="F199" i="2"/>
  <c r="E199" i="2"/>
  <c r="C199" i="2"/>
  <c r="C198" i="2"/>
  <c r="C196" i="2"/>
  <c r="C195" i="2"/>
  <c r="F194" i="2"/>
  <c r="E194" i="2"/>
  <c r="D194" i="2"/>
  <c r="C194" i="2"/>
  <c r="C192" i="2"/>
  <c r="C191" i="2"/>
  <c r="C190" i="2"/>
  <c r="I189" i="2"/>
  <c r="H189" i="2"/>
  <c r="G189" i="2"/>
  <c r="F189" i="2"/>
  <c r="E189" i="2"/>
  <c r="D189" i="2"/>
  <c r="C189" i="2"/>
  <c r="C186" i="2"/>
  <c r="C185" i="2"/>
  <c r="I184" i="2"/>
  <c r="H184" i="2"/>
  <c r="G184" i="2"/>
  <c r="F184" i="2"/>
  <c r="E184" i="2"/>
  <c r="D184" i="2"/>
  <c r="C184" i="2"/>
  <c r="C183" i="2"/>
  <c r="C182" i="2"/>
  <c r="C181" i="2"/>
  <c r="C180" i="2"/>
  <c r="I179" i="2"/>
  <c r="H179" i="2"/>
  <c r="G179" i="2"/>
  <c r="F179" i="2"/>
  <c r="C179" i="2" s="1"/>
  <c r="E179" i="2"/>
  <c r="D179" i="2"/>
  <c r="C176" i="2"/>
  <c r="C175" i="2"/>
  <c r="I174" i="2"/>
  <c r="H174" i="2"/>
  <c r="G174" i="2"/>
  <c r="C174" i="2" s="1"/>
  <c r="F174" i="2"/>
  <c r="E174" i="2"/>
  <c r="D174" i="2"/>
  <c r="C172" i="2"/>
  <c r="C170" i="2"/>
  <c r="I169" i="2"/>
  <c r="H169" i="2"/>
  <c r="C169" i="2" s="1"/>
  <c r="G169" i="2"/>
  <c r="F169" i="2"/>
  <c r="E169" i="2"/>
  <c r="D169" i="2"/>
  <c r="C35" i="2"/>
  <c r="C34" i="2"/>
  <c r="C33" i="2"/>
  <c r="H32" i="2"/>
  <c r="G32" i="2"/>
  <c r="F32" i="2"/>
  <c r="C32" i="2"/>
  <c r="C31" i="2"/>
  <c r="C30" i="2"/>
  <c r="C29" i="2"/>
  <c r="C28" i="2"/>
  <c r="I27" i="2"/>
  <c r="H27" i="2"/>
  <c r="G27" i="2"/>
  <c r="F27" i="2"/>
  <c r="E27" i="2"/>
  <c r="D27" i="2"/>
  <c r="C27" i="2" s="1"/>
  <c r="C25" i="2"/>
  <c r="C24" i="2"/>
  <c r="C23" i="2"/>
  <c r="I22" i="2"/>
  <c r="H22" i="2"/>
  <c r="G22" i="2"/>
  <c r="F22" i="2"/>
  <c r="E22" i="2"/>
  <c r="D22" i="2"/>
  <c r="C22" i="2" s="1"/>
  <c r="C20" i="2"/>
  <c r="C19" i="2"/>
  <c r="C18" i="2"/>
  <c r="I17" i="2"/>
  <c r="H17" i="2"/>
  <c r="G17" i="2"/>
  <c r="F17" i="2"/>
  <c r="E17" i="2"/>
  <c r="C17" i="2" s="1"/>
  <c r="D17" i="2"/>
  <c r="C15" i="2"/>
  <c r="C14" i="2"/>
  <c r="C13" i="2"/>
  <c r="I12" i="2"/>
  <c r="H12" i="2"/>
  <c r="G12" i="2"/>
  <c r="F12" i="2"/>
  <c r="E12" i="2"/>
  <c r="D12" i="2"/>
  <c r="C12" i="2"/>
  <c r="C10" i="2"/>
  <c r="C9" i="2"/>
  <c r="C8" i="2"/>
  <c r="I7" i="2"/>
  <c r="H7" i="2"/>
  <c r="G7" i="2"/>
  <c r="F7" i="2"/>
  <c r="E7" i="2"/>
  <c r="C7" i="2" s="1"/>
  <c r="D7" i="2"/>
  <c r="C354" i="2" l="1"/>
  <c r="C374" i="2"/>
  <c r="C364" i="2"/>
  <c r="G369" i="2"/>
  <c r="C369" i="2" s="1"/>
  <c r="E334" i="2"/>
  <c r="C334" i="2" s="1"/>
  <c r="E359" i="2"/>
  <c r="C359" i="2" s="1"/>
  <c r="F209" i="2"/>
  <c r="C209" i="2" s="1"/>
  <c r="F214" i="2"/>
  <c r="C214" i="2" s="1"/>
  <c r="F219" i="2"/>
  <c r="C219" i="2" s="1"/>
  <c r="F224" i="2"/>
  <c r="C224" i="2" s="1"/>
  <c r="E229" i="2"/>
  <c r="C229" i="2" s="1"/>
  <c r="E234" i="2"/>
  <c r="C234" i="2" s="1"/>
  <c r="E239" i="2"/>
  <c r="C239" i="2" s="1"/>
  <c r="B184" i="1" l="1"/>
  <c r="C402" i="2" l="1"/>
  <c r="C401" i="2"/>
  <c r="I400" i="2"/>
  <c r="H400" i="2"/>
  <c r="F400" i="2"/>
  <c r="E400" i="2"/>
  <c r="D400" i="2"/>
  <c r="C400" i="2" l="1"/>
  <c r="F420" i="2"/>
  <c r="G420" i="2"/>
  <c r="H420" i="2"/>
  <c r="I420" i="2"/>
  <c r="E724" i="2" l="1"/>
  <c r="C727" i="2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C498" i="2" l="1"/>
  <c r="C493" i="2"/>
  <c r="C488" i="2"/>
  <c r="C483" i="2"/>
  <c r="C478" i="2"/>
  <c r="C473" i="2"/>
  <c r="C468" i="2"/>
  <c r="C463" i="2"/>
  <c r="C458" i="2"/>
  <c r="C453" i="2"/>
  <c r="C448" i="2"/>
  <c r="C443" i="2"/>
  <c r="C438" i="2"/>
  <c r="C433" i="2"/>
  <c r="I499" i="2"/>
  <c r="D495" i="2"/>
  <c r="E490" i="2"/>
  <c r="D490" i="2"/>
  <c r="I485" i="2"/>
  <c r="G485" i="2"/>
  <c r="F485" i="2"/>
  <c r="E485" i="2"/>
  <c r="D485" i="2"/>
  <c r="I480" i="2"/>
  <c r="H480" i="2"/>
  <c r="G480" i="2"/>
  <c r="F480" i="2"/>
  <c r="E480" i="2"/>
  <c r="D480" i="2"/>
  <c r="I475" i="2"/>
  <c r="H475" i="2"/>
  <c r="G475" i="2"/>
  <c r="F475" i="2"/>
  <c r="E475" i="2"/>
  <c r="D475" i="2"/>
  <c r="I470" i="2"/>
  <c r="F470" i="2"/>
  <c r="E470" i="2"/>
  <c r="D470" i="2"/>
  <c r="I465" i="2"/>
  <c r="F465" i="2"/>
  <c r="E465" i="2"/>
  <c r="D465" i="2"/>
  <c r="F460" i="2"/>
  <c r="E460" i="2"/>
  <c r="D460" i="2"/>
  <c r="I455" i="2"/>
  <c r="F455" i="2"/>
  <c r="E455" i="2"/>
  <c r="D455" i="2"/>
  <c r="I450" i="2"/>
  <c r="H450" i="2"/>
  <c r="G450" i="2"/>
  <c r="F450" i="2"/>
  <c r="E450" i="2"/>
  <c r="D450" i="2"/>
  <c r="I445" i="2"/>
  <c r="H445" i="2"/>
  <c r="G445" i="2"/>
  <c r="F445" i="2"/>
  <c r="E445" i="2"/>
  <c r="D445" i="2"/>
  <c r="I440" i="2"/>
  <c r="H440" i="2"/>
  <c r="G440" i="2"/>
  <c r="F440" i="2"/>
  <c r="E440" i="2"/>
  <c r="D440" i="2"/>
  <c r="I435" i="2"/>
  <c r="G435" i="2"/>
  <c r="F435" i="2"/>
  <c r="E435" i="2"/>
  <c r="D435" i="2"/>
  <c r="I430" i="2"/>
  <c r="H430" i="2"/>
  <c r="G430" i="2"/>
  <c r="F430" i="2"/>
  <c r="E430" i="2"/>
  <c r="D430" i="2"/>
  <c r="C428" i="2"/>
  <c r="G425" i="2"/>
  <c r="F425" i="2"/>
  <c r="E425" i="2"/>
  <c r="D390" i="2" l="1"/>
  <c r="E390" i="2"/>
  <c r="F390" i="2"/>
  <c r="G390" i="2"/>
  <c r="H390" i="2"/>
  <c r="H500" i="2" s="1"/>
  <c r="I390" i="2"/>
  <c r="D395" i="2"/>
  <c r="E395" i="2"/>
  <c r="F395" i="2"/>
  <c r="G395" i="2"/>
  <c r="H395" i="2"/>
  <c r="I395" i="2"/>
  <c r="D405" i="2"/>
  <c r="E405" i="2"/>
  <c r="F405" i="2"/>
  <c r="G405" i="2"/>
  <c r="H405" i="2"/>
  <c r="I405" i="2"/>
  <c r="D410" i="2"/>
  <c r="E410" i="2"/>
  <c r="F410" i="2"/>
  <c r="G410" i="2"/>
  <c r="H410" i="2"/>
  <c r="I410" i="2"/>
  <c r="D415" i="2"/>
  <c r="E415" i="2"/>
  <c r="F415" i="2"/>
  <c r="G415" i="2"/>
  <c r="H415" i="2"/>
  <c r="I415" i="2"/>
  <c r="D420" i="2"/>
  <c r="E420" i="2"/>
  <c r="D425" i="2"/>
  <c r="H425" i="2"/>
  <c r="I425" i="2"/>
  <c r="D500" i="2" l="1"/>
  <c r="G500" i="2"/>
  <c r="F500" i="2"/>
  <c r="I500" i="2"/>
  <c r="E500" i="2"/>
  <c r="C711" i="2"/>
  <c r="C710" i="2"/>
  <c r="C709" i="2"/>
  <c r="C708" i="2"/>
  <c r="C706" i="2"/>
  <c r="C705" i="2"/>
  <c r="C704" i="2"/>
  <c r="I703" i="2"/>
  <c r="H703" i="2"/>
  <c r="E703" i="2"/>
  <c r="D703" i="2"/>
  <c r="C701" i="2"/>
  <c r="C700" i="2"/>
  <c r="F699" i="2"/>
  <c r="C699" i="2" s="1"/>
  <c r="I698" i="2"/>
  <c r="H698" i="2"/>
  <c r="E698" i="2"/>
  <c r="D698" i="2"/>
  <c r="C696" i="2"/>
  <c r="C695" i="2"/>
  <c r="F694" i="2"/>
  <c r="F693" i="2" s="1"/>
  <c r="E694" i="2"/>
  <c r="E693" i="2" s="1"/>
  <c r="I693" i="2"/>
  <c r="H693" i="2"/>
  <c r="G693" i="2"/>
  <c r="D693" i="2"/>
  <c r="C691" i="2"/>
  <c r="C690" i="2"/>
  <c r="C689" i="2"/>
  <c r="I688" i="2"/>
  <c r="H688" i="2"/>
  <c r="G688" i="2"/>
  <c r="F688" i="2"/>
  <c r="D688" i="2"/>
  <c r="C686" i="2"/>
  <c r="C685" i="2"/>
  <c r="C684" i="2"/>
  <c r="I683" i="2"/>
  <c r="H683" i="2"/>
  <c r="G683" i="2"/>
  <c r="F683" i="2"/>
  <c r="E683" i="2"/>
  <c r="D683" i="2"/>
  <c r="C681" i="2"/>
  <c r="C680" i="2"/>
  <c r="C679" i="2"/>
  <c r="F678" i="2"/>
  <c r="E678" i="2"/>
  <c r="C676" i="2"/>
  <c r="C675" i="2"/>
  <c r="C674" i="2"/>
  <c r="F673" i="2"/>
  <c r="C673" i="2" s="1"/>
  <c r="C671" i="2"/>
  <c r="C670" i="2"/>
  <c r="C669" i="2"/>
  <c r="F668" i="2"/>
  <c r="E668" i="2"/>
  <c r="C666" i="2"/>
  <c r="C665" i="2"/>
  <c r="C664" i="2"/>
  <c r="I663" i="2"/>
  <c r="H663" i="2"/>
  <c r="G663" i="2"/>
  <c r="F663" i="2"/>
  <c r="E663" i="2"/>
  <c r="D663" i="2"/>
  <c r="C803" i="2"/>
  <c r="C802" i="2"/>
  <c r="C801" i="2"/>
  <c r="I800" i="2"/>
  <c r="H800" i="2"/>
  <c r="G800" i="2"/>
  <c r="F800" i="2"/>
  <c r="E800" i="2"/>
  <c r="D800" i="2"/>
  <c r="C799" i="2"/>
  <c r="C798" i="2"/>
  <c r="C797" i="2"/>
  <c r="C796" i="2"/>
  <c r="I795" i="2"/>
  <c r="H795" i="2"/>
  <c r="G795" i="2"/>
  <c r="F795" i="2"/>
  <c r="E795" i="2"/>
  <c r="D795" i="2"/>
  <c r="C794" i="2"/>
  <c r="C793" i="2"/>
  <c r="C792" i="2"/>
  <c r="C791" i="2"/>
  <c r="H790" i="2"/>
  <c r="G790" i="2"/>
  <c r="F790" i="2"/>
  <c r="E790" i="2"/>
  <c r="D790" i="2"/>
  <c r="C789" i="2"/>
  <c r="C788" i="2"/>
  <c r="C787" i="2"/>
  <c r="C786" i="2"/>
  <c r="I785" i="2"/>
  <c r="H785" i="2"/>
  <c r="G785" i="2"/>
  <c r="F785" i="2"/>
  <c r="E785" i="2"/>
  <c r="D785" i="2"/>
  <c r="C784" i="2"/>
  <c r="C783" i="2"/>
  <c r="C782" i="2"/>
  <c r="C781" i="2"/>
  <c r="I780" i="2"/>
  <c r="H780" i="2"/>
  <c r="G780" i="2"/>
  <c r="F780" i="2"/>
  <c r="E780" i="2"/>
  <c r="D780" i="2"/>
  <c r="C779" i="2"/>
  <c r="C778" i="2"/>
  <c r="C777" i="2"/>
  <c r="C776" i="2"/>
  <c r="I775" i="2"/>
  <c r="H775" i="2"/>
  <c r="G775" i="2"/>
  <c r="F775" i="2"/>
  <c r="E775" i="2"/>
  <c r="D775" i="2"/>
  <c r="C774" i="2"/>
  <c r="C773" i="2"/>
  <c r="C772" i="2"/>
  <c r="C771" i="2"/>
  <c r="I770" i="2"/>
  <c r="H770" i="2"/>
  <c r="G770" i="2"/>
  <c r="F770" i="2"/>
  <c r="E770" i="2"/>
  <c r="D770" i="2"/>
  <c r="C769" i="2"/>
  <c r="C768" i="2"/>
  <c r="C767" i="2"/>
  <c r="C766" i="2"/>
  <c r="I765" i="2"/>
  <c r="H765" i="2"/>
  <c r="G765" i="2"/>
  <c r="F765" i="2"/>
  <c r="E765" i="2"/>
  <c r="D765" i="2"/>
  <c r="C764" i="2"/>
  <c r="C762" i="2"/>
  <c r="C761" i="2"/>
  <c r="I760" i="2"/>
  <c r="H760" i="2"/>
  <c r="G760" i="2"/>
  <c r="F760" i="2"/>
  <c r="E760" i="2"/>
  <c r="D760" i="2"/>
  <c r="C40" i="2"/>
  <c r="F805" i="2" l="1"/>
  <c r="G713" i="2"/>
  <c r="C678" i="2"/>
  <c r="C688" i="2"/>
  <c r="E713" i="2"/>
  <c r="G805" i="2"/>
  <c r="D713" i="2"/>
  <c r="H713" i="2"/>
  <c r="H805" i="2"/>
  <c r="I713" i="2"/>
  <c r="D805" i="2"/>
  <c r="E805" i="2"/>
  <c r="I805" i="2"/>
  <c r="C694" i="2"/>
  <c r="C795" i="2"/>
  <c r="C668" i="2"/>
  <c r="C760" i="2"/>
  <c r="C775" i="2"/>
  <c r="C790" i="2"/>
  <c r="C800" i="2"/>
  <c r="C765" i="2"/>
  <c r="C683" i="2"/>
  <c r="C785" i="2"/>
  <c r="C663" i="2"/>
  <c r="C780" i="2"/>
  <c r="C693" i="2"/>
  <c r="C770" i="2"/>
  <c r="C703" i="2"/>
  <c r="F698" i="2"/>
  <c r="C698" i="2" s="1"/>
  <c r="C752" i="2"/>
  <c r="C747" i="2"/>
  <c r="C742" i="2"/>
  <c r="C737" i="2"/>
  <c r="C732" i="2"/>
  <c r="G751" i="2"/>
  <c r="G749" i="2" s="1"/>
  <c r="F751" i="2"/>
  <c r="F749" i="2" s="1"/>
  <c r="E751" i="2"/>
  <c r="E749" i="2" s="1"/>
  <c r="I749" i="2"/>
  <c r="H749" i="2"/>
  <c r="I744" i="2"/>
  <c r="H744" i="2"/>
  <c r="G744" i="2"/>
  <c r="F744" i="2"/>
  <c r="E744" i="2"/>
  <c r="I739" i="2"/>
  <c r="H739" i="2"/>
  <c r="G739" i="2"/>
  <c r="F739" i="2"/>
  <c r="E739" i="2"/>
  <c r="H736" i="2"/>
  <c r="H734" i="2" s="1"/>
  <c r="G736" i="2"/>
  <c r="G734" i="2" s="1"/>
  <c r="I734" i="2"/>
  <c r="F734" i="2"/>
  <c r="E734" i="2"/>
  <c r="H731" i="2"/>
  <c r="H729" i="2" s="1"/>
  <c r="G731" i="2"/>
  <c r="G729" i="2" s="1"/>
  <c r="F731" i="2"/>
  <c r="F729" i="2" s="1"/>
  <c r="I729" i="2"/>
  <c r="E729" i="2"/>
  <c r="F722" i="2"/>
  <c r="F721" i="2" s="1"/>
  <c r="F719" i="2" s="1"/>
  <c r="C713" i="2" l="1"/>
  <c r="C805" i="2"/>
  <c r="F713" i="2"/>
  <c r="C722" i="2"/>
  <c r="D719" i="2"/>
  <c r="E719" i="2"/>
  <c r="E754" i="2" s="1"/>
  <c r="G719" i="2"/>
  <c r="H719" i="2"/>
  <c r="I719" i="2"/>
  <c r="I754" i="2" s="1"/>
  <c r="C720" i="2"/>
  <c r="C721" i="2"/>
  <c r="D724" i="2"/>
  <c r="F724" i="2"/>
  <c r="F754" i="2" s="1"/>
  <c r="G724" i="2"/>
  <c r="H724" i="2"/>
  <c r="I724" i="2"/>
  <c r="C725" i="2"/>
  <c r="C726" i="2"/>
  <c r="C729" i="2"/>
  <c r="C730" i="2"/>
  <c r="C731" i="2"/>
  <c r="C734" i="2"/>
  <c r="C735" i="2"/>
  <c r="C736" i="2"/>
  <c r="C739" i="2"/>
  <c r="C740" i="2"/>
  <c r="C741" i="2"/>
  <c r="C744" i="2"/>
  <c r="C745" i="2"/>
  <c r="C746" i="2"/>
  <c r="C749" i="2"/>
  <c r="C750" i="2"/>
  <c r="C751" i="2"/>
  <c r="G754" i="2" l="1"/>
  <c r="D754" i="2"/>
  <c r="H754" i="2"/>
  <c r="C719" i="2"/>
  <c r="C754" i="2" s="1"/>
  <c r="C724" i="2"/>
  <c r="F652" i="2"/>
  <c r="E652" i="2"/>
  <c r="C655" i="2"/>
  <c r="F647" i="2"/>
  <c r="G647" i="2"/>
  <c r="H647" i="2"/>
  <c r="I647" i="2"/>
  <c r="E647" i="2"/>
  <c r="C650" i="2"/>
  <c r="F642" i="2"/>
  <c r="G642" i="2"/>
  <c r="H642" i="2"/>
  <c r="I642" i="2"/>
  <c r="E642" i="2"/>
  <c r="C645" i="2"/>
  <c r="C646" i="2"/>
  <c r="C161" i="2" l="1"/>
  <c r="C160" i="2"/>
  <c r="I158" i="2"/>
  <c r="H158" i="2"/>
  <c r="G158" i="2"/>
  <c r="F158" i="2"/>
  <c r="E158" i="2"/>
  <c r="D158" i="2"/>
  <c r="C156" i="2"/>
  <c r="C155" i="2"/>
  <c r="I153" i="2"/>
  <c r="H153" i="2"/>
  <c r="G153" i="2"/>
  <c r="F153" i="2"/>
  <c r="E153" i="2"/>
  <c r="D153" i="2"/>
  <c r="C151" i="2"/>
  <c r="C150" i="2"/>
  <c r="C149" i="2"/>
  <c r="G148" i="2"/>
  <c r="F148" i="2"/>
  <c r="E148" i="2"/>
  <c r="C146" i="2"/>
  <c r="C145" i="2"/>
  <c r="C144" i="2"/>
  <c r="I143" i="2"/>
  <c r="H143" i="2"/>
  <c r="F143" i="2"/>
  <c r="E143" i="2"/>
  <c r="D143" i="2"/>
  <c r="C141" i="2"/>
  <c r="C140" i="2"/>
  <c r="C139" i="2"/>
  <c r="I138" i="2"/>
  <c r="H138" i="2"/>
  <c r="F138" i="2"/>
  <c r="E138" i="2"/>
  <c r="D138" i="2"/>
  <c r="C136" i="2"/>
  <c r="C135" i="2"/>
  <c r="C134" i="2"/>
  <c r="I133" i="2"/>
  <c r="H133" i="2"/>
  <c r="G133" i="2"/>
  <c r="F133" i="2"/>
  <c r="C131" i="2"/>
  <c r="C130" i="2"/>
  <c r="C129" i="2"/>
  <c r="I128" i="2"/>
  <c r="H128" i="2"/>
  <c r="F128" i="2"/>
  <c r="E128" i="2"/>
  <c r="D128" i="2"/>
  <c r="C126" i="2"/>
  <c r="C125" i="2"/>
  <c r="E123" i="2"/>
  <c r="C123" i="2" s="1"/>
  <c r="C121" i="2"/>
  <c r="C120" i="2"/>
  <c r="C119" i="2"/>
  <c r="I118" i="2"/>
  <c r="H118" i="2"/>
  <c r="F118" i="2"/>
  <c r="E118" i="2"/>
  <c r="D118" i="2"/>
  <c r="C116" i="2"/>
  <c r="C115" i="2"/>
  <c r="C114" i="2"/>
  <c r="I113" i="2"/>
  <c r="H113" i="2"/>
  <c r="F113" i="2"/>
  <c r="E113" i="2"/>
  <c r="D113" i="2"/>
  <c r="C111" i="2"/>
  <c r="C110" i="2"/>
  <c r="C109" i="2"/>
  <c r="I108" i="2"/>
  <c r="H108" i="2"/>
  <c r="G108" i="2"/>
  <c r="F108" i="2"/>
  <c r="C106" i="2"/>
  <c r="C105" i="2"/>
  <c r="C104" i="2"/>
  <c r="I103" i="2"/>
  <c r="H103" i="2"/>
  <c r="G103" i="2"/>
  <c r="F103" i="2"/>
  <c r="E103" i="2"/>
  <c r="D103" i="2"/>
  <c r="C101" i="2"/>
  <c r="C100" i="2"/>
  <c r="C99" i="2"/>
  <c r="I98" i="2"/>
  <c r="H98" i="2"/>
  <c r="F98" i="2"/>
  <c r="E98" i="2"/>
  <c r="D98" i="2"/>
  <c r="C96" i="2"/>
  <c r="C95" i="2"/>
  <c r="C94" i="2"/>
  <c r="I93" i="2"/>
  <c r="H93" i="2"/>
  <c r="G93" i="2"/>
  <c r="F93" i="2"/>
  <c r="C91" i="2"/>
  <c r="C90" i="2"/>
  <c r="C89" i="2"/>
  <c r="I88" i="2"/>
  <c r="H88" i="2"/>
  <c r="F88" i="2"/>
  <c r="E88" i="2"/>
  <c r="D88" i="2"/>
  <c r="C86" i="2"/>
  <c r="C85" i="2"/>
  <c r="C84" i="2"/>
  <c r="I83" i="2"/>
  <c r="H83" i="2"/>
  <c r="G83" i="2"/>
  <c r="F83" i="2"/>
  <c r="E83" i="2"/>
  <c r="D83" i="2"/>
  <c r="C81" i="2"/>
  <c r="C80" i="2"/>
  <c r="C79" i="2"/>
  <c r="I78" i="2"/>
  <c r="H78" i="2"/>
  <c r="G78" i="2"/>
  <c r="F78" i="2"/>
  <c r="E78" i="2"/>
  <c r="D78" i="2"/>
  <c r="C76" i="2"/>
  <c r="C75" i="2"/>
  <c r="C74" i="2"/>
  <c r="I73" i="2"/>
  <c r="H73" i="2"/>
  <c r="G73" i="2"/>
  <c r="F73" i="2"/>
  <c r="E73" i="2"/>
  <c r="C72" i="2"/>
  <c r="C70" i="2"/>
  <c r="C69" i="2"/>
  <c r="I68" i="2"/>
  <c r="H68" i="2"/>
  <c r="D68" i="2"/>
  <c r="C66" i="2"/>
  <c r="C65" i="2"/>
  <c r="H63" i="2"/>
  <c r="G63" i="2"/>
  <c r="F63" i="2"/>
  <c r="E63" i="2"/>
  <c r="D63" i="2"/>
  <c r="C61" i="2"/>
  <c r="C60" i="2"/>
  <c r="C59" i="2"/>
  <c r="I58" i="2"/>
  <c r="H58" i="2"/>
  <c r="G58" i="2"/>
  <c r="F58" i="2"/>
  <c r="C56" i="2"/>
  <c r="C55" i="2"/>
  <c r="C54" i="2"/>
  <c r="I53" i="2"/>
  <c r="H53" i="2"/>
  <c r="G53" i="2"/>
  <c r="F53" i="2"/>
  <c r="E53" i="2"/>
  <c r="C51" i="2"/>
  <c r="C50" i="2"/>
  <c r="C49" i="2"/>
  <c r="I48" i="2"/>
  <c r="H48" i="2"/>
  <c r="E48" i="2"/>
  <c r="D48" i="2"/>
  <c r="C46" i="2"/>
  <c r="C45" i="2"/>
  <c r="C44" i="2"/>
  <c r="I43" i="2"/>
  <c r="I163" i="2" s="1"/>
  <c r="H43" i="2"/>
  <c r="F43" i="2"/>
  <c r="E43" i="2"/>
  <c r="D43" i="2"/>
  <c r="D163" i="2" s="1"/>
  <c r="C158" i="2" l="1"/>
  <c r="E163" i="2"/>
  <c r="G163" i="2"/>
  <c r="F163" i="2"/>
  <c r="C148" i="2"/>
  <c r="H163" i="2"/>
  <c r="C48" i="2"/>
  <c r="C68" i="2"/>
  <c r="C93" i="2"/>
  <c r="C138" i="2"/>
  <c r="C143" i="2"/>
  <c r="C108" i="2"/>
  <c r="C118" i="2"/>
  <c r="C133" i="2"/>
  <c r="C43" i="2"/>
  <c r="C73" i="2"/>
  <c r="C78" i="2"/>
  <c r="C53" i="2"/>
  <c r="C83" i="2"/>
  <c r="C98" i="2"/>
  <c r="C63" i="2"/>
  <c r="C88" i="2"/>
  <c r="C113" i="2"/>
  <c r="C103" i="2"/>
  <c r="C58" i="2"/>
  <c r="C128" i="2"/>
  <c r="C153" i="2"/>
  <c r="C599" i="2"/>
  <c r="C598" i="2"/>
  <c r="C597" i="2"/>
  <c r="F596" i="2"/>
  <c r="E596" i="2"/>
  <c r="D596" i="2"/>
  <c r="C594" i="2"/>
  <c r="C593" i="2"/>
  <c r="C592" i="2"/>
  <c r="E591" i="2"/>
  <c r="D591" i="2"/>
  <c r="C589" i="2"/>
  <c r="C588" i="2"/>
  <c r="C587" i="2"/>
  <c r="E586" i="2"/>
  <c r="D586" i="2"/>
  <c r="C584" i="2"/>
  <c r="C583" i="2"/>
  <c r="C582" i="2"/>
  <c r="E581" i="2"/>
  <c r="D581" i="2"/>
  <c r="C579" i="2"/>
  <c r="C578" i="2"/>
  <c r="C577" i="2"/>
  <c r="E576" i="2"/>
  <c r="D576" i="2"/>
  <c r="C574" i="2"/>
  <c r="C573" i="2"/>
  <c r="C572" i="2"/>
  <c r="E571" i="2"/>
  <c r="D571" i="2"/>
  <c r="C569" i="2"/>
  <c r="C568" i="2"/>
  <c r="C567" i="2"/>
  <c r="C566" i="2"/>
  <c r="D122" i="1" s="1"/>
  <c r="C564" i="2"/>
  <c r="C563" i="2"/>
  <c r="C562" i="2"/>
  <c r="G561" i="2"/>
  <c r="F561" i="2"/>
  <c r="C559" i="2"/>
  <c r="C558" i="2"/>
  <c r="C557" i="2"/>
  <c r="G556" i="2"/>
  <c r="F556" i="2"/>
  <c r="C554" i="2"/>
  <c r="C553" i="2"/>
  <c r="C552" i="2"/>
  <c r="F551" i="2"/>
  <c r="E551" i="2"/>
  <c r="D551" i="2"/>
  <c r="C549" i="2"/>
  <c r="C548" i="2"/>
  <c r="C547" i="2"/>
  <c r="I546" i="2"/>
  <c r="F546" i="2"/>
  <c r="E546" i="2"/>
  <c r="D546" i="2"/>
  <c r="C544" i="2"/>
  <c r="C543" i="2"/>
  <c r="C542" i="2"/>
  <c r="I541" i="2"/>
  <c r="H541" i="2"/>
  <c r="G541" i="2"/>
  <c r="F541" i="2"/>
  <c r="E541" i="2"/>
  <c r="D541" i="2"/>
  <c r="C539" i="2"/>
  <c r="C538" i="2"/>
  <c r="C537" i="2"/>
  <c r="H536" i="2"/>
  <c r="G536" i="2"/>
  <c r="F536" i="2"/>
  <c r="E536" i="2"/>
  <c r="D536" i="2"/>
  <c r="C534" i="2"/>
  <c r="C533" i="2"/>
  <c r="C532" i="2"/>
  <c r="I531" i="2"/>
  <c r="H531" i="2"/>
  <c r="E531" i="2"/>
  <c r="D531" i="2"/>
  <c r="C529" i="2"/>
  <c r="C528" i="2"/>
  <c r="C527" i="2"/>
  <c r="I526" i="2"/>
  <c r="H526" i="2"/>
  <c r="G526" i="2"/>
  <c r="E526" i="2"/>
  <c r="D526" i="2"/>
  <c r="C524" i="2"/>
  <c r="C523" i="2"/>
  <c r="C522" i="2"/>
  <c r="I521" i="2"/>
  <c r="H521" i="2"/>
  <c r="G521" i="2"/>
  <c r="E521" i="2"/>
  <c r="D521" i="2"/>
  <c r="C519" i="2"/>
  <c r="C518" i="2"/>
  <c r="C517" i="2"/>
  <c r="I516" i="2"/>
  <c r="H516" i="2"/>
  <c r="F516" i="2"/>
  <c r="E516" i="2"/>
  <c r="D516" i="2"/>
  <c r="C514" i="2"/>
  <c r="C513" i="2"/>
  <c r="C512" i="2"/>
  <c r="I511" i="2"/>
  <c r="H511" i="2"/>
  <c r="E511" i="2"/>
  <c r="D511" i="2"/>
  <c r="C509" i="2"/>
  <c r="C508" i="2"/>
  <c r="C507" i="2"/>
  <c r="I506" i="2"/>
  <c r="H506" i="2"/>
  <c r="G506" i="2"/>
  <c r="F506" i="2"/>
  <c r="E506" i="2"/>
  <c r="D506" i="2"/>
  <c r="D631" i="2" l="1"/>
  <c r="C163" i="2"/>
  <c r="C556" i="2"/>
  <c r="D120" i="1" s="1"/>
  <c r="C581" i="2"/>
  <c r="D125" i="1" s="1"/>
  <c r="C586" i="2"/>
  <c r="D126" i="1" s="1"/>
  <c r="C571" i="2"/>
  <c r="D123" i="1" s="1"/>
  <c r="C596" i="2"/>
  <c r="D128" i="1" s="1"/>
  <c r="C511" i="2"/>
  <c r="D111" i="1" s="1"/>
  <c r="C591" i="2"/>
  <c r="D127" i="1" s="1"/>
  <c r="C561" i="2"/>
  <c r="D121" i="1" s="1"/>
  <c r="C526" i="2"/>
  <c r="D114" i="1" s="1"/>
  <c r="C546" i="2"/>
  <c r="D118" i="1" s="1"/>
  <c r="C576" i="2"/>
  <c r="D124" i="1" s="1"/>
  <c r="C516" i="2"/>
  <c r="D112" i="1" s="1"/>
  <c r="C536" i="2"/>
  <c r="D116" i="1" s="1"/>
  <c r="C531" i="2"/>
  <c r="D115" i="1" s="1"/>
  <c r="C521" i="2"/>
  <c r="D113" i="1" s="1"/>
  <c r="C506" i="2"/>
  <c r="C541" i="2"/>
  <c r="D117" i="1" s="1"/>
  <c r="C551" i="2"/>
  <c r="D119" i="1" s="1"/>
  <c r="F621" i="2"/>
  <c r="E621" i="2"/>
  <c r="G626" i="2"/>
  <c r="F626" i="2"/>
  <c r="E626" i="2"/>
  <c r="G616" i="2"/>
  <c r="F616" i="2"/>
  <c r="E616" i="2"/>
  <c r="G606" i="2"/>
  <c r="F606" i="2"/>
  <c r="E606" i="2"/>
  <c r="F601" i="2"/>
  <c r="G601" i="2"/>
  <c r="E601" i="2"/>
  <c r="C629" i="2"/>
  <c r="C630" i="2"/>
  <c r="C624" i="2"/>
  <c r="C625" i="2"/>
  <c r="C619" i="2"/>
  <c r="C620" i="2"/>
  <c r="C615" i="2"/>
  <c r="C605" i="2"/>
  <c r="C609" i="2"/>
  <c r="C610" i="2"/>
  <c r="C604" i="2"/>
  <c r="C608" i="2"/>
  <c r="C618" i="2"/>
  <c r="C623" i="2"/>
  <c r="C628" i="2"/>
  <c r="C621" i="2" l="1"/>
  <c r="D133" i="1" s="1"/>
  <c r="D110" i="1"/>
  <c r="C626" i="2"/>
  <c r="D134" i="1" s="1"/>
  <c r="C616" i="2"/>
  <c r="D132" i="1" s="1"/>
  <c r="C606" i="2"/>
  <c r="D130" i="1" s="1"/>
  <c r="I809" i="2"/>
  <c r="H809" i="2"/>
  <c r="G809" i="2"/>
  <c r="F809" i="2"/>
  <c r="E809" i="2"/>
  <c r="D809" i="2"/>
  <c r="I808" i="2"/>
  <c r="H808" i="2"/>
  <c r="G808" i="2"/>
  <c r="F808" i="2"/>
  <c r="E808" i="2"/>
  <c r="D808" i="2"/>
  <c r="C808" i="2"/>
  <c r="I807" i="2"/>
  <c r="H807" i="2"/>
  <c r="G807" i="2"/>
  <c r="F807" i="2"/>
  <c r="E807" i="2"/>
  <c r="D807" i="2"/>
  <c r="I806" i="2"/>
  <c r="H806" i="2"/>
  <c r="G806" i="2"/>
  <c r="F806" i="2"/>
  <c r="E806" i="2"/>
  <c r="D806" i="2"/>
  <c r="D170" i="1"/>
  <c r="I758" i="2"/>
  <c r="H758" i="2"/>
  <c r="G758" i="2"/>
  <c r="F758" i="2"/>
  <c r="E758" i="2"/>
  <c r="D758" i="2"/>
  <c r="C758" i="2"/>
  <c r="I757" i="2"/>
  <c r="H757" i="2"/>
  <c r="G757" i="2"/>
  <c r="F757" i="2"/>
  <c r="E757" i="2"/>
  <c r="D757" i="2"/>
  <c r="C757" i="2"/>
  <c r="I756" i="2"/>
  <c r="H756" i="2"/>
  <c r="G756" i="2"/>
  <c r="F756" i="2"/>
  <c r="E756" i="2"/>
  <c r="D756" i="2"/>
  <c r="I755" i="2"/>
  <c r="H755" i="2"/>
  <c r="G755" i="2"/>
  <c r="F755" i="2"/>
  <c r="E755" i="2"/>
  <c r="D755" i="2"/>
  <c r="I717" i="2"/>
  <c r="H717" i="2"/>
  <c r="G717" i="2"/>
  <c r="F717" i="2"/>
  <c r="E717" i="2"/>
  <c r="D717" i="2"/>
  <c r="C717" i="2"/>
  <c r="I716" i="2"/>
  <c r="H716" i="2"/>
  <c r="G716" i="2"/>
  <c r="F716" i="2"/>
  <c r="E716" i="2"/>
  <c r="D716" i="2"/>
  <c r="C716" i="2"/>
  <c r="I715" i="2"/>
  <c r="H715" i="2"/>
  <c r="G715" i="2"/>
  <c r="D715" i="2"/>
  <c r="I714" i="2"/>
  <c r="H714" i="2"/>
  <c r="G714" i="2"/>
  <c r="D714" i="2"/>
  <c r="D155" i="1"/>
  <c r="D151" i="1"/>
  <c r="D149" i="1"/>
  <c r="D148" i="1"/>
  <c r="D144" i="1"/>
  <c r="I661" i="2"/>
  <c r="H661" i="2"/>
  <c r="G661" i="2"/>
  <c r="F661" i="2"/>
  <c r="E661" i="2"/>
  <c r="D661" i="2"/>
  <c r="I660" i="2"/>
  <c r="H660" i="2"/>
  <c r="G660" i="2"/>
  <c r="F660" i="2"/>
  <c r="E660" i="2"/>
  <c r="D660" i="2"/>
  <c r="C660" i="2"/>
  <c r="I659" i="2"/>
  <c r="H659" i="2"/>
  <c r="G659" i="2"/>
  <c r="F659" i="2"/>
  <c r="E659" i="2"/>
  <c r="D659" i="2"/>
  <c r="I658" i="2"/>
  <c r="H658" i="2"/>
  <c r="G658" i="2"/>
  <c r="F658" i="2"/>
  <c r="E658" i="2"/>
  <c r="D658" i="2"/>
  <c r="C654" i="2"/>
  <c r="I652" i="2"/>
  <c r="H652" i="2"/>
  <c r="G652" i="2"/>
  <c r="D652" i="2"/>
  <c r="C651" i="2"/>
  <c r="C649" i="2"/>
  <c r="D647" i="2"/>
  <c r="C644" i="2"/>
  <c r="C643" i="2"/>
  <c r="D642" i="2"/>
  <c r="C641" i="2"/>
  <c r="C639" i="2"/>
  <c r="C638" i="2"/>
  <c r="I637" i="2"/>
  <c r="H637" i="2"/>
  <c r="G637" i="2"/>
  <c r="F637" i="2"/>
  <c r="F657" i="2" s="1"/>
  <c r="E637" i="2"/>
  <c r="E657" i="2" s="1"/>
  <c r="D637" i="2"/>
  <c r="I635" i="2"/>
  <c r="H635" i="2"/>
  <c r="G635" i="2"/>
  <c r="F635" i="2"/>
  <c r="E635" i="2"/>
  <c r="D635" i="2"/>
  <c r="C635" i="2"/>
  <c r="D634" i="2"/>
  <c r="D633" i="2"/>
  <c r="I632" i="2"/>
  <c r="H632" i="2"/>
  <c r="G632" i="2"/>
  <c r="F632" i="2"/>
  <c r="E632" i="2"/>
  <c r="D632" i="2"/>
  <c r="H504" i="2"/>
  <c r="G504" i="2"/>
  <c r="F504" i="2"/>
  <c r="E504" i="2"/>
  <c r="D504" i="2"/>
  <c r="C504" i="2"/>
  <c r="I503" i="2"/>
  <c r="H503" i="2"/>
  <c r="G503" i="2"/>
  <c r="F503" i="2"/>
  <c r="E503" i="2"/>
  <c r="D503" i="2"/>
  <c r="C503" i="2"/>
  <c r="I502" i="2"/>
  <c r="H502" i="2"/>
  <c r="G502" i="2"/>
  <c r="F502" i="2"/>
  <c r="E502" i="2"/>
  <c r="D502" i="2"/>
  <c r="I501" i="2"/>
  <c r="H501" i="2"/>
  <c r="G501" i="2"/>
  <c r="F501" i="2"/>
  <c r="E501" i="2"/>
  <c r="D501" i="2"/>
  <c r="I504" i="2"/>
  <c r="C497" i="2"/>
  <c r="C496" i="2"/>
  <c r="C495" i="2"/>
  <c r="D107" i="1" s="1"/>
  <c r="C492" i="2"/>
  <c r="C490" i="2"/>
  <c r="D106" i="1" s="1"/>
  <c r="C487" i="2"/>
  <c r="C482" i="2"/>
  <c r="C481" i="2"/>
  <c r="C477" i="2"/>
  <c r="C476" i="2"/>
  <c r="C472" i="2"/>
  <c r="C467" i="2"/>
  <c r="C462" i="2"/>
  <c r="C461" i="2"/>
  <c r="C457" i="2"/>
  <c r="C452" i="2"/>
  <c r="C447" i="2"/>
  <c r="C442" i="2"/>
  <c r="C441" i="2"/>
  <c r="C437" i="2"/>
  <c r="C432" i="2"/>
  <c r="C427" i="2"/>
  <c r="C426" i="2"/>
  <c r="C422" i="2"/>
  <c r="C421" i="2"/>
  <c r="C420" i="2"/>
  <c r="D92" i="1" s="1"/>
  <c r="C417" i="2"/>
  <c r="C416" i="2"/>
  <c r="C412" i="2"/>
  <c r="C407" i="2"/>
  <c r="C406" i="2"/>
  <c r="C397" i="2"/>
  <c r="C396" i="2"/>
  <c r="C392" i="2"/>
  <c r="C391" i="2"/>
  <c r="I834" i="2"/>
  <c r="H834" i="2"/>
  <c r="G834" i="2"/>
  <c r="F834" i="2"/>
  <c r="E834" i="2"/>
  <c r="D834" i="2"/>
  <c r="C834" i="2"/>
  <c r="I833" i="2"/>
  <c r="H833" i="2"/>
  <c r="G833" i="2"/>
  <c r="F833" i="2"/>
  <c r="E833" i="2"/>
  <c r="D833" i="2"/>
  <c r="C833" i="2"/>
  <c r="I832" i="2"/>
  <c r="H832" i="2"/>
  <c r="G832" i="2"/>
  <c r="F832" i="2"/>
  <c r="E832" i="2"/>
  <c r="D832" i="2"/>
  <c r="I831" i="2"/>
  <c r="H831" i="2"/>
  <c r="G831" i="2"/>
  <c r="F831" i="2"/>
  <c r="E831" i="2"/>
  <c r="D831" i="2"/>
  <c r="C827" i="2"/>
  <c r="C826" i="2"/>
  <c r="H825" i="2"/>
  <c r="G825" i="2"/>
  <c r="F825" i="2"/>
  <c r="D825" i="2"/>
  <c r="C822" i="2"/>
  <c r="C821" i="2"/>
  <c r="I820" i="2"/>
  <c r="I830" i="2" s="1"/>
  <c r="H820" i="2"/>
  <c r="G820" i="2"/>
  <c r="G830" i="2" s="1"/>
  <c r="F820" i="2"/>
  <c r="E820" i="2"/>
  <c r="E830" i="2" s="1"/>
  <c r="D820" i="2"/>
  <c r="D830" i="2" s="1"/>
  <c r="I387" i="2"/>
  <c r="H387" i="2"/>
  <c r="G387" i="2"/>
  <c r="F387" i="2"/>
  <c r="E387" i="2"/>
  <c r="D387" i="2"/>
  <c r="C387" i="2"/>
  <c r="D388" i="2"/>
  <c r="D385" i="2"/>
  <c r="D48" i="1"/>
  <c r="I167" i="2"/>
  <c r="H167" i="2"/>
  <c r="G167" i="2"/>
  <c r="F167" i="2"/>
  <c r="E167" i="2"/>
  <c r="D167" i="2"/>
  <c r="I166" i="2"/>
  <c r="H166" i="2"/>
  <c r="G166" i="2"/>
  <c r="F166" i="2"/>
  <c r="E166" i="2"/>
  <c r="D166" i="2"/>
  <c r="C166" i="2"/>
  <c r="I165" i="2"/>
  <c r="H165" i="2"/>
  <c r="G165" i="2"/>
  <c r="F165" i="2"/>
  <c r="E165" i="2"/>
  <c r="D165" i="2"/>
  <c r="I164" i="2"/>
  <c r="H164" i="2"/>
  <c r="G164" i="2"/>
  <c r="F164" i="2"/>
  <c r="E164" i="2"/>
  <c r="D164" i="2"/>
  <c r="D36" i="1"/>
  <c r="D31" i="1"/>
  <c r="C167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I39" i="2"/>
  <c r="H39" i="2"/>
  <c r="G39" i="2"/>
  <c r="F39" i="2"/>
  <c r="E39" i="2"/>
  <c r="D39" i="2"/>
  <c r="I38" i="2"/>
  <c r="H38" i="2"/>
  <c r="G38" i="2"/>
  <c r="F38" i="2"/>
  <c r="E38" i="2"/>
  <c r="D38" i="2"/>
  <c r="D12" i="1"/>
  <c r="I37" i="2"/>
  <c r="H37" i="2"/>
  <c r="G37" i="2"/>
  <c r="F37" i="2"/>
  <c r="E37" i="2"/>
  <c r="D37" i="2"/>
  <c r="D811" i="2" l="1"/>
  <c r="D814" i="2"/>
  <c r="F830" i="2"/>
  <c r="D813" i="2"/>
  <c r="D657" i="2"/>
  <c r="H657" i="2"/>
  <c r="H830" i="2"/>
  <c r="I657" i="2"/>
  <c r="D54" i="1"/>
  <c r="I388" i="2"/>
  <c r="I814" i="2" s="1"/>
  <c r="D79" i="1"/>
  <c r="G657" i="2"/>
  <c r="D60" i="1"/>
  <c r="D74" i="1"/>
  <c r="D71" i="1"/>
  <c r="D76" i="1"/>
  <c r="G388" i="2"/>
  <c r="G814" i="2" s="1"/>
  <c r="H388" i="2"/>
  <c r="H814" i="2" s="1"/>
  <c r="D64" i="1"/>
  <c r="D67" i="1"/>
  <c r="D73" i="1"/>
  <c r="C832" i="2"/>
  <c r="D66" i="1"/>
  <c r="D65" i="1"/>
  <c r="D384" i="2"/>
  <c r="D810" i="2" s="1"/>
  <c r="D69" i="1"/>
  <c r="H385" i="2"/>
  <c r="H811" i="2" s="1"/>
  <c r="D47" i="1"/>
  <c r="D53" i="1"/>
  <c r="H386" i="2"/>
  <c r="D46" i="1"/>
  <c r="D62" i="1"/>
  <c r="D82" i="1"/>
  <c r="D51" i="1"/>
  <c r="I386" i="2"/>
  <c r="D386" i="2"/>
  <c r="D812" i="2" s="1"/>
  <c r="E386" i="2"/>
  <c r="F388" i="2"/>
  <c r="F814" i="2" s="1"/>
  <c r="D70" i="1"/>
  <c r="D50" i="1"/>
  <c r="D56" i="1"/>
  <c r="D61" i="1"/>
  <c r="D77" i="1"/>
  <c r="F386" i="2"/>
  <c r="D44" i="1"/>
  <c r="I385" i="2"/>
  <c r="I811" i="2" s="1"/>
  <c r="D52" i="1"/>
  <c r="D59" i="1"/>
  <c r="D68" i="1"/>
  <c r="D75" i="1"/>
  <c r="G385" i="2"/>
  <c r="G811" i="2" s="1"/>
  <c r="D63" i="1"/>
  <c r="D55" i="1"/>
  <c r="D49" i="1"/>
  <c r="E388" i="2"/>
  <c r="E814" i="2" s="1"/>
  <c r="G386" i="2"/>
  <c r="C658" i="2"/>
  <c r="C659" i="2"/>
  <c r="D28" i="1"/>
  <c r="D29" i="1"/>
  <c r="F715" i="2"/>
  <c r="D171" i="1"/>
  <c r="D25" i="1"/>
  <c r="C415" i="2"/>
  <c r="D91" i="1" s="1"/>
  <c r="C455" i="2"/>
  <c r="D99" i="1" s="1"/>
  <c r="C410" i="2"/>
  <c r="D90" i="1" s="1"/>
  <c r="C435" i="2"/>
  <c r="D95" i="1" s="1"/>
  <c r="D178" i="1"/>
  <c r="D143" i="1"/>
  <c r="D153" i="1"/>
  <c r="C647" i="2"/>
  <c r="D139" i="1" s="1"/>
  <c r="C637" i="2"/>
  <c r="C661" i="2"/>
  <c r="C632" i="2"/>
  <c r="C485" i="2"/>
  <c r="D105" i="1" s="1"/>
  <c r="C405" i="2"/>
  <c r="D89" i="1" s="1"/>
  <c r="C480" i="2"/>
  <c r="D104" i="1" s="1"/>
  <c r="C450" i="2"/>
  <c r="D98" i="1" s="1"/>
  <c r="C430" i="2"/>
  <c r="C390" i="2"/>
  <c r="C475" i="2"/>
  <c r="D103" i="1" s="1"/>
  <c r="C445" i="2"/>
  <c r="D97" i="1" s="1"/>
  <c r="C470" i="2"/>
  <c r="D102" i="1" s="1"/>
  <c r="C820" i="2"/>
  <c r="D185" i="1" s="1"/>
  <c r="D26" i="1"/>
  <c r="D22" i="1"/>
  <c r="D21" i="1"/>
  <c r="D15" i="1"/>
  <c r="D30" i="1"/>
  <c r="D32" i="1"/>
  <c r="D9" i="1"/>
  <c r="D8" i="1"/>
  <c r="C831" i="2"/>
  <c r="D24" i="1"/>
  <c r="C806" i="2"/>
  <c r="D23" i="1"/>
  <c r="D38" i="1"/>
  <c r="C755" i="2"/>
  <c r="D163" i="1"/>
  <c r="D167" i="1"/>
  <c r="D19" i="1"/>
  <c r="C165" i="2"/>
  <c r="D37" i="1"/>
  <c r="D58" i="1"/>
  <c r="C440" i="2"/>
  <c r="D96" i="1" s="1"/>
  <c r="C756" i="2"/>
  <c r="D162" i="1"/>
  <c r="C809" i="2"/>
  <c r="D177" i="1"/>
  <c r="D27" i="1"/>
  <c r="C652" i="2"/>
  <c r="D140" i="1" s="1"/>
  <c r="D168" i="1"/>
  <c r="D164" i="1"/>
  <c r="C38" i="2"/>
  <c r="C460" i="2"/>
  <c r="D100" i="1" s="1"/>
  <c r="C807" i="2"/>
  <c r="D173" i="1"/>
  <c r="D18" i="1"/>
  <c r="D35" i="1"/>
  <c r="D45" i="1"/>
  <c r="C425" i="2"/>
  <c r="D93" i="1" s="1"/>
  <c r="D161" i="1"/>
  <c r="D11" i="1"/>
  <c r="D10" i="1"/>
  <c r="C465" i="2"/>
  <c r="D101" i="1" s="1"/>
  <c r="C642" i="2"/>
  <c r="D138" i="1" s="1"/>
  <c r="C39" i="2"/>
  <c r="D17" i="1"/>
  <c r="C164" i="2"/>
  <c r="D20" i="1"/>
  <c r="D33" i="1"/>
  <c r="D34" i="1"/>
  <c r="D42" i="1"/>
  <c r="C825" i="2"/>
  <c r="D186" i="1" s="1"/>
  <c r="C502" i="2"/>
  <c r="C501" i="2"/>
  <c r="D154" i="1"/>
  <c r="D158" i="1"/>
  <c r="D160" i="1"/>
  <c r="D169" i="1"/>
  <c r="D172" i="1"/>
  <c r="E385" i="2"/>
  <c r="E811" i="2" s="1"/>
  <c r="D57" i="1"/>
  <c r="C395" i="2"/>
  <c r="C714" i="2"/>
  <c r="E714" i="2"/>
  <c r="F714" i="2"/>
  <c r="H384" i="2"/>
  <c r="F385" i="2"/>
  <c r="F811" i="2" s="1"/>
  <c r="D80" i="1" l="1"/>
  <c r="D187" i="1"/>
  <c r="I384" i="2"/>
  <c r="C830" i="2"/>
  <c r="D86" i="1"/>
  <c r="C500" i="2"/>
  <c r="D137" i="1"/>
  <c r="D141" i="1" s="1"/>
  <c r="C657" i="2"/>
  <c r="E384" i="2"/>
  <c r="G384" i="2"/>
  <c r="C37" i="2"/>
  <c r="D41" i="1"/>
  <c r="F384" i="2"/>
  <c r="D72" i="1"/>
  <c r="C388" i="2"/>
  <c r="C814" i="2" s="1"/>
  <c r="D81" i="1"/>
  <c r="D83" i="1"/>
  <c r="D78" i="1"/>
  <c r="D179" i="1"/>
  <c r="D165" i="1"/>
  <c r="D87" i="1"/>
  <c r="C386" i="2"/>
  <c r="D43" i="1"/>
  <c r="D16" i="1"/>
  <c r="D39" i="1" s="1"/>
  <c r="D7" i="1"/>
  <c r="D13" i="1" s="1"/>
  <c r="C385" i="2"/>
  <c r="C811" i="2" s="1"/>
  <c r="C715" i="2"/>
  <c r="E715" i="2"/>
  <c r="D108" i="1" l="1"/>
  <c r="C384" i="2"/>
  <c r="D84" i="1"/>
  <c r="D152" i="1"/>
  <c r="D156" i="1" s="1"/>
  <c r="C603" i="2"/>
  <c r="C601" i="2" l="1"/>
  <c r="D129" i="1" l="1"/>
  <c r="F633" i="2"/>
  <c r="F812" i="2" s="1"/>
  <c r="F634" i="2"/>
  <c r="F813" i="2" s="1"/>
  <c r="I634" i="2"/>
  <c r="I813" i="2" s="1"/>
  <c r="F611" i="2"/>
  <c r="G633" i="2"/>
  <c r="G812" i="2" s="1"/>
  <c r="G611" i="2"/>
  <c r="G634" i="2"/>
  <c r="G813" i="2" s="1"/>
  <c r="E634" i="2"/>
  <c r="E813" i="2" s="1"/>
  <c r="E633" i="2"/>
  <c r="E812" i="2" s="1"/>
  <c r="C613" i="2"/>
  <c r="C633" i="2" s="1"/>
  <c r="C812" i="2" s="1"/>
  <c r="I611" i="2"/>
  <c r="I633" i="2"/>
  <c r="I812" i="2" s="1"/>
  <c r="H633" i="2"/>
  <c r="H812" i="2" s="1"/>
  <c r="H611" i="2"/>
  <c r="H634" i="2"/>
  <c r="H813" i="2" s="1"/>
  <c r="C614" i="2"/>
  <c r="C634" i="2" s="1"/>
  <c r="C813" i="2" s="1"/>
  <c r="E611" i="2"/>
  <c r="G631" i="2" l="1"/>
  <c r="G810" i="2" s="1"/>
  <c r="H631" i="2"/>
  <c r="H810" i="2" s="1"/>
  <c r="F631" i="2"/>
  <c r="F810" i="2" s="1"/>
  <c r="E631" i="2"/>
  <c r="E810" i="2" s="1"/>
  <c r="I631" i="2"/>
  <c r="I810" i="2" s="1"/>
  <c r="C611" i="2"/>
  <c r="D131" i="1" l="1"/>
  <c r="D135" i="1" s="1"/>
  <c r="D180" i="1" s="1"/>
  <c r="C631" i="2"/>
  <c r="C810" i="2" s="1"/>
</calcChain>
</file>

<file path=xl/sharedStrings.xml><?xml version="1.0" encoding="utf-8"?>
<sst xmlns="http://schemas.openxmlformats.org/spreadsheetml/2006/main" count="2865" uniqueCount="697">
  <si>
    <t>Наименование</t>
  </si>
  <si>
    <t>Годы реализации</t>
  </si>
  <si>
    <t>Мощность</t>
  </si>
  <si>
    <t>Источник финансирования, наличие и необходимость ПСД</t>
  </si>
  <si>
    <t>Объем финансирования, млн. руб.</t>
  </si>
  <si>
    <t>Национальный проект, региональный проект</t>
  </si>
  <si>
    <t>Число жителей, улучшивших условия в результате реализации (чел.)</t>
  </si>
  <si>
    <t>Дорожное хозяйство</t>
  </si>
  <si>
    <t>ЖКХ</t>
  </si>
  <si>
    <t>Культура</t>
  </si>
  <si>
    <t>Образование</t>
  </si>
  <si>
    <t>Физическая культура и спорт</t>
  </si>
  <si>
    <t>Экология</t>
  </si>
  <si>
    <t>ПСД в стадии разработки</t>
  </si>
  <si>
    <t xml:space="preserve">Региональный проект "Чистая вода" национального проекта "Оздоровление Волги" </t>
  </si>
  <si>
    <t>932 куб. м/сутки</t>
  </si>
  <si>
    <t>376 куб. м/сутки</t>
  </si>
  <si>
    <t>4320 куб. м/сутки</t>
  </si>
  <si>
    <t>рассматривается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</si>
  <si>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</si>
  <si>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240 мест</t>
  </si>
  <si>
    <t>Региональный проект "Современная школа" национального проекта "Образование"</t>
  </si>
  <si>
    <t>2020-2022</t>
  </si>
  <si>
    <t>Региональный проект "Спорт - норма жизни" национального проекта "Демография"</t>
  </si>
  <si>
    <t>Реконструкция стадиона «Волга» (г.Чебоксары, ул. Коллективная, 3)</t>
  </si>
  <si>
    <t>2021-2025</t>
  </si>
  <si>
    <t>921 120 чел. в год</t>
  </si>
  <si>
    <t>ФБ, РБ, МБ</t>
  </si>
  <si>
    <t>321 000 чел. в год</t>
  </si>
  <si>
    <t>ИТОГО по Дорожному хозяйству:</t>
  </si>
  <si>
    <t>ИТОГО по ЖКХ:</t>
  </si>
  <si>
    <t>ИТОГО по Культуре:</t>
  </si>
  <si>
    <t>ИТОГО по Образованию:</t>
  </si>
  <si>
    <t>ИТОГО по Физической культуре и спорту:</t>
  </si>
  <si>
    <t>ИТОГО по Экологии:</t>
  </si>
  <si>
    <t>ИТОГО по г. Чебоксары:</t>
  </si>
  <si>
    <t>Строительство ливневых очистных сооружений в районе ул. Якимовская</t>
  </si>
  <si>
    <t>Строительство объекта "Ливневые очистные сооружения мкр. "Грязевская стрелка"</t>
  </si>
  <si>
    <t>Строительство ливневых очистных сооружений в мкр. "Новый город"</t>
  </si>
  <si>
    <t>Строительство крытого катка с искусственным льдом с трибуной на 250 мест в микрорайоне № 1 жилого района "Новый город" г. Чебоксары, поз. 1.25</t>
  </si>
  <si>
    <t>Строительство, капитальный ремонт и ремонт тротуаров</t>
  </si>
  <si>
    <t>80 км</t>
  </si>
  <si>
    <t>Необходима разработка ПСД</t>
  </si>
  <si>
    <t xml:space="preserve">Строительство 2-х уровневой развязки на перекрестке Б. Хмельницкого - Фучика </t>
  </si>
  <si>
    <t>2022-2025</t>
  </si>
  <si>
    <t>2021-2024</t>
  </si>
  <si>
    <t>840.000 кв. м</t>
  </si>
  <si>
    <t>Обновление парка городского наземного электрического транспорта</t>
  </si>
  <si>
    <t>2021-2023</t>
  </si>
  <si>
    <t>Строительство автомобильной дороги по ул. 1-ая Южная</t>
  </si>
  <si>
    <t xml:space="preserve">Региональный проект "Дорожная сеть" национального проекта "Безопасные и качественные автомобильные дороги" </t>
  </si>
  <si>
    <t>ПСД в стадии корректировки</t>
  </si>
  <si>
    <t>Реконструкция Лапсарского проезда со строительством подъезда к д. 65 по Лапсарскому проезду г.Чебоксары</t>
  </si>
  <si>
    <t>2021-2022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</si>
  <si>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</si>
  <si>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1 км</t>
  </si>
  <si>
    <t>ПСД разработана</t>
  </si>
  <si>
    <t>Реконструкция автомобильной дороги по ул. Пушкина</t>
  </si>
  <si>
    <t>0,2 км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</si>
  <si>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</si>
  <si>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</si>
  <si>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третьего транспортного полукольца в г. Чебоксары</t>
  </si>
  <si>
    <t>7 км</t>
  </si>
  <si>
    <t>Реконструкция участка автомобильной дороги по ул. Л. Комсомола (от Эгерского бульвара до пр. Тракторостроителей)</t>
  </si>
  <si>
    <t>2024-2025</t>
  </si>
  <si>
    <t>3 км</t>
  </si>
  <si>
    <t>Реконструкция участка автомобильной дороги по ул. Ашмарина (от ул. Орлова до  пр. И. Яковлева)</t>
  </si>
  <si>
    <t>1,5 км</t>
  </si>
  <si>
    <t>Строительство ул.Н.Рождественского  г.Чебоксары</t>
  </si>
  <si>
    <t>ПСД на стадии устранения замечаний</t>
  </si>
  <si>
    <t xml:space="preserve"> Строительство ул.Ярмарочная г.Чебоксары</t>
  </si>
  <si>
    <t>Реконструкция автомобильной дороги по ул. Пархоменко г.Чебоксары</t>
  </si>
  <si>
    <t>0,3 км</t>
  </si>
  <si>
    <t>Строительство автомобильной дороги № 30 от участка № 4 до Московского проспекта в районе Театра оперы и балета (участок № 3) в г. Чебоксары (1 этап)</t>
  </si>
  <si>
    <t>0,78 км</t>
  </si>
  <si>
    <t>Строительство перекрестка ул. Гагарина - уд. Цивильская в г. Чебоксары, Чувашская Республика</t>
  </si>
  <si>
    <t>0,1 км</t>
  </si>
  <si>
    <t>Реконструкция автомобильной дороги по пр. И. Яковлева от Канашского шоссе до кольца пр. 9-ой Пятилетки г. Чебоксары. 4 этап</t>
  </si>
  <si>
    <t>0,16 км</t>
  </si>
  <si>
    <t>Реконструкция автомобильной дороги по ул. Гражданская (от кольца по ул. Гражданская до ул. Социалистическая)</t>
  </si>
  <si>
    <t>Ремонт моста - Полевая</t>
  </si>
  <si>
    <t>Ремонт моста - Грибоедова</t>
  </si>
  <si>
    <t>требуется разработка ПСД</t>
  </si>
  <si>
    <t>ПСД разработана, требуется внести изменения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</si>
  <si>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 "Благовещенский"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</si>
  <si>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"Солнечный"</t>
  </si>
  <si>
    <t>Создание «Заволжского парка» при МБУ «Спортивная школа № 10» г. Чебоксары в поселке Сосновка</t>
  </si>
  <si>
    <t>2022-2024</t>
  </si>
  <si>
    <t>2022-2023</t>
  </si>
  <si>
    <t>Строительство ФОКа в мкр. "Солнечный"</t>
  </si>
  <si>
    <t>Строительство ФОКа в мкр. "Садовый"</t>
  </si>
  <si>
    <t>Строительство ливневых очистных сооружений в районе Марпосадского шоссе</t>
  </si>
  <si>
    <t>Строительство очистных сооружений водовыпусков на малых реках города Чебоксары</t>
  </si>
  <si>
    <t>Обеспечение жильем жителей 100 МКД, находящихся в предаварийном состоянии</t>
  </si>
  <si>
    <t>Обеспечение жильем детей-сирот (из расчета 32 кв.м. на 1 жилое помещение)</t>
  </si>
  <si>
    <t xml:space="preserve">Ремонт и замена лифтов и лифтового оборудования (1117 шт. ) </t>
  </si>
  <si>
    <t>Строительство сетей уличного освещения (дворы, доустановка опор и т.п.)</t>
  </si>
  <si>
    <t>Благоустройство дворовых территорий (более 500 дворов)</t>
  </si>
  <si>
    <t>Организация раздельного сбора ТКО (1500 контейнерных площадок по типовому проекту)</t>
  </si>
  <si>
    <t>1500 ед.</t>
  </si>
  <si>
    <t>Строительство снегоплавильной станции в городе Чебоксары</t>
  </si>
  <si>
    <t>3500 л/сут</t>
  </si>
  <si>
    <t>2023-2025</t>
  </si>
  <si>
    <t>1100 мест</t>
  </si>
  <si>
    <t>проектирует ООО "СЗ Отделфинстрой"</t>
  </si>
  <si>
    <t>825 мест</t>
  </si>
  <si>
    <t>проектирует МБУ "УКСИР"</t>
  </si>
  <si>
    <t>1500 мест</t>
  </si>
  <si>
    <t>проектирует ООО "СЗ ТУС"</t>
  </si>
  <si>
    <t>проектирует ООО "Удача"</t>
  </si>
  <si>
    <t>180 мест</t>
  </si>
  <si>
    <t>проектирует АО "ИСКО-Ч"</t>
  </si>
  <si>
    <t>Модернизация пищеблоков в дошкольных образовательных организациях города Чебоксары</t>
  </si>
  <si>
    <t>Муниципальная программа "Развитие образования"</t>
  </si>
  <si>
    <t>Модернизация пищеблоков в общеобразовательных организациях города Чебоксары (в рамках Послания Президента РФ в части организации бесплатного питания учащихся 1-4 классов).</t>
  </si>
  <si>
    <t>Износ зданий образования (требуется капитальный ремонт).</t>
  </si>
  <si>
    <t>Проведение работ в рамках мероприятий по обеспечению антитеррористической защищённости объектов образования, отраженных в паспортах безопасности, согласно требованиям Постановления Правительства РФ от 02.08.2019 № 1006</t>
  </si>
  <si>
    <t>Проведение работ в целях обеспечения противопожарной безопасности (установка АПС)</t>
  </si>
  <si>
    <t>Проведение реконструкции учреждений дополнительного образования и детских оздоровительных лагерей</t>
  </si>
  <si>
    <t>ИТОГО по Благоустройству:</t>
  </si>
  <si>
    <t>Благоустройство</t>
  </si>
  <si>
    <t>ПСД на стадии разработки</t>
  </si>
  <si>
    <t>Благоустройство Чебоксарского залива</t>
  </si>
  <si>
    <t>ПСД имеется</t>
  </si>
  <si>
    <t>Благоустройство малой реки Кукшум</t>
  </si>
  <si>
    <t>Благоустройство малой реки Чебоксарка</t>
  </si>
  <si>
    <t>Благоустройство парка "Лакреевский лес"</t>
  </si>
  <si>
    <t xml:space="preserve">Строительство СОШ в мкр. "Радужный" </t>
  </si>
  <si>
    <t>Строительство СОШ в мкр. "Кувшинка"</t>
  </si>
  <si>
    <t>Строительство СОШ в мкр. "Акварель"</t>
  </si>
  <si>
    <t>Строительство СОШ в мкр. "Финская долина"</t>
  </si>
  <si>
    <t>Строительство СОШ в мкр. "Альгешево"</t>
  </si>
  <si>
    <t>Строительство СОШ на 1100 мест в мкр. НЮР</t>
  </si>
  <si>
    <t>Строительство СОШ на 1500 мест в мкр. "Университетский-2"</t>
  </si>
  <si>
    <t>Строительство СОШ на 1100 мест в мкр. "Солнечный"</t>
  </si>
  <si>
    <t>Строительство ДОУ в мкр. "Новый город" на 180 мест</t>
  </si>
  <si>
    <t xml:space="preserve">Ремонт дорог частного сектора </t>
  </si>
  <si>
    <t>Туризм</t>
  </si>
  <si>
    <t>ИТОГО по Туризму:</t>
  </si>
  <si>
    <t>Реконструкция Московской набережной 5 этап</t>
  </si>
  <si>
    <t>Ростуризм, ПСД имеется</t>
  </si>
  <si>
    <t>Строительство инженерной инфраструктуры грязелечебницы АО «Санаторий «Чувашиякурорт» по адресу: Чувашская Республика, г. Чебоксары, ул. Мичмана Павлова, д. 29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</si>
  <si>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</si>
  <si>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парковки для Гранд отеля "Мегаполис" по ул. Нижегородской, д. 3, в г. Чебоксары</t>
  </si>
  <si>
    <t>Ростуризм, ПСД в разработке</t>
  </si>
  <si>
    <t>Строительство комплексного подъёмника до Московской набережной</t>
  </si>
  <si>
    <t>Строительство набережной пассажирских причалов на левобережных остановочных пунктах Сосновка и Пляж г. Чебоксары</t>
  </si>
  <si>
    <t>Создание музея воинской славы на базе Погранично-сторожевого корабля «Чебоксары»</t>
  </si>
  <si>
    <t>Создание зоопарка</t>
  </si>
  <si>
    <t>2021-2026</t>
  </si>
  <si>
    <t>Строительство музея под открытым небом в исторической части г. Чебоксары</t>
  </si>
  <si>
    <t>Инвестиционный проект "Туристский кластер "Чувашия - сердце Волги"</t>
  </si>
  <si>
    <t>Благоустройство 10 общественных территорий</t>
  </si>
  <si>
    <t>Ремонт мостов г. Чебоксары (Калининский, Гагаринский, Октябрьский, путепровод Центральный рынок, пешеходный мост Лакреевский лес)</t>
  </si>
  <si>
    <t>Общественная безопасность</t>
  </si>
  <si>
    <t>ИТОГО по Общественной безопасности:</t>
  </si>
  <si>
    <t xml:space="preserve">Приобретение 9 помещений для работы участковому уполномоченному полиции </t>
  </si>
  <si>
    <t>Дооснащение системы видеонаблюдения правоохранительного сегмента АПК "Безопасный город"</t>
  </si>
  <si>
    <t>Дооснащение подсистемы видеонаблюдения "Безопасный двор"  системы видеонаблюдения АПК "Безопасный город"</t>
  </si>
  <si>
    <t>Строительство центра обработки данных</t>
  </si>
  <si>
    <t>1300 видеокамер</t>
  </si>
  <si>
    <t>3240 видекамер</t>
  </si>
  <si>
    <t>Строительство ДОУ в мкр. "Садовый" на 240 мест поз. 24</t>
  </si>
  <si>
    <t>Строительство ДОУ в мкр. "Садовый" на 240 мест поз. 39</t>
  </si>
  <si>
    <t>2024-2028</t>
  </si>
  <si>
    <t>2023-2024</t>
  </si>
  <si>
    <t>2020-2023</t>
  </si>
  <si>
    <t>2020-2025</t>
  </si>
  <si>
    <t>2024-2026</t>
  </si>
  <si>
    <t>2023-2026</t>
  </si>
  <si>
    <t>2025-2026</t>
  </si>
  <si>
    <t>Реконструкция Казанской набережной</t>
  </si>
  <si>
    <t>Строительство очистных сооружений ливневых стоков на р. Трусиха в парке "Лакреевский лес" с подключением существующего коллектора</t>
  </si>
  <si>
    <t>Строительство ливневых очистных сооружений в мкр. "Акварель"</t>
  </si>
  <si>
    <t>Проектирование и строительство противооползневых и берегоукрепительных сооружений Московской набережной города Чебоксары</t>
  </si>
  <si>
    <t xml:space="preserve"> Необходима разработка ПСД</t>
  </si>
  <si>
    <t>Строительство детского сада в                     мкр. "Радужный"</t>
  </si>
  <si>
    <t>250 мест</t>
  </si>
  <si>
    <t>Строительство детского сада в                     мкр. "Альгешево"</t>
  </si>
  <si>
    <t>160 мест</t>
  </si>
  <si>
    <t>Строительство детского сада в мкр. "Благовещенский"</t>
  </si>
  <si>
    <t>Строительство детского сада в мкр. "Лента"</t>
  </si>
  <si>
    <t>110 мест</t>
  </si>
  <si>
    <t>Строительство детского сада в мкр. "Солнечный"</t>
  </si>
  <si>
    <t>Строительство школы в мкр. "Садовый"</t>
  </si>
  <si>
    <t>Строительство детского сада в мкр. "Университетский-2"</t>
  </si>
  <si>
    <t>Реконструкция тепловых сетей от котельной 4-С с целью перехода с открытой системы теплоснабжения на закрытую</t>
  </si>
  <si>
    <t>Реконструкция тепловых сетей от ТЭЦ-2 с целью перехода с открытой системы теплоснабжения на закрытую</t>
  </si>
  <si>
    <t>Реконструкция тепловых сетей с целью переключения потребителей от котельных 33-М, 34-М на котельную 4-С</t>
  </si>
  <si>
    <t>Реконструкция тепловых сетей от котельной 1-З</t>
  </si>
  <si>
    <t>Реконструкция я тепловых сетей от котельной 2-З</t>
  </si>
  <si>
    <t>Реконструкция тепловых сетей от котельной 3-З</t>
  </si>
  <si>
    <t>Реконструкция тепловых сетей от котельной 4-З</t>
  </si>
  <si>
    <t>Строительство блочно-модульной котельной Б, Карачуры</t>
  </si>
  <si>
    <t>0,4 МВт</t>
  </si>
  <si>
    <t>Строительство блочно модульной котельной Опытный Лесхоз</t>
  </si>
  <si>
    <t>0,5 мВт</t>
  </si>
  <si>
    <t>Строительство блочно-модульной котельной РЖД</t>
  </si>
  <si>
    <t>0,62 мВт</t>
  </si>
  <si>
    <t>Реконструкция котельной 25-Ю</t>
  </si>
  <si>
    <t>14 мВт</t>
  </si>
  <si>
    <t>Реконструкция котельной 1-К</t>
  </si>
  <si>
    <t>34,98 мВт</t>
  </si>
  <si>
    <t>Реконструкция котельной 7-К</t>
  </si>
  <si>
    <t>69,78 мВт</t>
  </si>
  <si>
    <t>Реконструкция котельной 86-К</t>
  </si>
  <si>
    <t>33,29 мВт</t>
  </si>
  <si>
    <t>Реконструкция котельной 7-М</t>
  </si>
  <si>
    <t>5,8 мВт</t>
  </si>
  <si>
    <t>Реконструкция котельной 1-З</t>
  </si>
  <si>
    <t>2 мВт</t>
  </si>
  <si>
    <t>Реконструкция котельной 2-З</t>
  </si>
  <si>
    <t>6 мВт</t>
  </si>
  <si>
    <t>Реконструкция котельной 4-З</t>
  </si>
  <si>
    <t>Реконструкция котельной 28-Ц с установкой БМК</t>
  </si>
  <si>
    <t>0,6 мВт</t>
  </si>
  <si>
    <t>Реконструкция котельной 12-К с установкой БМК</t>
  </si>
  <si>
    <t>1,2 мВт</t>
  </si>
  <si>
    <t>Реконструкция котельной 25-М с установкой БМК</t>
  </si>
  <si>
    <t>3,5 мВт</t>
  </si>
  <si>
    <t>Реконструкция тепловой сети от ТК 26-Г до ТК-10К г. Чебоксары ул. Унивеситетская</t>
  </si>
  <si>
    <t>Реконструкция тепловых сетей от ТК-4Г до ТК-5Г г. Чебоксары, ул. М. Горького</t>
  </si>
  <si>
    <t>Реконструкция тепловых сетей от ТК-5Г до ТК-7Г г. Чебоксары, ул. М. Горького</t>
  </si>
  <si>
    <t>Реконструкция тепловых сетей от ТК-6М  до ТК-7М г. Чебоксары, ул. М. Павлова</t>
  </si>
  <si>
    <t>Реконструкция тепловых сетей от ТК-7а до ТК-9а г. Чебоксары, М. Горького</t>
  </si>
  <si>
    <t>Реконструкция и модернизация существующих тепловых сетей с целью перехода с 4-х трубной и открытой системы теплоснабжения на 2-х трубную закрытую независимую схему с заменых узлов учета тепловой энергии и установкой пластинчатых теплообменных аппаратов на систему отопления и ГВС у потребителей тепловой энергии</t>
  </si>
  <si>
    <t>Разработка ПСД</t>
  </si>
  <si>
    <t>Реконструкция мазутохранилища на котельной 5-С, с переводом на дизельное топливо</t>
  </si>
  <si>
    <t>Капитальный ремонт водовода 2d=1000 мм от  ул.Лебедева, 64 до б-р Юности (клиника "Северная") г.Чебоксары</t>
  </si>
  <si>
    <t>100 тыс. куб.м. в сутки</t>
  </si>
  <si>
    <t>ПСД отсутствует</t>
  </si>
  <si>
    <t>Капитальный ремонт водовода d=900 мм от ул.Пирогова до ул. Петрова г.Чебоксары</t>
  </si>
  <si>
    <t>60 тыс. куб.м. в сутки</t>
  </si>
  <si>
    <t>Капитальный ремонт водовода диаметром 600 мм от Монолитстроя до Марпосадского шоссе г. Чебоксары.</t>
  </si>
  <si>
    <t>40 тыс. куб.м. в сутки</t>
  </si>
  <si>
    <t>Реконструкция водовода диаметром 800 мм от ТРЦ Мадагаскара до пр.Машиностроителей г. Чебоксары.</t>
  </si>
  <si>
    <t>Строительство сетей  водоснабжения в районах индивидуальной застройки города Чебоксары</t>
  </si>
  <si>
    <t>2019-2025</t>
  </si>
  <si>
    <t>Капитальный ремонт «Главного» канализационного коллектора   в г.Чебоксары</t>
  </si>
  <si>
    <t>120 тыс. куб.м. в сутки</t>
  </si>
  <si>
    <t>Капитальный ремонт канализационного промколлектора №1А в г.Чебоксары</t>
  </si>
  <si>
    <t>Капитальный ремонт канализационных коллекторов</t>
  </si>
  <si>
    <t>240 тыс. куб.м. в сутки</t>
  </si>
  <si>
    <t>Строительство сетей  водоотведения в районах индивидуальной застройки города Чебоксары</t>
  </si>
  <si>
    <t>Реконструкция и модернизация электросетевого хозяйства города Чебоксары</t>
  </si>
  <si>
    <t xml:space="preserve">Строительство многофункционального центра культуры и досуга в новом микрорайоне «Заволжье» 
</t>
  </si>
  <si>
    <t>площадь 4 000 кв. м. на 300 мест</t>
  </si>
  <si>
    <t xml:space="preserve">Строительство многофункционального центра культуры и досуга в новом микрорайоне «Садовый» 
</t>
  </si>
  <si>
    <t>площадь 7 000 кв. м. на мест 500</t>
  </si>
  <si>
    <t>площадь не менее 1 000 кв. м. на 500 мест</t>
  </si>
  <si>
    <t>площадь не менее 1 000 кв. м. на 600 мест</t>
  </si>
  <si>
    <t xml:space="preserve">Строительство планетария-кванториума
</t>
  </si>
  <si>
    <t xml:space="preserve">площадь примерно 4 000 кв. м. </t>
  </si>
  <si>
    <t xml:space="preserve">требуется разработка ПСД, смет </t>
  </si>
  <si>
    <t xml:space="preserve"> Капитальный ремонт здания ДК им. П.Хузангая МБУК "МК "Победа"</t>
  </si>
  <si>
    <t xml:space="preserve"> Капитальный ремонт здания МБУК "ДК "Салют"</t>
  </si>
  <si>
    <t>Капитальный ремонт ДК "Ровесник"</t>
  </si>
  <si>
    <t xml:space="preserve"> Капитальный ремонт здания МБУК "ДК "Акация"</t>
  </si>
  <si>
    <t>ПСД имеется на 2246,0 т.р., требуется разработка на 43368,0 т.р.</t>
  </si>
  <si>
    <t>МБУДО "ЧДМШ №1" Капитальный ремонт внутренних помещений</t>
  </si>
  <si>
    <t>ПСД имеется на 3651,7</t>
  </si>
  <si>
    <t>МБУДО "ЧДМШ №2" Капитальный ремонт внутренних помещений</t>
  </si>
  <si>
    <t>МБУДО "ЧДМШ №3" Капитальный ремонт внутренних помещений и ремонт фасада</t>
  </si>
  <si>
    <t xml:space="preserve">Капитальный ремонт МБУДО "ЧДХШ №4" </t>
  </si>
  <si>
    <t xml:space="preserve">Капитальный ремонт МБУДО "ЧДХШ №6" </t>
  </si>
  <si>
    <t>2021; 2024</t>
  </si>
  <si>
    <t>МБУДО "ЧДХШИ" Разработка ПСД и текущий ремонт помещений школы</t>
  </si>
  <si>
    <t>требуется разработка ПСД - 1000,0т.р.</t>
  </si>
  <si>
    <t>МБУДО "ЧДШИ №1" облицовка фасада</t>
  </si>
  <si>
    <t>2021;2023</t>
  </si>
  <si>
    <t xml:space="preserve">Реконструкция МБУДО "ЧДШИ №3" </t>
  </si>
  <si>
    <t>Капитальный ремонт МБУДО "ЧДШИ №4"</t>
  </si>
  <si>
    <t>2022;2024</t>
  </si>
  <si>
    <t>разработка ПСД требуется</t>
  </si>
  <si>
    <t>2022;2024-2025</t>
  </si>
  <si>
    <t>требуется разработка ПСД - 500,0т.р.</t>
  </si>
  <si>
    <t xml:space="preserve">Капитальный ремонт МБУДО "ЧДМШ №5" </t>
  </si>
  <si>
    <t xml:space="preserve">Реконструкция МБУДО "ШИ п.Н.Лапсары" </t>
  </si>
  <si>
    <t>Строительство СОШ в мкр."Благовещенский"</t>
  </si>
  <si>
    <t>Строительный объем</t>
  </si>
  <si>
    <t>Строительство поликлиник, амбулаторий, ОВОП</t>
  </si>
  <si>
    <t>4 объекта</t>
  </si>
  <si>
    <t>Строительство больниц</t>
  </si>
  <si>
    <t>ИТОГО по Здравоохранению:</t>
  </si>
  <si>
    <t>Реализация мероприятий комплексного развития транспортной инфраструктуры Чебоксарской агломерации</t>
  </si>
  <si>
    <t>Региональный проект "Дорожная сеть" национального проекта "Безопасные и качественные автомобильные дороги"</t>
  </si>
  <si>
    <t>2019-2022</t>
  </si>
  <si>
    <t>Проектные работы завершены</t>
  </si>
  <si>
    <t>Краткое описание проекта</t>
  </si>
  <si>
    <t>Наименование проекта</t>
  </si>
  <si>
    <t>Уровень бюджета</t>
  </si>
  <si>
    <t>ВСЕГО, в т.ч.</t>
  </si>
  <si>
    <t>фед. бюджет</t>
  </si>
  <si>
    <t>респ. бюджет ЧР</t>
  </si>
  <si>
    <t>муниц. бюджет</t>
  </si>
  <si>
    <t>внебюдж.</t>
  </si>
  <si>
    <t>х</t>
  </si>
  <si>
    <t>9595 кв.м</t>
  </si>
  <si>
    <t>необходимо модернизировать 101 пищеблок в дошкольных образовательных организациях города Чебоксары</t>
  </si>
  <si>
    <t>12810 кв.м.</t>
  </si>
  <si>
    <t xml:space="preserve">необходимо модернизировать 61 пищеблок СОШ </t>
  </si>
  <si>
    <t xml:space="preserve">необходимо произвести капитальный ремонт в 31 СОШ, в 33 ДОУ  и в 3 ДОЛ </t>
  </si>
  <si>
    <t>необходимо провести работы  в 61 СОШ  и 125 ДОУ</t>
  </si>
  <si>
    <t>необходимо провести работы в 38 СОШ  и 96 ДОУ</t>
  </si>
  <si>
    <t xml:space="preserve">необходимо провести капитальный ремонт в 3 ДОЛ и ДДЮТ </t>
  </si>
  <si>
    <t>ориентировочно 111 000 м³</t>
  </si>
  <si>
    <t>Средняя полная школа рассчитана на 1100 учащихся; наполняемость классных групп - не более 25 человек; количество классов - 44. Число параллелей классов -4.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</t>
  </si>
  <si>
    <t>ориентировочно 100 000 м³</t>
  </si>
  <si>
    <t>Средняя полная школа рассчитана на 825 учащихся; наполняемость классных групп - не более 25 человек; 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</t>
  </si>
  <si>
    <t xml:space="preserve">Средняя полная школа рассчитана на 1100 учащихся; наполняемость классных групп - не более 25 человек; количество классов - 44. Число параллелей классов -4.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
</t>
  </si>
  <si>
    <t>ориентировочно 150 000 м³</t>
  </si>
  <si>
    <t>Средняя полная школа рассчитана на 1500 учащихся; наполняемость классных групп - не более 25 человек;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</t>
  </si>
  <si>
    <t>ориентировочно 18 000 м³</t>
  </si>
  <si>
    <t>Вместимость ДОУ 180 мест, состоит из 9 групп. На территории выделены зона застройки, игровая зона, хозяйственная зона. Зона застройки включает в себя основное здание, , игровая зона - 9 групповых площадок и 2 физкультурные площадки.</t>
  </si>
  <si>
    <t>20114 м³</t>
  </si>
  <si>
    <t>Вместимость ДОУ 240 мест, состоит из 12 групп. На территории выделены зона застройки, игровая зона, хозяйственная зона. Зона застройки включает в себя основное здание, , игровая зона - 12 групповых площадок и 2 физкультурные площадки.</t>
  </si>
  <si>
    <t>ориентировочно 23 000 м³</t>
  </si>
  <si>
    <t>Вместимость ДОУ 250 мест, состоит из 14 групп. На территории выделены зона застройки, игровая зона, хозяйственная зона. Зона застройки включает в себя основное здание, , игровая зона - 13 групповых площадок и 2 физкультурные площадки.</t>
  </si>
  <si>
    <t>ориентировочно 16 000 м³</t>
  </si>
  <si>
    <t>Вместимость ДОУ 160 мест, состоит из 8групп. На территории выделены зона застройки, игровая зона, хозяйственная зона. Зона застройки включает в себя основное здание, , игровая зона - 8групповых площадок и 2 физкультурные площадки.</t>
  </si>
  <si>
    <t>ориентировочно 21 000 м³</t>
  </si>
  <si>
    <t>ориентировочно 14 000 м³</t>
  </si>
  <si>
    <t>Вместимость ДОУ 110 мест, состоит из 5 групп. На территории выделены зона застройки, игровая зона, хозяйственная зона. Зона застройки включает в себя основное здание, , игровая зона - 5 групповых площадок и общую физкультурную площадку.</t>
  </si>
  <si>
    <t>ориентировочно 9 000 м³</t>
  </si>
  <si>
    <t>Вместимость ДОУ 110 мест, состоит из 5 групп. На территории выделены зона застройки, игровая зона, хозяйственная зона. Зона застройки включает в себя основное здание, , игровая зона - 5 групповых площадок и общую физкультурную площадку, мини-огород.</t>
  </si>
  <si>
    <t>1650 мест</t>
  </si>
  <si>
    <t>ориентировочно 140 000 м³</t>
  </si>
  <si>
    <t xml:space="preserve">Средняя полная школа рассчитана на 1650 учащихся; наполняемость классных групп - не более 25 человек; количество классов - 66. Число параллелей классов -6.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
</t>
  </si>
  <si>
    <t>ПСД разработано, находится на государственной экспертизе</t>
  </si>
  <si>
    <t>проектирует ООО "Лидер"</t>
  </si>
  <si>
    <t>ПСД разработана, имеется заключение экспертизы</t>
  </si>
  <si>
    <t>ведется строительство</t>
  </si>
  <si>
    <t>разработка ПСД</t>
  </si>
  <si>
    <t>начало строительства в 2020 году</t>
  </si>
  <si>
    <t>Крытая ледовая арена размером  30х60 м</t>
  </si>
  <si>
    <t>ФБ, РБ, МБ,
ПСД в стадии разработки</t>
  </si>
  <si>
    <t>беговые дорожки 2350 кв.м, футбльное поле 7000 кв.м., наружное освещение 36 кв.м.</t>
  </si>
  <si>
    <t>Демонтаж спортивного резинового покрытия беговых дорожек, демонтаж 4 железобетонных опор освещения, устройство спортивного резинового покрытия беговых дорожек, устройство наружного электроосвещения, покрытие футбольного поля искуственным газонным покрытием</t>
  </si>
  <si>
    <t>РБ, МБ,
ПСД имеется</t>
  </si>
  <si>
    <t>ФБ, РБ, МБ,
ПСД имеется</t>
  </si>
  <si>
    <t>Строительство здания ФОК с 2 плавательными бассейнами и спортивным залом (четырехэтажное отдельно стоящее здание с одним подземным этажом)</t>
  </si>
  <si>
    <t>643 860  чел. в год</t>
  </si>
  <si>
    <t xml:space="preserve"> РБ, МБ</t>
  </si>
  <si>
    <t xml:space="preserve">Для достижения в г. Чебоксары показателя  по использованию систем безопасности (систем видеонаблюдения) -  75 жителей на 1 камеру  - необходимо довести общее количество камер видеонблюдения правоохранительного сегмента до 6700 камер (1000  камер,  установленных в МОУ, 1100 видеокамер,  установленных в общественных местах и на перекрестках, 4600 видеокамер БД) ,  т. е. увеличить существующее количество Видеокамер более чем  вдвое. 
Проектом предусматривается установки дополнительно 1300 видеокамер,  размещаемых в общественных местах и на перекрестках, общая стоимость проекта - 150 млн.руб.
</t>
  </si>
  <si>
    <t>Проектом предусматривается установки дополнительно 3240 видеокамер на придомовых территориях 585 МКД. Стоимость проекта - 163.5 млн. руб, в том числе привлечённых внебюджетных средств - 48.5 млн. руб, средств республиканского и местного бюджетов - 115 млн.руб.</t>
  </si>
  <si>
    <t>Строительство и реконструкция открытых спортивных сооружений на спортивных площадках при общеобразовательных школах.</t>
  </si>
  <si>
    <t>3000 кв.м -1 спортивная площадка</t>
  </si>
  <si>
    <t xml:space="preserve"> Физкультурно-оздоровительный компекс будет включать  крытую ледовую арену с трибунами для зрителей на 250 посадочных мест, раздевалками и другими административно-бытовыми помещениями, тренажерный зал </t>
  </si>
  <si>
    <t xml:space="preserve">Демонтаж двух существующих зданий и старой хоккейной коробки; Строительство здания ФОК с 2 плавательными бассейнами (трехэтажное отдельно стоящее здание с цокольным этажом) и Крытой ледовой арены (одноэтажное с двухэтажной частью административных помещений); Озеленение, устройство покрытий и ограждения </t>
  </si>
  <si>
    <t>388 080  чел. в год</t>
  </si>
  <si>
    <t>площадь 8538,3 кв.м.</t>
  </si>
  <si>
    <t>площадь 9009,74 кв.м.</t>
  </si>
  <si>
    <t>площадь 442,4 кв.м.</t>
  </si>
  <si>
    <t>площадь 889 кв.м.</t>
  </si>
  <si>
    <t>площадь 365 кв.м.</t>
  </si>
  <si>
    <t>площадь 339,1 кв.м.</t>
  </si>
  <si>
    <t>площадь 1581 кв.м.</t>
  </si>
  <si>
    <t>площадь 1352,85 кв.м.</t>
  </si>
  <si>
    <t>площадь 1910,5 кв.м.</t>
  </si>
  <si>
    <t>площадь 641,2 кв.м.</t>
  </si>
  <si>
    <t>площадь 1400 кв.м.</t>
  </si>
  <si>
    <t>требуется разработка ПСД - 1500,0т.р.</t>
  </si>
  <si>
    <t>площадь 1545,3 кв.м.</t>
  </si>
  <si>
    <t>площадь 2000 кв.м.</t>
  </si>
  <si>
    <t>площадь 583,8 кв.м.</t>
  </si>
  <si>
    <t>площадь 781,1 кв.м.</t>
  </si>
  <si>
    <t>площадь 425,4 кв.м.</t>
  </si>
  <si>
    <t>Определяется при проектировании</t>
  </si>
  <si>
    <t>Строительство очистных сооружений в целях снижения сброса неочищенных стоков</t>
  </si>
  <si>
    <t>Строительство очистных сооружений в целях снижения сброса неочищенных стоков, реконструкция коллектора, ликвидация оврага в Лакреевском лесу</t>
  </si>
  <si>
    <t>Строительство снегоплавильного комплеса с целью утилизации снежных масс, строительство площадки с твердым покрытием для складирования снега в целях недопущения загрязнения грунта, строительство очистных сооружений в целях снижения сброса неочищенных стоков</t>
  </si>
  <si>
    <t>Строительство автомобильной дороги, связывающей 3 административных района города Чебоксары</t>
  </si>
  <si>
    <t>Приведение в нормативное состояние тротуарной сети города Чебоксары</t>
  </si>
  <si>
    <t>Строительство транспортной развязки в целях увеличения пропускной способности выезда из растущего Садового микрорайона города Чебоксары</t>
  </si>
  <si>
    <t>Приведение в нормативное состояние дорог частного сектора города Чебоксары</t>
  </si>
  <si>
    <t>Строительство автомобильной дороги через овраг, для создания прямой транспортно-пешеходной связи магистральной ул. Ашмарина с магистральной ул.Айзмана</t>
  </si>
  <si>
    <t>Приведение в нормативное состояние дороги по Лапсарскому проезду, ввиду большого количества жалоб</t>
  </si>
  <si>
    <t>2 100 кв.м</t>
  </si>
  <si>
    <t>Приведение в нормативное состояние дороги к Республиканскому центру зимних видов спорта</t>
  </si>
  <si>
    <t>1 200 кв.м</t>
  </si>
  <si>
    <t>Расширение проезжей части по ул. Пушкина</t>
  </si>
  <si>
    <t>Приведение в нормативное состояние дороги к мкр. Соляное</t>
  </si>
  <si>
    <t>Приведение в нормативное состояние и расширение дороги по ул. л. Комсомола, ввиду растущих мкр. Кувшинка, 14-й, Солнечный</t>
  </si>
  <si>
    <t>Приведение в нормативное состояние дороги по ул. Ашмарина, строительство сети ливневой канализации</t>
  </si>
  <si>
    <t>Строительство автомобильной дороги в новых мкр.</t>
  </si>
  <si>
    <t>1 800 кв.м</t>
  </si>
  <si>
    <t>Расширение автомобильной дороги вдоль офтальмологической больницы</t>
  </si>
  <si>
    <t>10 920 кв.м</t>
  </si>
  <si>
    <t>Строительство дороги вдоль ЖК Лайнер, дополнительная транспортная ветка до Московского моста в целях увеличения пропускной способности дорог города Чебоксары</t>
  </si>
  <si>
    <t>1 515 кв.м</t>
  </si>
  <si>
    <t>Расширение перекрестка, в увязке проектом строительства дороги по ул. Ярмарочная</t>
  </si>
  <si>
    <t>Приведение в нормативное состояние и расширение дороги, в связи с проведением работ по реконструкции по 1,2,3 этапу пр. И.Яковлева</t>
  </si>
  <si>
    <t>Приведение в нормативное состояние и расширение дороги по ул. Гражданской, большое количества жалоб на данную дорогу</t>
  </si>
  <si>
    <t>Приведение в нормативное состояние мостов, признанных по итогам обследования 2020 года предаварийными</t>
  </si>
  <si>
    <t>Приведение в нормативное состояние деревянного моста путем реконструкции</t>
  </si>
  <si>
    <t xml:space="preserve">Создание Заволжского парка в Сосновке  планируется осуществить путем  строительства спортивной и рекреационной инфраструктуры на земельных участках МБУ «СШ №10» в лесном массиве, в том числе строительство лыжной базы с лыжным стадионом и пунктом проката, открытых спортивных плоскостных сооружений: лыжероллерной освещенной трассой, лыжными,снегоходными,туристическими трассами, площадкой ОФП с тренажерами, открытыми площадками для занятий ФКиС, активного отдыха, изучения природы на свежем воздухе.
</t>
  </si>
  <si>
    <t>Проектной документацией предусматривается реконструкция Московской набережной 5 этап в границах существующей полосы отвода земли. Реконструкцией предусматривается устройство проезжей части (проезда) с изменением существующей оси по новому направлению, благоустройство прилегающей территории, устройством прогулочной зоны, переустройство существующих и прокладка новых инженерных сетей, обеспечение водоотвода. Проектируемый проезд используется как служебный для проезда экстренных служб и специального транспорта для обслуживания участка набережной в утренние часы. В дневное время проезд используется как велосипедная и роллерная дорожка.</t>
  </si>
  <si>
    <t>Проектной документацией предусматривается строительство парковки для Гранд отеля "Мегаполис" по ул. Нижегородская, д. 3 в г. Чебоксары на 99 машино-мест с асфальто-бетонным покрытием, устройство сети ливневой канализации, переустройство сетей водоснабжения и водоотведения, устройство наружного освещения парковки,устройство тратуаров и пешеходных дорожек с покрытием тротуарной плиткой.</t>
  </si>
  <si>
    <t xml:space="preserve">Проектом будет предусмотрены установкеа корабля на акватории р. Волга в г. Чебоксары,комплексное благоустройство территории для повышения качества городской среды, развития туризма, предоставления возможности активного или пассивного отдыха всех демографических групп населения в летнее и в зимнее время года и использование сторожевого корабля в качестве музейного экспоната. 
</t>
  </si>
  <si>
    <t>2020-2021</t>
  </si>
  <si>
    <t>120 960  чел. в год</t>
  </si>
  <si>
    <t>264 000  чел. в год</t>
  </si>
  <si>
    <t>Прогнозные объемы финансирования, млн. рублей</t>
  </si>
  <si>
    <t>Всего, в т.ч.</t>
  </si>
  <si>
    <r>
      <t>ФОК-5350,3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(78295,14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); Крытая ледовая арена -2386,2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(21652,4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); Здание КПП -42,74,м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(124,3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</t>
    </r>
  </si>
  <si>
    <r>
      <t>ФОК-5053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</si>
  <si>
    <t>2020</t>
  </si>
  <si>
    <t>2021</t>
  </si>
  <si>
    <t>2022</t>
  </si>
  <si>
    <t>2023</t>
  </si>
  <si>
    <t>2024</t>
  </si>
  <si>
    <t>2025</t>
  </si>
  <si>
    <t>ИТОГО</t>
  </si>
  <si>
    <t>База отдыха "Волжская деревня" - строительство новых корпусов, ИП Дельман, г. Чебоксары</t>
  </si>
  <si>
    <t>Береговой комплекс службы речного такси, г. Чебоксары, ООО «Роланд», г. Чебоксары</t>
  </si>
  <si>
    <t>Вейк-парк на территории Залива, ООО «Карусель-НН», г. Чебоксары</t>
  </si>
  <si>
    <t>Возведение ярмарочного комплекса, ориентированного на культурно-досуговый формат работы, г. Чебоксары, ООО «Русские ярмарки», г. Чебоксары</t>
  </si>
  <si>
    <t>Гостиница эконом-класса на 90 номеров по проспекту Московскому, г. Чебоксары, ООО ГК «Основа», г. Чебоксары</t>
  </si>
  <si>
    <t>Грязелечебница СКК «Чувашиякурорт», реконструкция, строительство новых корпусов, АО «Санаторий «Чувашиякурорт», г. Чебоксары</t>
  </si>
  <si>
    <t>Жилая застройка жилого района «Новый город» г.Чебоксары, ОАО «СЗ «ИСКО-Ч», ОАО «СЗ «Инкост», г. Чебоксары</t>
  </si>
  <si>
    <t>Жилая застройка микрорайона «Университетский-2» СЗР г.Чебоксары, АО «СЗ «ТУС», г. Чебоксары</t>
  </si>
  <si>
    <t>Жилая застройка территории I очереди VII МКР центральной части г. Чебоксары, ООО «СЗ Отделфинстрой», г. Чебоксары</t>
  </si>
  <si>
    <t>Жилая застройка территории МКР «Акварель», ограниченного жилыми домами по ул. Академика Королева, ул. Гражданская, ул. Дементьева г. Чебоксары, ООО «Отделфинстрой и Партнёры», г. Чебоксары</t>
  </si>
  <si>
    <t>Жилая застройка территории МКР «Солнечный» в НЮР по пр. Тракторостроителей г.Чебоксары (1 и 2 этапы строительства), ООО «ГК «Удача», г. Чебоксары</t>
  </si>
  <si>
    <t>Жилая застройка территории МКР 2 «А» центральной части г.Чебоксары «Грязевская стрелка», ограниченной улицами Гагарина, Ярмарочная, Пионерская, Калинина, ООО «СЗ «Центр», г. Чебоксары</t>
  </si>
  <si>
    <t>Жилая застройка территории МКР 4 жилого района «Солнечный» НЮР г.Чебоксары, ООО «Честр-Инвест», г. Чебоксары</t>
  </si>
  <si>
    <t>Жилая застройка территории, ограниченной МКР «Университетский-2», лес. насаждениями, жилой группой, МКР «Университетский-2», улицами Надежды, Васильковой, Сиреневой, Ромашковой и СНТ «Заовражное» в СЗР, АО «СЗ «ТУС», г. Чебоксары</t>
  </si>
  <si>
    <t>Жилая застройка территории, ограниченной улицами Б.Хмельницкого, Ю.Фучика, Щорса, Васнецова г. Чебоксары, АО «СЗ Строительный трест № 3», г. Чебоксары</t>
  </si>
  <si>
    <t>Жилая застройка территории, ограниченной улицами Водопроводная, К.Иванова г. Чебоксары, ООО «СЗ Отделфинстрой», г. Чебоксары</t>
  </si>
  <si>
    <t>Жилая застройка территории, ограниченной улицами Эгерский б-р, Лен. Комсомола, Машиностроительный пр-д, речка Малая Кувшинка г.Чебоксары, ООО «Лидер», г. Чебоксары</t>
  </si>
  <si>
    <t>Запуск новых технологических линий по производству кондитерских изделий, строительство логистического центра, АО «АККОНД», г. Чебоксары</t>
  </si>
  <si>
    <t>Комплекс "Дом приемов и общественного питания", Инвестор, г. Чебоксары</t>
  </si>
  <si>
    <t>Комплекс обслуживания населения с панорамной площадкой, Московская Набережная, Инвестор, г. Чебоксары</t>
  </si>
  <si>
    <t>Концентрация производства и замена устаревших технологий механической и термической обработки для выпуска ключевой номенклатуры продукции, ООО «ПК «ЧАЗ», г. Чебоксары</t>
  </si>
  <si>
    <t>Круглогодичный загородный клуб "Усадьба "Жемчужная"" - строительство новых корпусов, центра SPA и медцентра, Инвестор, г. Чебоксары</t>
  </si>
  <si>
    <t>Линия для производства слоеных изделий, АО «Чебоксарский хлебозавод №2», г. Чебоксары</t>
  </si>
  <si>
    <t>Линия по производству мороженого «Лакомка», АО «Волга Айс», г. Чебоксары</t>
  </si>
  <si>
    <t>Линия по производству мороженого «Эскимо», АО «Волга Айс», г. Чебоксары</t>
  </si>
  <si>
    <t>Линия производства пралиновых конфет, ООО «ЧМКФ «Вавилон», г. Чебоксары</t>
  </si>
  <si>
    <t>Линия ржаного односортного помола в рамках технического перевооружения существующей производственной линии, АО «Чувашхлебопродукт», г. Чебоксары</t>
  </si>
  <si>
    <t>Многофункциональный гостиничный комплекс на ул. Нижегородская, ООО «Мегаполис-Чебоксары», г. Чебоксары</t>
  </si>
  <si>
    <t>Модернизация и реконструкция Чебоксарского молочного завода, ООО «Чебоксарский городской молочный завод», г. Чебоксары</t>
  </si>
  <si>
    <t>Модернизация производства под выпуск универсальной технологической линии по производству ЖБИ, ЗАО «Рекон», г. Чебоксары</t>
  </si>
  <si>
    <t>Моечный сервис самообслуживания для транспортных средств, ИП Германов А.В., г. Чебоксары</t>
  </si>
  <si>
    <t>НИОКР. Разработка и освоение производства серии малогабаритных реле с интерфейсом, розетки для реле и модулей, ООО «ВНИИР-Промэлектро», г. Чебоксары</t>
  </si>
  <si>
    <t>Объект культурного наследия "Каменный двухэтажный дом" 1890 года, реконструкция, АО «Чувашкабель», г. Чебоксары</t>
  </si>
  <si>
    <t>Организация импортозамещающего высокотехнологичного производства обуви из полиуретана, АО «ЧПО им. В.И. Чапаева», г. Чебоксары</t>
  </si>
  <si>
    <t>Организация производства обуви с противоскользящими свойствами подошвы, ООО «Яхтинг», г. Чебоксары</t>
  </si>
  <si>
    <t>Организация производства одноразовых медицинских масок, ООО «Яхтинг», г. Чебоксары</t>
  </si>
  <si>
    <t>Организация производства специальной оснастки и сетки для композиционных материалов, ООО «Инструментально-экспериментальный завод», г. Чебоксары</t>
  </si>
  <si>
    <t>Организация серийного производства полиамидного лака и пленки с улучшенными характеристиками, ООО ВФ «ОКСИ», г. Чебоксары</t>
  </si>
  <si>
    <t>Освоение выпуска испортозамещающей машиностроительной продукции, ООО «Чебоксарский завод силовых агрегатов», г. Чебоксары</t>
  </si>
  <si>
    <t>Освоение производства инновационных электротехнических изделий со строительством новой производственной площадки (I очередь), АО «НПО «Каскад», г. Чебоксары</t>
  </si>
  <si>
    <t>Освоение производства универсального технологического оборудования на основе алюминиевого конструкционного профиля, а также оказание услуг по выпуску электротехнических изделий со строительством новой производственной площадки на территории индустриального парка (I очередь), ООО «КОНТЭЛТ», г. Чебоксары</t>
  </si>
  <si>
    <t>Освоение производства универсального технологического оборудования на основе алюминиевого конструкционного профиля, ООО «КОНТЭЛТ», г. Чебоксары</t>
  </si>
  <si>
    <t>Приобретение технологического оборудования и иных объектов основных средств (модернизация производственных мощностей), ЗАО «Завод игрового спортивного оборудования», г. Чебоксары</t>
  </si>
  <si>
    <t>Приобретение хлебопекарного оборудования, ЗАО «Хлебокомбинат «Петровский», г. Чебоксары</t>
  </si>
  <si>
    <t>Производство алюминиевых конструкций на территории индустриального парка г. Чебоксары (II очередь), ИП Липатов Александр Михайлович, г. Чебоксары</t>
  </si>
  <si>
    <t>Производство замороженных овощей и фруктов и квашеной капусты, ИП Смирнов Е.В., г. Чебоксары</t>
  </si>
  <si>
    <t>Производство машин и оборудования для добычи полезных ископаемых и строительства на территории индустриального парка г. Чебоксары (II очередь), ООО «Завод горного оборудования», г. Чебоксары</t>
  </si>
  <si>
    <t>Производство систем вентиляции на территории индустриального парка г. Чебоксары (II очередь), ООО «Русский воздух», г. Чебоксары</t>
  </si>
  <si>
    <t>Производство трикотажных изделий и предоставление услуг по пошиву, ИП Капитонов Александр Михайлович, г. Чебоксары</t>
  </si>
  <si>
    <t>Производство черновых осей, ООО «МИГ «КТЗ», г. Чебоксары</t>
  </si>
  <si>
    <t>Производство электроприводов для ТПА на территории индустриального парка г. Чебоксары (I очередь), ООО «БИРС Арматура», г. Чебоксары</t>
  </si>
  <si>
    <t>Развитие и модернизация цифровой Системы интервального регулирования и обеспечения безопасности движения поездов (АБТЦ-МШ), АО «ЭЛАРА», г. Чебоксары</t>
  </si>
  <si>
    <t>Развлекательный прибрежный комплекс "Охотничий дворик/Hunterclub", Инвестор, г. Чебоксары</t>
  </si>
  <si>
    <t>Размещение производства по изготовлению горного оборудования на территории индустриального парка г. Чебоксары (II очередь), ООО «НПП «РудМашКонструкция», г. Чебоксары</t>
  </si>
  <si>
    <t>Размещение производства по изготовлению мебели на территории индустриального парка г. Чебоксары (II очередь), ИП Георгиев Владимир Алексеевич, г. Чебоксары</t>
  </si>
  <si>
    <t>Размещение производства по металлообработке на территории индустриального парка г. Чебоксары (II очередь), ООО «Темп», г. Чебоксары</t>
  </si>
  <si>
    <t>Разработка высокотехнологичного производства проволоки луженой оловом и сплавами на его основе, АО «Завод «Чувашкабель», г. Чебоксары</t>
  </si>
  <si>
    <t>Разработка и освоение серийного производства современного высокоэффективного холодильного оборудования, ООО «Фросто», г. Чебоксары</t>
  </si>
  <si>
    <t>Разработка и серийное производство модельного ряда генераторов аэрозольного пожаротушения пиротехнического типа повышенной эффективности, АО «ЧПО им. В.И. Чапаева», г. Чебоксары</t>
  </si>
  <si>
    <t>Разработка инновационной, цифровой комплексной системы управления и диагностики электропоезда четвертого поколения (УПУ-4), АО «ЭЛАРА», г. Чебоксары</t>
  </si>
  <si>
    <t>Разработка отказоустойчивых мультиагентных АСУ ТП, АО «ЭЛАРА», г. Чебоксары</t>
  </si>
  <si>
    <t>Разработка Программно-технического комплекса для измерения геометрических параметров пути, АО «ЭЛАРА», г. Чебоксары</t>
  </si>
  <si>
    <t>Разработка системы автоматического управления газотурбинной установки ГТЭ-170, АО «ЭЛАРА», г. Чебоксары</t>
  </si>
  <si>
    <t>Разработка системы автоматического управления газотурбинной установки ГТЭ-65.1, АО «ЭЛАРА», г. Чебоксары</t>
  </si>
  <si>
    <t>Расширение производства электротехнического оборудования, ООО «НПП Бреслер», г. Чебоксары</t>
  </si>
  <si>
    <t>Расширение производственных мощностей, ООО «ВНИИР-Прогресс», г. Чебоксары</t>
  </si>
  <si>
    <t>Реализация инвестиционных проектов резидентами частных промышленных технопарков, агропромышленного парка, экотехнопарка, АУ ЧР «Фонд развития промышленности и инвестиционной деятельности Чувашской Республики», Минпромэнерго Чувашии, г. Чебоксары</t>
  </si>
  <si>
    <t>Реконструкции сектора внутренних воздушных линий здания аэровокзала Международного аэропорта «Чебоксары» (аэровокзала на 100 мест), ООО «МАЧ», г. Чебоксары</t>
  </si>
  <si>
    <t>Реконструкция и модернизация производственных объектов, ООО «Чебоксарский мясокомбинат», г. Чебоксары</t>
  </si>
  <si>
    <t>Ресторан на территории Залива г.Чебоксары, ООО «Роланд», г. Чебоксары</t>
  </si>
  <si>
    <t>Создание и освоение серийного производства крупного вагонного литья для создания инновационных вагонов с учетом автоматизации и модернизации литейного производства, ООО «Завод промышленного литья», г. Чебоксары</t>
  </si>
  <si>
    <t>Создание и освоение серийного производства модельного ряда гусеничных тракторов массой до 110 т, ООО «ПК «Промтрактор», г. Чебоксары</t>
  </si>
  <si>
    <t>Создание комплексной лаборатории на проведение климатических, механических, высоковольтных испытаний и модернизация лаборатории электромагнитной совместимости, Ассоциация «ИнТЭК», г. Чебоксары</t>
  </si>
  <si>
    <t>Создание машиностроительного производства на территории индустриального парка г. Чебоксары (I очередь), ООО «Прессдеталь», г. Чебоксары</t>
  </si>
  <si>
    <t>Создание машиностроительного производства на территории индустриального парка г. Чебоксары (I очередь), ООО «Центр Плазменной Резки», г. Чебоксары</t>
  </si>
  <si>
    <t>Создание мини-зоопарка, Инвестор, г. Чебоксары</t>
  </si>
  <si>
    <t>Создание объектов туристического обслуживания населения, ООО «Тригрупп», г. Чебоксары</t>
  </si>
  <si>
    <t>Создание перспективных производственных технологий в сфере оборудования для общественного питания, пищевой промышленности, в рамках импортзамещения, АО «Чувашторгтехника», г. Чебоксары</t>
  </si>
  <si>
    <t>Создание производства запасных частей на территории индустриального парка г. Чебоксары (II очередь), ООО «ЦентрСнаб», г. Чебоксары</t>
  </si>
  <si>
    <t>Создание производства тепло- и звукоизоляционных материалов на территории индустриального парка г. Чебоксары (II очередь), ООО «Идеальная кровля», г. Чебоксары</t>
  </si>
  <si>
    <t>Создание производства тракторной техники малой и средней мощности на территории Российской Федерации в рамках СПИК 2.0, ООО «МИГ «КТЗ», г. Чебоксары</t>
  </si>
  <si>
    <t>Создание участка термообработки ТВЧ деталей гусениц: втулки, пальцы и башмаки, ПАО «Чебоксарский агрегатный завод», г. Чебоксары</t>
  </si>
  <si>
    <t>Создание центра кибербезопасности в энергетике и промышленности, ООО «Интеллектуальные сети», г. Чебоксары</t>
  </si>
  <si>
    <t>Создание электротехнического производства на территории индустриального парка г. Чебоксары (I очередь), ООО «Завод ЭнергоМаш», г. Чебоксары</t>
  </si>
  <si>
    <t>Спортивно-гостиничный комплекс в районе 30-ой автодороги г. Чебоксары, ООО ГК «Основа», г. Чебоксары</t>
  </si>
  <si>
    <t>Спортивный комплекс по игре в большой теннис "Олимп", Инвестор, г. Чебоксары</t>
  </si>
  <si>
    <t>Строительство апарт-отеля на 120 гостиничных номеров, Инвестор, г. Чебоксары</t>
  </si>
  <si>
    <t>Строительство базы ездового спорта и спортивного туризма с гостиничным комплексом на 150 мест, Инвестор, г. Чебоксары</t>
  </si>
  <si>
    <t>Строительство высокотехнологичного завода для производства стальных дверей под маркой «BERSERKER» на территории индустриального парка г. Чебоксары, I очередь, ООО «БКР», г. Чебоксары</t>
  </si>
  <si>
    <t>Строительство гостиничного комплекса аквапарка, Инвестор, г. Чебоксары</t>
  </si>
  <si>
    <t>Строительство Дома приёма делегаций, Инвестор, г. Чебоксары</t>
  </si>
  <si>
    <t>Строительство завода объемно-блочного домостроения, ООО «Завод ОБД», г. Чебоксары</t>
  </si>
  <si>
    <t>Строительство производственного здания логистического центра инфраструктуры индустриального парка торговой марки «Abat» по упаковке, хранению, маркировке и отгрузке продукции, АО «Чувашторгтехника», г. Чебоксары</t>
  </si>
  <si>
    <t>Строительство торговых центров («Леруа Мерлен», «Декатлон», «Детский Мир», «Лента») на территории микрорайона «Садовый», г.Чебоксары, ООО «Леруа Мерлен Восток», «Глобал Строй», «Глобал Строй Девелопмент», г. Чебоксары</t>
  </si>
  <si>
    <t>Техническое перевооружение хлебного производства и автоматизация технологических процессов, учета сырья и произведенной продукции, ООО «ЧХЗ №1», г. Чебоксары</t>
  </si>
  <si>
    <t>Торговля оптовая шоколадом и сахаристыми кондитерскими изделиями, мороженым и полуфабрикатом, ООО «МИКС», г. Чебоксары</t>
  </si>
  <si>
    <t>Холодильный склад на 1900 паллетомест, АО «Волга Айс», г. Чебоксары</t>
  </si>
  <si>
    <t>Яхт-клуб на Московской набережной г.Чебоксары, ООО «Роланд», г. Чебоксары</t>
  </si>
  <si>
    <t>Развитие централизованного теплоснабжения в муниципальных образованиях г. Чебоксары и г. Новочебоксарска, ПАО «Т Плюс», г. Чебоксары, г. Новочебоксарск</t>
  </si>
  <si>
    <t>№</t>
  </si>
  <si>
    <t>Отрасль</t>
  </si>
  <si>
    <t>Наименование, заявитель</t>
  </si>
  <si>
    <t>Сроки реализации</t>
  </si>
  <si>
    <t>Краткое содержание</t>
  </si>
  <si>
    <t>Развитие промышленности</t>
  </si>
  <si>
    <t>Комплексный проект</t>
  </si>
  <si>
    <t>Реализация инвестиционных проектов резидентами частных промышленных технопарков, агропромышленного парка, экотехнопарка</t>
  </si>
  <si>
    <t>Легкая промышленность</t>
  </si>
  <si>
    <t>Производство одноразовых трехслойных медицинских масок объемом 3 млн. штук/мес</t>
  </si>
  <si>
    <t>Производство трикотажных изделий с последующей их реализацией-женские и мужские футболки</t>
  </si>
  <si>
    <t>Машиностроение</t>
  </si>
  <si>
    <t>2020-2024</t>
  </si>
  <si>
    <t>Оптимизация площадей, закупка современного металлорежущего оборудования для изготовления деталей - комплектующих гусениц, катков и узлов сцепления</t>
  </si>
  <si>
    <t>Замена станочного парка под серийный выпуск автоматической универсальной технологической линии «Рекон» 5-го поколения</t>
  </si>
  <si>
    <t>Освоение и постановка на производство «Мостов передних и задних для фронтального погрузчика» и «Комплектующих для насосов по импортозамещению» в рамказ реализации постановления Правительства Российской Федерации №719 от 17.07.2018 «О критериях отнесения промышленной продукции к промышленной продукции, не имеющей аналогов, произведенных в Российской Федерации»</t>
  </si>
  <si>
    <t>2015-2021</t>
  </si>
  <si>
    <t>Приобретение технологического оборудования и иных объектов ОС с целью расшивки узких мест, замена старого.</t>
  </si>
  <si>
    <t>Строительство производственного задания с трехэтажным АБК общей площадью 3420 м2 для дальнейшей деятельности по производству запасных частей и оборудования для добычи полезных ископаемых</t>
  </si>
  <si>
    <t>Производство систем вентиляции на территории индустриального парка г. Чебоксары (II очередь)</t>
  </si>
  <si>
    <t>Увеличение объема выпуска комплектующих для инновационного подвижного состава</t>
  </si>
  <si>
    <t>2017-2022</t>
  </si>
  <si>
    <t>Размещение производства по изготовлению горного оборудования на территории индустриального парка г. Чебоксары (II очередь)</t>
  </si>
  <si>
    <t>2019-2023</t>
  </si>
  <si>
    <t>Проект направлен на производство современного холодильного оборудования для применения в торговле, общественном питании, мясоперерабатывающей и рыбоперерабатывающей промышленности, в рамках импортозамещения.</t>
  </si>
  <si>
    <t>Предусматривается применение принципа открытой архитектуры и использование возможности за счёт программного обеспечения российской разработки обеспечивать стыковку аппаратуры пульта с существующими и перспективными системами управления, диагностики и обеспечения безопасности электропоезда и локомотива</t>
  </si>
  <si>
    <t>Проект реализуется как составная часть платформенного решения, обеспечивающего роботизацию ремонтных работ железнодорожного пути с высокой координатной точностью</t>
  </si>
  <si>
    <t>Создание отечественной системы автоматизированного управления для газовых турбин ГТЭ-170 производства ПАО «Силовые машины». Проект является частью комплексного проекта в рамках создания производства газовых турбин большой мощности</t>
  </si>
  <si>
    <t>Создание отечественной системы автоматизированного управления для газовых турбин ГТЭ-65.1 производства ПАО «Силовые машины». Проект является частью комплексного проекта в рамках создания производства газовых турбин большой мощности</t>
  </si>
  <si>
    <t>Разработка и запуск производства нового семейства тяжелых гусеничных бульдозеров с возможностью использования «цифровой» платформы с комплектом навесного оборудования с использованием интеллектуальных систем диагностики. Выход на ежегодный выпуск дополнительно около 60 бульдозеров.</t>
  </si>
  <si>
    <t>2017-2020</t>
  </si>
  <si>
    <t>Создание машиностроительного производства на территории индустриального парка г. Чебоксары (I очередь)</t>
  </si>
  <si>
    <t>2015-2020</t>
  </si>
  <si>
    <t>Создание перспективных производственных технологий в сфере оборудования для общественного питания, пищевой промышленности, в рамках импортозамещения</t>
  </si>
  <si>
    <t>2018-2021</t>
  </si>
  <si>
    <t>Создание производства запасных частей на территории индустриального парка г. Чебоксары (II очередь)</t>
  </si>
  <si>
    <t>Выпуск новой линейки тракторов до 10 000 шт. в год.</t>
  </si>
  <si>
    <t>Внедрение новой технологии термообработки втулок, пальцев и башмаков гусеничных лент индукционной закалкой токами высокой частоты</t>
  </si>
  <si>
    <t>Проектом предполагается строительство производственного центра по упаковке, хранению, маркировке и отгрузке продукции АО «Чувашторгтехника», ООО «ФРОСТО», ООО «ЭЛИНОКС», ООО «Торговая механика» (далее – Центр) - современного, инновационного и высококачественного оборудования для предприятий общественного питания, не уступающего по своим техническим характеристикам и внешнему виду лучшим западным производителям.
Организация производства отечественных комплектующих для изделий под маркой «Аbat», позволят исключить зависимость АО «Чувашторгтехника» и третьих лиц от импорта, а также снизить затраты на производство готового оборудования</t>
  </si>
  <si>
    <t>Металлургия и металлообработка</t>
  </si>
  <si>
    <t>Производство алюминиевых конструкций на территории индустриального парка г. Чебоксары (II очередь)</t>
  </si>
  <si>
    <t>Размещение производства по металлообработке на территории индустриального парка г. Чебоксары (II очередь)</t>
  </si>
  <si>
    <t>2019-2021</t>
  </si>
  <si>
    <t>Продукция предназначена для применения в качестве электродов в составе солнечных модулей, а так же экранирующих элементов в кабельно-проводниковых изделиях. Разработка технологии позволит создать отечественное производство проволоки медной круглой с покрытием из сплава олова и индия марки ПОИН-52, предназначенной для изготовления электрода наземных солнечных фотоэлектрических модулей объемом до 200 000 км/год.</t>
  </si>
  <si>
    <t>Расширение и модернизация мощностей производства для освоения крупного вагонного литья с унификацией техпроцессов под выпуск крупного вагонного литья для инновационных подвагонных тележек. Увеличение объема производства крупного вагонного литья ((рама боковая, балка надрессорная) на 25 тыс. единиц в год (на 17,5%)</t>
  </si>
  <si>
    <t>2018-2028</t>
  </si>
  <si>
    <t>Производство стальных дверей</t>
  </si>
  <si>
    <t>Производство мебели</t>
  </si>
  <si>
    <t>Размещение производства по изготовлению мебели на территории индустриального парка г. Чебоксары (II очередь)</t>
  </si>
  <si>
    <t>Прочая обрабатывающая промышленность</t>
  </si>
  <si>
    <t>Организация производства обуви с противоскользящими свойствами подошвы, ООО «Яхтинг».</t>
  </si>
  <si>
    <t>Развертывание импортозамещающего производства геосетки и геополотна, а также сетки или полотна токопроводящего (молниезащитного) для полимерных композитов для применения в строительной отрасли, а также в авиастроении и других отраслях.</t>
  </si>
  <si>
    <t>Стройиндустрия</t>
  </si>
  <si>
    <t>Создание производства тепло- и звукоизоляционных материалов на территории индустриального парка г. Чебоксары (II очередь)</t>
  </si>
  <si>
    <t>2018-2024</t>
  </si>
  <si>
    <t>Создание производственных мощностей для выпуска комплектов комфортно-эффективного объемно-блочного домостроения для реализации строительных проектов своими силами и партнерами на своих земельных участках, для обеспечения потребности рынка Чувашской республики. Продукция позволит обеспечить застройку пяти микрорайонов общей площадью более 140 га, возвести не менее 1 280 000 кв. м жилья и обеспечить жильем около 50 000 человек.</t>
  </si>
  <si>
    <t>Химическая промышленность</t>
  </si>
  <si>
    <t>В рамках проекта создается новое производство, обеспечивающее выпуск специализированной обуви из полиуретана.</t>
  </si>
  <si>
    <t>Создаваемая продукция (полиамидный лак ПИ-250 и плёнка СКЛФ-4Д толщиной 45 мкм) позволит получать изоляционные материалы пригодные для производства провода с уникальными характеристиками для авиационной и других отраслей промышленности</t>
  </si>
  <si>
    <t>Проект предусматривает разработку новых технологий и конструкций средств аэрозольного пожаротушения (ОКР) с пониженной температурой и сниженной коррозионной активностью аэрозольного потока, увеличение производственных мощностей и объемов продаж аэрозольных средств пожаротушения.</t>
  </si>
  <si>
    <t>Электротехническая промышленность</t>
  </si>
  <si>
    <t>Создание и освоение производства серии малогабаритных реле для применения в шкафах релейной защиты и автоматики, в низковольтных комплектных устройствах для нужд энергетики в порядке импортозамещения изделий инофирм</t>
  </si>
  <si>
    <t>2015-2024</t>
  </si>
  <si>
    <t>Проект предполагает создание производства, обеспечивающего выпуск новых импортозамещающих электротехнических изделий: соединителей для различных остраслей промышленности и комплектующих для НКУ блочно-модульной конструкции, в том числе строительство ового административно-производственного здания площадью 10,5 тыс. кв.м. в Индустриальном парке г. Чебоксары</t>
  </si>
  <si>
    <t>2018-2023</t>
  </si>
  <si>
    <t>Освоение производства универсального технологического оборудования на основе алюминиевого конструкционного профиля, а также оказанию услуг по выпуску электротехнических изделий со строительством новой производственной площадки на территори индустиального парка (I очередь)</t>
  </si>
  <si>
    <t>2016-2024</t>
  </si>
  <si>
    <t>Предусматривается строительство нового административно-производственного здания площадью 4,9 тыс. кв.м. в Индустриальном парке г. Чебоксары. Проектом также предусмотрено оказание услуг по выпуску электротехнических изделий.</t>
  </si>
  <si>
    <t>2017-2021</t>
  </si>
  <si>
    <t>Производство электроприводов для ТПА</t>
  </si>
  <si>
    <t>Применение планируется для объектов инфраструктуры БАМ, Восточного полигона, МЦД, Транспортного перехода Керченского моста, модернизация и развитие Крымских ЖД с применением отечественного ПО, как основы российской системы управления безопасностью движения в рамках стратегического проекта «Цифровая железная дорога» и системы управления перевозочным процессом на основе искусственного интеллекта</t>
  </si>
  <si>
    <t>Разработка современной цифровой АСУ ТП, состоящей из распределенных локальных САУ технологического оборудования, объединенных единой информационной сетью.</t>
  </si>
  <si>
    <t>2016-2022</t>
  </si>
  <si>
    <t>Расширение линейки производимой продукции, увеличение объема реализации и создание новых рабочих мест</t>
  </si>
  <si>
    <t>2016-2021</t>
  </si>
  <si>
    <t>Расширение производственных мощностей по основной линейке электротехнической продукции</t>
  </si>
  <si>
    <t>Создание на территории г. Чебоксары лаборатории механики, климатики и проведению высоковольтных испытаний, а также модернизация существующей лаборатории электромагнитной совместимости для удовлетворения нужд промышленных электротехнических предприятий по проведению комплексных испытаний в едином Испытательном центре</t>
  </si>
  <si>
    <t>2014-2020</t>
  </si>
  <si>
    <t>Создание электротехнического производства на территории индустриального парка г. Чебоксары (I очередь)</t>
  </si>
  <si>
    <t>Развитие АПК</t>
  </si>
  <si>
    <t>Пищевая промышленность</t>
  </si>
  <si>
    <t>2016-2020</t>
  </si>
  <si>
    <t>Запуск 3 новых технологических линий по производству кондитерских изделий мощностью 8,0 тыс. тонн в год, строительство логистического центра</t>
  </si>
  <si>
    <t>2019-2020</t>
  </si>
  <si>
    <t>Линия для производства слоеных изделий</t>
  </si>
  <si>
    <t>Линия по производству мороженого</t>
  </si>
  <si>
    <t>Линия производства пралиновых конфет</t>
  </si>
  <si>
    <t>Линия ржаного односортного помола в рамках технического перевооружения существующей производственной линии</t>
  </si>
  <si>
    <t>Модернизация, реконструкция и строительство молочного завода по производству и реализации молочной продукции мощностью 200 т/сут</t>
  </si>
  <si>
    <t>Приобретение хлебопекарного оборудования, увеличение производства на 22 т/с</t>
  </si>
  <si>
    <t>На специальном оборудовании происходит шоковая заморозка овощей и фруктов (сырье закупается)</t>
  </si>
  <si>
    <t>2019-2024</t>
  </si>
  <si>
    <t>Реконструкция и модернизация производственных объектов</t>
  </si>
  <si>
    <t>Техническое перевооружение хлебного производства и автоматизация технологических процессов, учета сырья и произведенной продукции</t>
  </si>
  <si>
    <t>Холодильный склад на 1900 паллетомест</t>
  </si>
  <si>
    <t>Торговля и услуги</t>
  </si>
  <si>
    <t>Оказание услуг моечного сервиса самообслуживания для транспортных средств</t>
  </si>
  <si>
    <t>Оптовая торговля продуктами питания (кондитерские изделия, мороженое, полуфабрикаты)</t>
  </si>
  <si>
    <t>Развитие инфраструктуры</t>
  </si>
  <si>
    <t>Реализации мероприятий, направленных на развитие централизованного теплоснабжения в муниципальных образованиях г. Чебоксары и г. Новочебоксарска</t>
  </si>
  <si>
    <t>Транспортировка и хранение</t>
  </si>
  <si>
    <t>Проект реализуется в рамка комплексного инвестиционного проекта "Туристский кластер «Чувашия - сердце Волги»". В рамках реализации проекта ООО «МАЧ» претендует на получение земельного участка для проведения работ по реконструкции здания аэровокзала аэропорта города Чебоксары.</t>
  </si>
  <si>
    <t>Жилищное строительство</t>
  </si>
  <si>
    <t>2020-2035</t>
  </si>
  <si>
    <t>Жилая застройка территории, предусматривающей строительство 1562,0 тыс.кв.м. жилья</t>
  </si>
  <si>
    <t>2020-2028</t>
  </si>
  <si>
    <t>Жилая застройка территории, предусматривающей строительство 386,6 тыс.кв.м. жилья</t>
  </si>
  <si>
    <t>2020-2030</t>
  </si>
  <si>
    <t>Жилая застройка территории, предусматривающей строительство 326,2 тыс.кв.м. жилья</t>
  </si>
  <si>
    <t>2020-2027</t>
  </si>
  <si>
    <t>Жилая застройка территории, предусматривающей строительство 132,8 тыс.кв.м. жилья</t>
  </si>
  <si>
    <t>Жилая застройка территории, предусматривающей строительство 275,9 тыс.кв.м. жилья</t>
  </si>
  <si>
    <t>Жилая застройка территории, предусматривающей строительство 287,8 тыс.кв.м. жилья</t>
  </si>
  <si>
    <t>Жилая застройка территории, предусматривающей строительство 195,5 тыс.кв.м. жилья</t>
  </si>
  <si>
    <t>Жилая застройка территории, предусматривающей строительство 92,7 тыс.кв.м. жилья</t>
  </si>
  <si>
    <t>Жилая застройка территории, предусматривающей строительство 152,8 тыс.кв.м. жилья</t>
  </si>
  <si>
    <t>Жилая застройка территории, предусматривающей строительство 76,7 тыс.кв.м. жилья</t>
  </si>
  <si>
    <t>Жилая застройка территории, предусматривающей строительство 234,1 тыс.кв.м. жилья</t>
  </si>
  <si>
    <t>Информационные технологии</t>
  </si>
  <si>
    <t>Создание центра кибербезопасности в энергетике и промышленности с покрытием всей территории Российской Федерации, предусматривается оказание полного спектра услуг по разработке и внедрению комплексов ИБ в энергетике и промышленности</t>
  </si>
  <si>
    <t>Развитие торговли</t>
  </si>
  <si>
    <t>Строительство торговых центров</t>
  </si>
  <si>
    <t>Развитие туризма</t>
  </si>
  <si>
    <t>Возведение ярмарочного комплекса, ориентированного на культурно-досуговый формат работы</t>
  </si>
  <si>
    <t>Строительство новых корпусов базы отдыха "Волжская деревня" в рамках комплексного инвестиционного проекта «Туристский кластер «Чувашия - сердце Волги»</t>
  </si>
  <si>
    <t>Создание берегового комплекса службы речного такси в рамках комплексного инвестиционного проекта «Туристский кластер «Чувашия - сердце Волги»</t>
  </si>
  <si>
    <t>Создание вейк-парка на территории залива в г. Чебоксары в рамках комплексного инвестиционного проекта «Туристский кластер «Чувашия - сердце Волги»</t>
  </si>
  <si>
    <t>Строительство гостиницы эконом-класса на 90 номеров по Московскому проспекту в рамках комплексного инвестиционного проекта «Туристский кластер «Чувашия - сердце Волги»</t>
  </si>
  <si>
    <t>Модернизация и реконструкция санатория «Чувашиякурорт» в рамках комплексного инвестиционного проекта "Туристский кластер «Чувашия - сердце Волги»"</t>
  </si>
  <si>
    <t>Строительство комплекса "Дом приемов и общественного питания" в рамках комплексного инвестиционного проекта «Туристский кластер «Чувашия - сердце Волги»</t>
  </si>
  <si>
    <t>Создание комплекса обслуживания населения с панорамной площадкой на Московской набережной г. Чебоксары в рамках комплексного инвестиционного проекта «Туристский кластер «Чувашия - сердце Волги»</t>
  </si>
  <si>
    <t>Строительство новых корпусов, центра SPA и медцентра круглогодичного загородного клуба "Усадьба "Жемчужная"" в рамках комплексного инвестиционного проекта «Туристский кластер «Чувашия - сердце Волги»</t>
  </si>
  <si>
    <t>Реализация строительного проекта гостиничного комплекса «Гранд-отель «Мегаполис» на ул. Нижегородская в рамках комплексного инвестиционного проекта «Туристский кластер «Чувашия - сердце Волги»</t>
  </si>
  <si>
    <t>Реконструкция объекта культурного наследия "Каменный двухэтажный дом" 1890 года в рамках комплексного инвестиционного проекта «Туристский кластер «Чувашия - сердце Волги»</t>
  </si>
  <si>
    <t>Строительство развлекательного прибрежного комплекса "Охотничий дворик/Hunterclub" в рамках комплексного инвестиционного проекта «Туристский кластер «Чувашия - сердце Волги»</t>
  </si>
  <si>
    <t>Строительство ресторана на территории Залива г.Чебоксары в рамках комплексного инвестиционного проекта «Туристский кластер «Чувашия - сердце Волги»</t>
  </si>
  <si>
    <t>Создание мини-зоопарка в рамках комплексного инвестиционного проекта "Этническая Чувашия"</t>
  </si>
  <si>
    <t>Создание комплекса объектов обслуживания (пункты проката, ТИЦ, гостевой дом, торговый дворик, входной комплекс с залом игровых автоматов) и нестационарных объектов (оформление, ландшафтная композиция, памп-трэк, скейт-парк, планетарий, "деревня амазонок", канатный парк) в рамках комплексного инвестиционного проекта "Этническая Чувашия"</t>
  </si>
  <si>
    <t>Строительство спортивно-гостиничного комплекса в районе 30-ой автодороги г. Чебоксары в рамках комплексного инвестиционного проекта «Туристский кластер «Чувашия - сердце Волги»</t>
  </si>
  <si>
    <t>Создание спортивного комплекса по игре в большой теннис "Олимп" в рамках комплексного инвестиционного проекта «Туристский кластер «Чувашия - сердце Волги»</t>
  </si>
  <si>
    <t>Строительство апарт-отеля на 120 гостиничных номеров в рамках комплексного инвестиционного проекта "Этническая Чувашия"</t>
  </si>
  <si>
    <t>Строительство базы ездового спорта и спортивного туризма с гостиничным комплексом на 150 мест в рамках комплексного инвестиционного проекта «Туристский кластер «Чувашия - сердце Волги»</t>
  </si>
  <si>
    <t>Строительство гостиничного комплекса аквапарка в рамках комплексного инвестиционного проекта "Этническая Чувашия"</t>
  </si>
  <si>
    <t>Строительство Дома приёма делегаций в рамках комплексного инвестиционного проекта "Этническая Чувашия"</t>
  </si>
  <si>
    <t>Создание яхт-клуба на Московской набережной г.Чебоксары в рамках комплексного инвестиционного проекта «Туристский кластер «Чувашия - сердце Волги»</t>
  </si>
  <si>
    <t/>
  </si>
  <si>
    <t>Федеральный бюджет</t>
  </si>
  <si>
    <t>Консолидированный бюджет</t>
  </si>
  <si>
    <t>Внебюджетные источники</t>
  </si>
  <si>
    <t>Направление, проект, источник финансирования</t>
  </si>
  <si>
    <t>Направление</t>
  </si>
  <si>
    <t>Общая сумма, млн. руб.</t>
  </si>
  <si>
    <t>ВСЕГО</t>
  </si>
  <si>
    <t>4,0 км</t>
  </si>
  <si>
    <t>0,34 км</t>
  </si>
  <si>
    <t>2.2 км</t>
  </si>
  <si>
    <t>2,0 км</t>
  </si>
  <si>
    <t>2,9 км</t>
  </si>
  <si>
    <t>8,0 п.м</t>
  </si>
  <si>
    <t>11,0 п.м</t>
  </si>
  <si>
    <t>Реконструкция, капитальный ремонт футбольного поля МБУ "СШ "Энергия"</t>
  </si>
  <si>
    <t>Строительство спортивных площадок открытого типа (СОШ № 37,  СОШ № 40,  Гиназия № 46,  Гиназия № 4,  СОШ № 55, СОШ № 19-СОШ № 36)</t>
  </si>
  <si>
    <t xml:space="preserve">Строительство многофункционального центра культуры и досуга в новом микрорайоне «Альгешево» </t>
  </si>
  <si>
    <t xml:space="preserve">ПСД имеется на 310,23 млн. руб. </t>
  </si>
  <si>
    <t xml:space="preserve">Строительство детского образовательного центра в Городском детском парке им. А.Г. Николаева.
</t>
  </si>
  <si>
    <t>Капитальный рмонт 18  филиалов библиотечной сети по созданию модельных библиотек г.Чебоксары</t>
  </si>
  <si>
    <t xml:space="preserve">Строительство многофункционального центра культуры и досуга в новом микрорайоне «Альгешево» 
</t>
  </si>
  <si>
    <t>Справочная информация</t>
  </si>
  <si>
    <t>Отрасль здравоохранения на территории города Чебоксары</t>
  </si>
  <si>
    <t>Объем финансирования*, млн. руб.</t>
  </si>
  <si>
    <t>*) не входит в общий бюджет Программы</t>
  </si>
  <si>
    <t>Прогнозные объемы финансирования*, млн. рублей</t>
  </si>
  <si>
    <r>
      <t>1.Модульная лыжная база - не менее 300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от 750м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                   2.Центр туризма   (модульное здание не менее 230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-575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             3.Открытые плоскостные сооружения:
3.1. Лыжный стадион (стартовая поляна 200*6м асфальтовая 1200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трибуны для зрителей от 50 мест).   
3.2. Сцена 6х12-от 72м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3.3.Лыжероллерная освещенная трасса 1500*3 м- от 4500м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                               3.4. Футбольное поле (с натуральным покрытием) 30 х60 м -от 1800м .                        3.5.Беговая дорожка 200*2м (резиновое покрытие) -от 400м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                                               3.6. Площадка ОФП 15*10м -150м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                              3.7. Универсальная спортивная площадка (полиуретановое покрытие на резиновой крошке) 20*40м 800м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3.8.Стационарная туристическая трасса  20*80м- 1600м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              3.9.Велодорожка 600 х2 м - 1200м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3.10. Автостоянка (асфальтированная) 15х10 м -150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. </t>
    </r>
  </si>
  <si>
    <t>Общие сведения о проектах социального и инфраструктурного развития городского округа Чебоксары на 2020-2025 годы</t>
  </si>
  <si>
    <t>Объемы и источники финансирования проектов социального и инфраструктурного развития городского округа Чебоксары на 2020-2025 годы</t>
  </si>
  <si>
    <t>Общая характеристика коммерческих инвестиционных проектов в городском округе Чебоксары на 2020-2025 годы</t>
  </si>
  <si>
    <t>Объемы и источники финансирования коммерческих инвестиционных проектов в городском округе Чебоксары на 2020-2025 годы</t>
  </si>
  <si>
    <t>Региональный проект "Оздоровление Волги" национального проекта "Экология"</t>
  </si>
  <si>
    <t xml:space="preserve">Приложение № 1
к Комплексной программе социально-культурного и экономического развития городского округа Чебоксары на 2020-2025 годы
</t>
  </si>
  <si>
    <t xml:space="preserve">Приложение № 2
к Комплексной программе социально-культурного и экономического развития городского округа Чебоксары на 2020-2025 годы
</t>
  </si>
  <si>
    <t xml:space="preserve">
Приложение № 4
к Комплексной программе социально-культурного и экономического развития городского округа Чебоксары на 2020-2025 годы
</t>
  </si>
  <si>
    <t xml:space="preserve">Приложение № 3
к Комплексной программе социально-культурного и экономического развития городского округа Чебоксары на 2020-2025 годы
</t>
  </si>
  <si>
    <t xml:space="preserve">Для организации возможности размещения серверного и телекоммуникационного оборудования, обеспечивающего накопление, хранение и работу с не менее чем 30-дневным архивом от каждой Камеры, а так же размещение аппаратно-программных комплексов видеоидентификация и видеоаналитики необходимо строительство центра обработки данных, отвечающего всем предъявляемым к таким объектам требованиям.
Основные затраты.
1.Адаптация помещения ЦОД–1,5- 3 млн.руб.
2.Система энергоснабжения 5-10 млн.руб.
3.Система климатического контроля 2,5–3 млн.руб.
4.Система пожаротушения-1,5  млн.руб.
5.Система мониторинга–0,5 млн. руб.
6.Сетевая инфраструктура–0,5 млн.руб.
7.Серверное оборудование71,5 – 82 млн. руб
</t>
  </si>
  <si>
    <r>
      <t xml:space="preserve">Капитальный ремонт </t>
    </r>
    <r>
      <rPr>
        <sz val="12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 xml:space="preserve"> филиалов библиотечной сети по созданию модельных библиотек г.Чебоксары</t>
    </r>
  </si>
  <si>
    <r>
      <t xml:space="preserve">Строительство набережной пассажирских причалов на левобережных остановочных пунктах Сосновка и Пляж г. Чебоксары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Проектирование и строительство набережной р. Волга с причальной стенкой и с благоустройством прилегающей территории в пос. Сосновка г. Чебоксары Чувашской Республики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</si>
</sst>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General"/>
    <numFmt numFmtId="168" formatCode="_-* #,###.00;\-* #,###.00;_-* &quot;-&quot;;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8" applyNumberFormat="0" applyAlignment="0" applyProtection="0"/>
    <xf numFmtId="0" fontId="5" fillId="7" borderId="8" applyNumberFormat="0" applyAlignment="0" applyProtection="0"/>
    <xf numFmtId="0" fontId="5" fillId="7" borderId="8" applyNumberFormat="0" applyAlignment="0" applyProtection="0"/>
    <xf numFmtId="0" fontId="6" fillId="20" borderId="9" applyNumberFormat="0" applyAlignment="0" applyProtection="0"/>
    <xf numFmtId="0" fontId="6" fillId="20" borderId="9" applyNumberFormat="0" applyAlignment="0" applyProtection="0"/>
    <xf numFmtId="0" fontId="6" fillId="20" borderId="9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164" fontId="2" fillId="0" borderId="0" applyFon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15" applyNumberFormat="0" applyFont="0" applyAlignment="0" applyProtection="0"/>
    <xf numFmtId="0" fontId="3" fillId="23" borderId="15" applyNumberFormat="0" applyFont="0" applyAlignment="0" applyProtection="0"/>
    <xf numFmtId="0" fontId="3" fillId="23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67" fontId="21" fillId="0" borderId="0"/>
    <xf numFmtId="0" fontId="22" fillId="24" borderId="0" applyNumberFormat="0" applyBorder="0" applyAlignment="0" applyProtection="0"/>
  </cellStyleXfs>
  <cellXfs count="186">
    <xf numFmtId="0" fontId="0" fillId="0" borderId="0" xfId="0"/>
    <xf numFmtId="2" fontId="23" fillId="0" borderId="1" xfId="0" applyNumberFormat="1" applyFont="1" applyFill="1" applyBorder="1" applyAlignment="1">
      <alignment horizontal="right" vertical="top" wrapText="1"/>
    </xf>
    <xf numFmtId="2" fontId="24" fillId="0" borderId="1" xfId="0" applyNumberFormat="1" applyFont="1" applyFill="1" applyBorder="1" applyAlignment="1">
      <alignment horizontal="right" vertical="top"/>
    </xf>
    <xf numFmtId="2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/>
    <xf numFmtId="0" fontId="25" fillId="0" borderId="0" xfId="0" applyFont="1"/>
    <xf numFmtId="0" fontId="25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/>
    </xf>
    <xf numFmtId="2" fontId="23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/>
    <xf numFmtId="0" fontId="28" fillId="0" borderId="0" xfId="0" applyFont="1"/>
    <xf numFmtId="2" fontId="23" fillId="0" borderId="1" xfId="184" applyNumberFormat="1" applyFont="1" applyFill="1" applyBorder="1" applyAlignment="1">
      <alignment horizontal="center" vertical="center" wrapText="1"/>
    </xf>
    <xf numFmtId="2" fontId="23" fillId="0" borderId="1" xfId="184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0" fontId="25" fillId="0" borderId="0" xfId="0" applyFont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textRotation="90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top" textRotation="90"/>
    </xf>
    <xf numFmtId="0" fontId="25" fillId="0" borderId="24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left" vertical="top" wrapText="1" indent="1"/>
    </xf>
    <xf numFmtId="168" fontId="25" fillId="0" borderId="22" xfId="0" applyNumberFormat="1" applyFont="1" applyBorder="1" applyAlignment="1">
      <alignment vertical="top" wrapText="1"/>
    </xf>
    <xf numFmtId="168" fontId="25" fillId="0" borderId="23" xfId="0" applyNumberFormat="1" applyFont="1" applyBorder="1" applyAlignment="1">
      <alignment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 indent="2"/>
    </xf>
    <xf numFmtId="168" fontId="25" fillId="0" borderId="0" xfId="0" applyNumberFormat="1" applyFont="1" applyBorder="1" applyAlignment="1">
      <alignment vertical="top" wrapText="1"/>
    </xf>
    <xf numFmtId="168" fontId="25" fillId="0" borderId="24" xfId="0" applyNumberFormat="1" applyFont="1" applyBorder="1" applyAlignment="1">
      <alignment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 wrapText="1" indent="2"/>
    </xf>
    <xf numFmtId="168" fontId="25" fillId="0" borderId="25" xfId="0" applyNumberFormat="1" applyFont="1" applyBorder="1" applyAlignment="1">
      <alignment vertical="top" wrapText="1"/>
    </xf>
    <xf numFmtId="168" fontId="25" fillId="0" borderId="26" xfId="0" applyNumberFormat="1" applyFont="1" applyBorder="1" applyAlignment="1">
      <alignment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left" vertical="top" wrapText="1"/>
    </xf>
    <xf numFmtId="168" fontId="26" fillId="0" borderId="22" xfId="0" applyNumberFormat="1" applyFont="1" applyBorder="1" applyAlignment="1">
      <alignment vertical="top" wrapText="1"/>
    </xf>
    <xf numFmtId="168" fontId="26" fillId="0" borderId="23" xfId="0" applyNumberFormat="1" applyFont="1" applyBorder="1" applyAlignment="1">
      <alignment vertical="top" wrapText="1"/>
    </xf>
    <xf numFmtId="0" fontId="26" fillId="0" borderId="25" xfId="0" applyFont="1" applyBorder="1" applyAlignment="1">
      <alignment horizontal="left" vertical="top" wrapText="1"/>
    </xf>
    <xf numFmtId="168" fontId="26" fillId="0" borderId="25" xfId="0" applyNumberFormat="1" applyFont="1" applyBorder="1" applyAlignment="1">
      <alignment vertical="top" wrapText="1"/>
    </xf>
    <xf numFmtId="168" fontId="26" fillId="0" borderId="26" xfId="0" applyNumberFormat="1" applyFont="1" applyBorder="1" applyAlignment="1">
      <alignment vertical="top" wrapText="1"/>
    </xf>
    <xf numFmtId="0" fontId="26" fillId="0" borderId="22" xfId="0" applyFont="1" applyBorder="1" applyAlignment="1">
      <alignment horizontal="left" vertical="top" wrapText="1" indent="1"/>
    </xf>
    <xf numFmtId="0" fontId="26" fillId="0" borderId="2" xfId="0" applyFont="1" applyBorder="1" applyAlignment="1">
      <alignment horizontal="left" vertical="top" wrapText="1"/>
    </xf>
    <xf numFmtId="168" fontId="26" fillId="0" borderId="3" xfId="0" applyNumberFormat="1" applyFont="1" applyBorder="1" applyAlignment="1">
      <alignment vertical="top" wrapText="1"/>
    </xf>
    <xf numFmtId="168" fontId="26" fillId="0" borderId="4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vertical="top" wrapText="1"/>
    </xf>
    <xf numFmtId="168" fontId="26" fillId="0" borderId="24" xfId="0" applyNumberFormat="1" applyFont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5" fillId="0" borderId="0" xfId="0" applyNumberFormat="1" applyFont="1"/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2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30" fillId="0" borderId="0" xfId="0" applyFont="1"/>
    <xf numFmtId="0" fontId="25" fillId="0" borderId="5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Fill="1" applyAlignment="1">
      <alignment horizontal="centerContinuous" vertical="top"/>
    </xf>
    <xf numFmtId="0" fontId="25" fillId="0" borderId="0" xfId="0" applyNumberFormat="1" applyFont="1" applyFill="1" applyAlignment="1">
      <alignment horizontal="centerContinuous" vertical="top"/>
    </xf>
    <xf numFmtId="2" fontId="25" fillId="0" borderId="5" xfId="0" applyNumberFormat="1" applyFont="1" applyFill="1" applyBorder="1" applyAlignment="1">
      <alignment horizontal="center" vertical="top" wrapText="1"/>
    </xf>
    <xf numFmtId="2" fontId="25" fillId="0" borderId="7" xfId="0" applyNumberFormat="1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2" fontId="26" fillId="0" borderId="5" xfId="0" applyNumberFormat="1" applyFont="1" applyFill="1" applyBorder="1" applyAlignment="1">
      <alignment horizontal="center" vertical="top" wrapText="1"/>
    </xf>
    <xf numFmtId="166" fontId="25" fillId="0" borderId="0" xfId="0" applyNumberFormat="1" applyFont="1" applyAlignment="1">
      <alignment vertical="top"/>
    </xf>
    <xf numFmtId="0" fontId="28" fillId="0" borderId="17" xfId="0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vertical="top"/>
    </xf>
    <xf numFmtId="0" fontId="28" fillId="0" borderId="18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3" fontId="25" fillId="0" borderId="7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2" fontId="23" fillId="0" borderId="5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5" xfId="0" applyNumberFormat="1" applyFont="1" applyFill="1" applyBorder="1" applyAlignment="1">
      <alignment horizontal="center" vertical="top" wrapText="1"/>
    </xf>
    <xf numFmtId="3" fontId="23" fillId="0" borderId="1" xfId="0" applyNumberFormat="1" applyFont="1" applyFill="1" applyBorder="1" applyAlignment="1">
      <alignment horizontal="center" vertical="top" wrapText="1"/>
    </xf>
    <xf numFmtId="2" fontId="28" fillId="0" borderId="20" xfId="0" applyNumberFormat="1" applyFont="1" applyFill="1" applyBorder="1" applyAlignment="1">
      <alignment horizontal="center" vertical="top" wrapText="1"/>
    </xf>
    <xf numFmtId="3" fontId="23" fillId="0" borderId="5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/>
    </xf>
    <xf numFmtId="0" fontId="25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horizontal="left" vertical="top"/>
    </xf>
    <xf numFmtId="0" fontId="28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3" fontId="25" fillId="0" borderId="7" xfId="0" applyNumberFormat="1" applyFont="1" applyFill="1" applyBorder="1" applyAlignment="1">
      <alignment horizontal="center" vertical="top" wrapText="1"/>
    </xf>
    <xf numFmtId="3" fontId="23" fillId="0" borderId="1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2" fontId="25" fillId="0" borderId="5" xfId="0" applyNumberFormat="1" applyFont="1" applyFill="1" applyBorder="1" applyAlignment="1">
      <alignment horizontal="center" vertical="top" wrapText="1"/>
    </xf>
    <xf numFmtId="3" fontId="25" fillId="0" borderId="5" xfId="0" applyNumberFormat="1" applyFont="1" applyFill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2" fontId="28" fillId="0" borderId="1" xfId="0" applyNumberFormat="1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3" fontId="23" fillId="0" borderId="7" xfId="0" applyNumberFormat="1" applyFont="1" applyFill="1" applyBorder="1" applyAlignment="1">
      <alignment horizontal="center" vertical="top" wrapText="1"/>
    </xf>
    <xf numFmtId="2" fontId="26" fillId="0" borderId="1" xfId="0" applyNumberFormat="1" applyFont="1" applyFill="1" applyBorder="1" applyAlignment="1">
      <alignment horizontal="center" vertical="top" wrapText="1"/>
    </xf>
    <xf numFmtId="2" fontId="28" fillId="0" borderId="30" xfId="0" applyNumberFormat="1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8" fillId="25" borderId="17" xfId="0" applyFont="1" applyFill="1" applyBorder="1" applyAlignment="1">
      <alignment horizontal="center" vertical="top" wrapText="1"/>
    </xf>
    <xf numFmtId="0" fontId="25" fillId="25" borderId="5" xfId="0" applyFont="1" applyFill="1" applyBorder="1" applyAlignment="1">
      <alignment horizontal="center" vertical="top" wrapText="1"/>
    </xf>
    <xf numFmtId="0" fontId="25" fillId="25" borderId="1" xfId="0" applyFont="1" applyFill="1" applyBorder="1" applyAlignment="1">
      <alignment horizontal="center" vertical="top" wrapText="1"/>
    </xf>
    <xf numFmtId="0" fontId="25" fillId="25" borderId="7" xfId="0" applyFont="1" applyFill="1" applyBorder="1" applyAlignment="1">
      <alignment horizontal="center" vertical="top" wrapText="1"/>
    </xf>
    <xf numFmtId="0" fontId="23" fillId="25" borderId="17" xfId="0" applyFont="1" applyFill="1" applyBorder="1" applyAlignment="1">
      <alignment horizontal="center" vertical="top" wrapText="1"/>
    </xf>
    <xf numFmtId="0" fontId="28" fillId="25" borderId="1" xfId="0" applyFont="1" applyFill="1" applyBorder="1" applyAlignment="1">
      <alignment horizontal="center" vertical="top" wrapText="1"/>
    </xf>
    <xf numFmtId="2" fontId="28" fillId="25" borderId="1" xfId="0" applyNumberFormat="1" applyFont="1" applyFill="1" applyBorder="1" applyAlignment="1">
      <alignment horizontal="center" vertical="top" wrapText="1"/>
    </xf>
    <xf numFmtId="0" fontId="28" fillId="25" borderId="18" xfId="0" applyFont="1" applyFill="1" applyBorder="1" applyAlignment="1">
      <alignment horizontal="center" vertical="top" wrapText="1"/>
    </xf>
    <xf numFmtId="2" fontId="28" fillId="25" borderId="17" xfId="0" applyNumberFormat="1" applyFont="1" applyFill="1" applyBorder="1" applyAlignment="1">
      <alignment horizontal="center" vertical="top" wrapText="1"/>
    </xf>
    <xf numFmtId="2" fontId="25" fillId="25" borderId="1" xfId="0" applyNumberFormat="1" applyFont="1" applyFill="1" applyBorder="1" applyAlignment="1">
      <alignment horizontal="center" vertical="top" wrapText="1"/>
    </xf>
    <xf numFmtId="0" fontId="23" fillId="26" borderId="1" xfId="0" applyFont="1" applyFill="1" applyBorder="1" applyAlignment="1">
      <alignment horizontal="center" vertical="top" wrapText="1"/>
    </xf>
    <xf numFmtId="0" fontId="25" fillId="26" borderId="1" xfId="0" applyFont="1" applyFill="1" applyBorder="1" applyAlignment="1">
      <alignment horizontal="center" vertical="top" wrapText="1"/>
    </xf>
    <xf numFmtId="0" fontId="23" fillId="25" borderId="1" xfId="0" applyFont="1" applyFill="1" applyBorder="1" applyAlignment="1">
      <alignment horizontal="center" vertical="top" wrapText="1"/>
    </xf>
    <xf numFmtId="2" fontId="23" fillId="26" borderId="1" xfId="0" applyNumberFormat="1" applyFont="1" applyFill="1" applyBorder="1" applyAlignment="1">
      <alignment horizontal="center" vertical="top" wrapText="1"/>
    </xf>
    <xf numFmtId="0" fontId="25" fillId="26" borderId="5" xfId="0" applyFont="1" applyFill="1" applyBorder="1" applyAlignment="1">
      <alignment horizontal="center" vertical="top" wrapText="1"/>
    </xf>
    <xf numFmtId="2" fontId="25" fillId="26" borderId="5" xfId="0" applyNumberFormat="1" applyFont="1" applyFill="1" applyBorder="1" applyAlignment="1">
      <alignment horizontal="center" vertical="top" wrapText="1"/>
    </xf>
    <xf numFmtId="2" fontId="25" fillId="26" borderId="1" xfId="0" applyNumberFormat="1" applyFont="1" applyFill="1" applyBorder="1" applyAlignment="1">
      <alignment horizontal="center" vertical="top" wrapText="1"/>
    </xf>
    <xf numFmtId="0" fontId="28" fillId="25" borderId="19" xfId="0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horizontal="left" vertical="top" wrapText="1"/>
    </xf>
    <xf numFmtId="0" fontId="26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28" fillId="0" borderId="1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/>
    </xf>
    <xf numFmtId="0" fontId="26" fillId="0" borderId="3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8" fillId="25" borderId="1" xfId="0" applyFont="1" applyFill="1" applyBorder="1" applyAlignment="1">
      <alignment horizontal="center" vertical="top" wrapText="1"/>
    </xf>
    <xf numFmtId="2" fontId="28" fillId="0" borderId="1" xfId="0" applyNumberFormat="1" applyFont="1" applyFill="1" applyBorder="1" applyAlignment="1">
      <alignment horizontal="center" vertical="top" wrapText="1"/>
    </xf>
    <xf numFmtId="3" fontId="25" fillId="0" borderId="1" xfId="0" applyNumberFormat="1" applyFont="1" applyFill="1" applyBorder="1" applyAlignment="1">
      <alignment horizontal="center" vertical="top" wrapText="1"/>
    </xf>
    <xf numFmtId="0" fontId="25" fillId="25" borderId="5" xfId="0" applyFont="1" applyFill="1" applyBorder="1" applyAlignment="1">
      <alignment horizontal="center" vertical="top" wrapText="1"/>
    </xf>
    <xf numFmtId="0" fontId="25" fillId="25" borderId="7" xfId="0" applyFont="1" applyFill="1" applyBorder="1" applyAlignment="1">
      <alignment horizontal="center" vertical="top" wrapText="1"/>
    </xf>
    <xf numFmtId="0" fontId="25" fillId="25" borderId="6" xfId="0" applyFont="1" applyFill="1" applyBorder="1" applyAlignment="1">
      <alignment horizontal="center" vertical="top" wrapText="1"/>
    </xf>
    <xf numFmtId="2" fontId="25" fillId="0" borderId="5" xfId="0" applyNumberFormat="1" applyFont="1" applyFill="1" applyBorder="1" applyAlignment="1">
      <alignment horizontal="center" vertical="top" wrapText="1"/>
    </xf>
    <xf numFmtId="2" fontId="25" fillId="0" borderId="7" xfId="0" applyNumberFormat="1" applyFont="1" applyFill="1" applyBorder="1" applyAlignment="1">
      <alignment horizontal="center" vertical="top" wrapText="1"/>
    </xf>
    <xf numFmtId="2" fontId="25" fillId="0" borderId="6" xfId="0" applyNumberFormat="1" applyFont="1" applyFill="1" applyBorder="1" applyAlignment="1">
      <alignment horizontal="center" vertical="top" wrapText="1"/>
    </xf>
    <xf numFmtId="3" fontId="23" fillId="0" borderId="1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/>
    <xf numFmtId="0" fontId="25" fillId="0" borderId="0" xfId="0" applyFont="1" applyAlignment="1">
      <alignment horizontal="left" wrapText="1"/>
    </xf>
    <xf numFmtId="0" fontId="25" fillId="27" borderId="1" xfId="0" applyFont="1" applyFill="1" applyBorder="1" applyAlignment="1">
      <alignment horizontal="center" vertical="top" wrapText="1"/>
    </xf>
  </cellXfs>
  <cellStyles count="185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cel Built-in Normal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" xfId="184" builtinId="27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222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showZeros="0" tabSelected="1" showWhiteSpace="0" view="pageLayout" topLeftCell="B92" zoomScale="75" zoomScaleNormal="85" zoomScalePageLayoutView="75" workbookViewId="0">
      <selection activeCell="D94" sqref="D94"/>
    </sheetView>
  </sheetViews>
  <sheetFormatPr defaultRowHeight="15.75" x14ac:dyDescent="0.25"/>
  <cols>
    <col min="1" max="1" width="0" style="82" hidden="1" customWidth="1"/>
    <col min="2" max="2" width="47.7109375" style="81" customWidth="1"/>
    <col min="3" max="3" width="32.42578125" style="81" customWidth="1"/>
    <col min="4" max="4" width="24.85546875" style="81" customWidth="1"/>
    <col min="5" max="5" width="12.5703125" style="81" customWidth="1"/>
    <col min="6" max="6" width="17.5703125" style="81" customWidth="1"/>
    <col min="7" max="7" width="35.85546875" style="81" customWidth="1"/>
    <col min="8" max="8" width="38" style="81" customWidth="1"/>
    <col min="9" max="9" width="18.5703125" style="81" customWidth="1"/>
    <col min="10" max="10" width="20.28515625" style="112" customWidth="1"/>
    <col min="11" max="11" width="12.5703125" style="82" bestFit="1" customWidth="1"/>
    <col min="12" max="12" width="9.85546875" style="82" bestFit="1" customWidth="1"/>
    <col min="13" max="16384" width="9.140625" style="82"/>
  </cols>
  <sheetData>
    <row r="1" spans="2:11" x14ac:dyDescent="0.25">
      <c r="H1" s="151" t="s">
        <v>690</v>
      </c>
      <c r="I1" s="151"/>
      <c r="J1" s="151"/>
    </row>
    <row r="2" spans="2:11" x14ac:dyDescent="0.25">
      <c r="H2" s="151"/>
      <c r="I2" s="151"/>
      <c r="J2" s="151"/>
    </row>
    <row r="3" spans="2:11" x14ac:dyDescent="0.25">
      <c r="B3" s="152" t="s">
        <v>685</v>
      </c>
      <c r="C3" s="153"/>
      <c r="D3" s="153"/>
      <c r="E3" s="153"/>
      <c r="F3" s="153"/>
      <c r="G3" s="153"/>
      <c r="H3" s="153"/>
      <c r="I3" s="83"/>
      <c r="J3" s="84"/>
    </row>
    <row r="5" spans="2:11" ht="78.75" x14ac:dyDescent="0.25">
      <c r="B5" s="116" t="s">
        <v>0</v>
      </c>
      <c r="C5" s="116" t="s">
        <v>5</v>
      </c>
      <c r="D5" s="116" t="s">
        <v>4</v>
      </c>
      <c r="E5" s="116" t="s">
        <v>1</v>
      </c>
      <c r="F5" s="116" t="s">
        <v>2</v>
      </c>
      <c r="G5" s="116" t="s">
        <v>279</v>
      </c>
      <c r="H5" s="116" t="s">
        <v>288</v>
      </c>
      <c r="I5" s="116" t="s">
        <v>3</v>
      </c>
      <c r="J5" s="116" t="s">
        <v>6</v>
      </c>
    </row>
    <row r="6" spans="2:11" x14ac:dyDescent="0.25">
      <c r="B6" s="158" t="s">
        <v>120</v>
      </c>
      <c r="C6" s="158"/>
      <c r="D6" s="158"/>
      <c r="E6" s="158"/>
      <c r="F6" s="158"/>
      <c r="G6" s="158"/>
      <c r="H6" s="158"/>
      <c r="I6" s="158"/>
      <c r="J6" s="158"/>
    </row>
    <row r="7" spans="2:11" x14ac:dyDescent="0.25">
      <c r="B7" s="79" t="s">
        <v>122</v>
      </c>
      <c r="C7" s="79"/>
      <c r="D7" s="85">
        <f>'Приложение 2'!C7</f>
        <v>500</v>
      </c>
      <c r="E7" s="79" t="s">
        <v>88</v>
      </c>
      <c r="F7" s="79"/>
      <c r="G7" s="79"/>
      <c r="H7" s="79"/>
      <c r="I7" s="79" t="s">
        <v>123</v>
      </c>
      <c r="J7" s="106">
        <v>900000</v>
      </c>
    </row>
    <row r="8" spans="2:11" ht="30.75" customHeight="1" x14ac:dyDescent="0.25">
      <c r="B8" s="79" t="s">
        <v>124</v>
      </c>
      <c r="C8" s="79"/>
      <c r="D8" s="85">
        <f>'Приложение 2'!C12</f>
        <v>412</v>
      </c>
      <c r="E8" s="79" t="s">
        <v>45</v>
      </c>
      <c r="F8" s="79"/>
      <c r="G8" s="79"/>
      <c r="H8" s="79"/>
      <c r="I8" s="79" t="s">
        <v>121</v>
      </c>
      <c r="J8" s="106"/>
    </row>
    <row r="9" spans="2:11" ht="39" customHeight="1" x14ac:dyDescent="0.25">
      <c r="B9" s="79" t="s">
        <v>125</v>
      </c>
      <c r="C9" s="79"/>
      <c r="D9" s="85">
        <f>'Приложение 2'!C17</f>
        <v>432</v>
      </c>
      <c r="E9" s="79" t="s">
        <v>45</v>
      </c>
      <c r="F9" s="79"/>
      <c r="G9" s="79"/>
      <c r="H9" s="79"/>
      <c r="I9" s="79" t="s">
        <v>121</v>
      </c>
      <c r="J9" s="106"/>
    </row>
    <row r="10" spans="2:11" ht="31.5" x14ac:dyDescent="0.25">
      <c r="B10" s="79" t="s">
        <v>126</v>
      </c>
      <c r="C10" s="79"/>
      <c r="D10" s="85">
        <f>'Приложение 2'!C22</f>
        <v>247</v>
      </c>
      <c r="E10" s="79" t="s">
        <v>45</v>
      </c>
      <c r="F10" s="79"/>
      <c r="G10" s="79"/>
      <c r="H10" s="79"/>
      <c r="I10" s="79" t="s">
        <v>121</v>
      </c>
      <c r="J10" s="106">
        <v>520000</v>
      </c>
    </row>
    <row r="11" spans="2:11" ht="31.5" x14ac:dyDescent="0.25">
      <c r="B11" s="79" t="s">
        <v>97</v>
      </c>
      <c r="C11" s="79"/>
      <c r="D11" s="85">
        <f>'Приложение 2'!C27</f>
        <v>1522.5</v>
      </c>
      <c r="E11" s="79" t="s">
        <v>25</v>
      </c>
      <c r="F11" s="79">
        <v>500</v>
      </c>
      <c r="G11" s="79"/>
      <c r="H11" s="79"/>
      <c r="I11" s="79" t="s">
        <v>121</v>
      </c>
      <c r="J11" s="106">
        <v>200000</v>
      </c>
    </row>
    <row r="12" spans="2:11" ht="31.5" x14ac:dyDescent="0.25">
      <c r="B12" s="79" t="s">
        <v>152</v>
      </c>
      <c r="C12" s="79"/>
      <c r="D12" s="85">
        <f>'Приложение 2'!C32</f>
        <v>745</v>
      </c>
      <c r="E12" s="79" t="s">
        <v>87</v>
      </c>
      <c r="F12" s="79"/>
      <c r="G12" s="79"/>
      <c r="H12" s="79"/>
      <c r="I12" s="79" t="s">
        <v>121</v>
      </c>
      <c r="J12" s="106">
        <v>895000</v>
      </c>
    </row>
    <row r="13" spans="2:11" x14ac:dyDescent="0.25">
      <c r="B13" s="87" t="s">
        <v>119</v>
      </c>
      <c r="C13" s="87" t="s">
        <v>296</v>
      </c>
      <c r="D13" s="88">
        <f>SUM(D7:D12)</f>
        <v>3858.5</v>
      </c>
      <c r="E13" s="87" t="s">
        <v>296</v>
      </c>
      <c r="F13" s="87" t="s">
        <v>296</v>
      </c>
      <c r="G13" s="87" t="s">
        <v>296</v>
      </c>
      <c r="H13" s="87" t="s">
        <v>296</v>
      </c>
      <c r="I13" s="87" t="s">
        <v>296</v>
      </c>
      <c r="J13" s="87" t="s">
        <v>296</v>
      </c>
      <c r="K13" s="89"/>
    </row>
    <row r="14" spans="2:11" x14ac:dyDescent="0.25">
      <c r="B14" s="158" t="s">
        <v>7</v>
      </c>
      <c r="C14" s="158"/>
      <c r="D14" s="158"/>
      <c r="E14" s="158"/>
      <c r="F14" s="158"/>
      <c r="G14" s="158"/>
      <c r="H14" s="158"/>
      <c r="I14" s="158"/>
      <c r="J14" s="158"/>
    </row>
    <row r="15" spans="2:11" s="92" customFormat="1" ht="78.75" x14ac:dyDescent="0.25">
      <c r="B15" s="90" t="s">
        <v>284</v>
      </c>
      <c r="C15" s="90" t="s">
        <v>285</v>
      </c>
      <c r="D15" s="91">
        <f>'Приложение 2'!C43</f>
        <v>2236.1999999999998</v>
      </c>
      <c r="E15" s="90" t="s">
        <v>286</v>
      </c>
      <c r="F15" s="90"/>
      <c r="G15" s="90"/>
      <c r="H15" s="90"/>
      <c r="I15" s="90" t="s">
        <v>287</v>
      </c>
      <c r="J15" s="106"/>
    </row>
    <row r="16" spans="2:11" s="92" customFormat="1" ht="63" x14ac:dyDescent="0.25">
      <c r="B16" s="133" t="s">
        <v>61</v>
      </c>
      <c r="C16" s="90"/>
      <c r="D16" s="141">
        <f>'Приложение 2'!C48</f>
        <v>8000</v>
      </c>
      <c r="E16" s="90" t="s">
        <v>164</v>
      </c>
      <c r="F16" s="95" t="s">
        <v>62</v>
      </c>
      <c r="G16" s="95" t="s">
        <v>367</v>
      </c>
      <c r="H16" s="95" t="s">
        <v>371</v>
      </c>
      <c r="I16" s="90" t="s">
        <v>13</v>
      </c>
      <c r="J16" s="106">
        <v>500000</v>
      </c>
    </row>
    <row r="17" spans="1:10" s="92" customFormat="1" ht="47.25" x14ac:dyDescent="0.25">
      <c r="B17" s="134" t="s">
        <v>40</v>
      </c>
      <c r="C17" s="79"/>
      <c r="D17" s="85">
        <f>'Приложение 2'!C53</f>
        <v>1000</v>
      </c>
      <c r="E17" s="79" t="s">
        <v>102</v>
      </c>
      <c r="F17" s="95" t="s">
        <v>41</v>
      </c>
      <c r="G17" s="95" t="s">
        <v>367</v>
      </c>
      <c r="H17" s="95" t="s">
        <v>372</v>
      </c>
      <c r="I17" s="79" t="s">
        <v>42</v>
      </c>
      <c r="J17" s="106">
        <v>400000</v>
      </c>
    </row>
    <row r="18" spans="1:10" s="92" customFormat="1" ht="78.75" x14ac:dyDescent="0.25">
      <c r="B18" s="135" t="s">
        <v>43</v>
      </c>
      <c r="C18" s="116"/>
      <c r="D18" s="99">
        <f>'Приложение 2'!C58</f>
        <v>1215</v>
      </c>
      <c r="E18" s="135" t="s">
        <v>44</v>
      </c>
      <c r="F18" s="114" t="s">
        <v>367</v>
      </c>
      <c r="G18" s="114" t="s">
        <v>367</v>
      </c>
      <c r="H18" s="114" t="s">
        <v>373</v>
      </c>
      <c r="I18" s="116" t="s">
        <v>42</v>
      </c>
      <c r="J18" s="115">
        <v>100000</v>
      </c>
    </row>
    <row r="19" spans="1:10" s="92" customFormat="1" ht="47.25" x14ac:dyDescent="0.25">
      <c r="B19" s="135" t="s">
        <v>136</v>
      </c>
      <c r="C19" s="116"/>
      <c r="D19" s="99">
        <f>'Приложение 2'!C63</f>
        <v>320</v>
      </c>
      <c r="E19" s="116" t="s">
        <v>165</v>
      </c>
      <c r="F19" s="114" t="s">
        <v>46</v>
      </c>
      <c r="G19" s="114" t="s">
        <v>367</v>
      </c>
      <c r="H19" s="114" t="s">
        <v>374</v>
      </c>
      <c r="I19" s="114" t="s">
        <v>42</v>
      </c>
      <c r="J19" s="115">
        <v>100000</v>
      </c>
    </row>
    <row r="20" spans="1:10" s="92" customFormat="1" ht="31.5" x14ac:dyDescent="0.25">
      <c r="B20" s="136" t="s">
        <v>47</v>
      </c>
      <c r="C20" s="80"/>
      <c r="D20" s="86">
        <f>'Приложение 2'!C68</f>
        <v>1500</v>
      </c>
      <c r="E20" s="80" t="s">
        <v>48</v>
      </c>
      <c r="F20" s="94">
        <v>75</v>
      </c>
      <c r="G20" s="94"/>
      <c r="H20" s="94"/>
      <c r="I20" s="80" t="s">
        <v>18</v>
      </c>
      <c r="J20" s="98"/>
    </row>
    <row r="21" spans="1:10" s="92" customFormat="1" ht="84" customHeight="1" x14ac:dyDescent="0.25">
      <c r="B21" s="137" t="s">
        <v>49</v>
      </c>
      <c r="C21" s="90" t="s">
        <v>50</v>
      </c>
      <c r="D21" s="91">
        <f>'Приложение 2'!C73</f>
        <v>50</v>
      </c>
      <c r="E21" s="90">
        <v>2021</v>
      </c>
      <c r="F21" s="90" t="s">
        <v>58</v>
      </c>
      <c r="G21" s="90" t="s">
        <v>367</v>
      </c>
      <c r="H21" s="90" t="s">
        <v>375</v>
      </c>
      <c r="I21" s="90" t="s">
        <v>51</v>
      </c>
      <c r="J21" s="106">
        <v>40000</v>
      </c>
    </row>
    <row r="22" spans="1:10" s="92" customFormat="1" ht="78.75" x14ac:dyDescent="0.25">
      <c r="B22" s="138" t="s">
        <v>52</v>
      </c>
      <c r="C22" s="114" t="s">
        <v>50</v>
      </c>
      <c r="D22" s="139">
        <f>'Приложение 2'!C78</f>
        <v>1000</v>
      </c>
      <c r="E22" s="114" t="s">
        <v>48</v>
      </c>
      <c r="F22" s="114" t="s">
        <v>665</v>
      </c>
      <c r="G22" s="114" t="s">
        <v>367</v>
      </c>
      <c r="H22" s="114" t="s">
        <v>376</v>
      </c>
      <c r="I22" s="114" t="s">
        <v>13</v>
      </c>
      <c r="J22" s="115">
        <v>50000</v>
      </c>
    </row>
    <row r="23" spans="1:10" s="92" customFormat="1" ht="78.75" x14ac:dyDescent="0.25">
      <c r="B23" s="140" t="s">
        <v>54</v>
      </c>
      <c r="C23" s="93" t="s">
        <v>50</v>
      </c>
      <c r="D23" s="124">
        <f>'Приложение 2'!C83</f>
        <v>133.38999999999999</v>
      </c>
      <c r="E23" s="93">
        <v>2022</v>
      </c>
      <c r="F23" s="94" t="s">
        <v>55</v>
      </c>
      <c r="G23" s="94" t="s">
        <v>377</v>
      </c>
      <c r="H23" s="94" t="s">
        <v>378</v>
      </c>
      <c r="I23" s="93" t="s">
        <v>56</v>
      </c>
      <c r="J23" s="118">
        <v>20000</v>
      </c>
    </row>
    <row r="24" spans="1:10" s="92" customFormat="1" ht="78.75" x14ac:dyDescent="0.25">
      <c r="B24" s="137" t="s">
        <v>57</v>
      </c>
      <c r="C24" s="90" t="s">
        <v>50</v>
      </c>
      <c r="D24" s="91">
        <f>'Приложение 2'!C88</f>
        <v>29.81</v>
      </c>
      <c r="E24" s="90">
        <v>2022</v>
      </c>
      <c r="F24" s="95" t="s">
        <v>58</v>
      </c>
      <c r="G24" s="95" t="s">
        <v>379</v>
      </c>
      <c r="H24" s="95" t="s">
        <v>380</v>
      </c>
      <c r="I24" s="90" t="s">
        <v>56</v>
      </c>
      <c r="J24" s="106">
        <v>10000</v>
      </c>
    </row>
    <row r="25" spans="1:10" s="92" customFormat="1" ht="78.75" x14ac:dyDescent="0.25">
      <c r="B25" s="133" t="s">
        <v>59</v>
      </c>
      <c r="C25" s="90" t="s">
        <v>50</v>
      </c>
      <c r="D25" s="91">
        <f>'Приложение 2'!C93</f>
        <v>162.1</v>
      </c>
      <c r="E25" s="90">
        <v>2023</v>
      </c>
      <c r="F25" s="95" t="s">
        <v>55</v>
      </c>
      <c r="G25" s="95" t="s">
        <v>367</v>
      </c>
      <c r="H25" s="95" t="s">
        <v>381</v>
      </c>
      <c r="I25" s="90" t="s">
        <v>13</v>
      </c>
      <c r="J25" s="106">
        <v>30000</v>
      </c>
    </row>
    <row r="26" spans="1:10" s="92" customFormat="1" ht="81" customHeight="1" x14ac:dyDescent="0.25">
      <c r="A26" s="96" t="s">
        <v>49</v>
      </c>
      <c r="B26" s="133" t="s">
        <v>60</v>
      </c>
      <c r="C26" s="90" t="s">
        <v>50</v>
      </c>
      <c r="D26" s="91">
        <f>'Приложение 2'!C98</f>
        <v>56.25</v>
      </c>
      <c r="E26" s="90">
        <v>2022</v>
      </c>
      <c r="F26" s="95" t="s">
        <v>666</v>
      </c>
      <c r="G26" s="95" t="s">
        <v>367</v>
      </c>
      <c r="H26" s="95" t="s">
        <v>381</v>
      </c>
      <c r="I26" s="90" t="s">
        <v>13</v>
      </c>
      <c r="J26" s="106">
        <v>30000</v>
      </c>
    </row>
    <row r="27" spans="1:10" s="92" customFormat="1" ht="75.75" customHeight="1" x14ac:dyDescent="0.25">
      <c r="A27" s="97" t="s">
        <v>52</v>
      </c>
      <c r="B27" s="133" t="s">
        <v>63</v>
      </c>
      <c r="C27" s="90"/>
      <c r="D27" s="91">
        <f>'Приложение 2'!C103</f>
        <v>615.5</v>
      </c>
      <c r="E27" s="90" t="s">
        <v>165</v>
      </c>
      <c r="F27" s="95" t="s">
        <v>65</v>
      </c>
      <c r="G27" s="95" t="s">
        <v>367</v>
      </c>
      <c r="H27" s="95" t="s">
        <v>382</v>
      </c>
      <c r="I27" s="90" t="s">
        <v>42</v>
      </c>
      <c r="J27" s="106">
        <v>200000</v>
      </c>
    </row>
    <row r="28" spans="1:10" s="92" customFormat="1" ht="67.5" customHeight="1" x14ac:dyDescent="0.25">
      <c r="A28" s="97" t="s">
        <v>54</v>
      </c>
      <c r="B28" s="133" t="s">
        <v>66</v>
      </c>
      <c r="C28" s="90"/>
      <c r="D28" s="91">
        <f>'Приложение 2'!C108</f>
        <v>307.76000000000005</v>
      </c>
      <c r="E28" s="90" t="s">
        <v>165</v>
      </c>
      <c r="F28" s="95" t="s">
        <v>67</v>
      </c>
      <c r="G28" s="95" t="s">
        <v>367</v>
      </c>
      <c r="H28" s="95" t="s">
        <v>383</v>
      </c>
      <c r="I28" s="90" t="s">
        <v>42</v>
      </c>
      <c r="J28" s="106">
        <v>100000</v>
      </c>
    </row>
    <row r="29" spans="1:10" s="92" customFormat="1" ht="57" customHeight="1" x14ac:dyDescent="0.25">
      <c r="A29" s="96" t="s">
        <v>57</v>
      </c>
      <c r="B29" s="133" t="s">
        <v>68</v>
      </c>
      <c r="C29" s="90"/>
      <c r="D29" s="91">
        <f>'Приложение 2'!C113</f>
        <v>985.50000000000011</v>
      </c>
      <c r="E29" s="90" t="s">
        <v>64</v>
      </c>
      <c r="F29" s="90" t="s">
        <v>667</v>
      </c>
      <c r="G29" s="90" t="s">
        <v>367</v>
      </c>
      <c r="H29" s="90" t="s">
        <v>384</v>
      </c>
      <c r="I29" s="90" t="s">
        <v>69</v>
      </c>
      <c r="J29" s="106">
        <v>50000</v>
      </c>
    </row>
    <row r="30" spans="1:10" s="92" customFormat="1" ht="56.25" customHeight="1" x14ac:dyDescent="0.25">
      <c r="A30" s="123" t="s">
        <v>59</v>
      </c>
      <c r="B30" s="138" t="s">
        <v>70</v>
      </c>
      <c r="C30" s="114"/>
      <c r="D30" s="125">
        <f>'Приложение 2'!C118</f>
        <v>631.69999999999993</v>
      </c>
      <c r="E30" s="114" t="s">
        <v>64</v>
      </c>
      <c r="F30" s="114" t="s">
        <v>668</v>
      </c>
      <c r="G30" s="114" t="s">
        <v>367</v>
      </c>
      <c r="H30" s="114" t="s">
        <v>384</v>
      </c>
      <c r="I30" s="114" t="s">
        <v>69</v>
      </c>
      <c r="J30" s="115">
        <v>50000</v>
      </c>
    </row>
    <row r="31" spans="1:10" s="92" customFormat="1" ht="54.75" customHeight="1" x14ac:dyDescent="0.25">
      <c r="A31" s="97" t="s">
        <v>60</v>
      </c>
      <c r="B31" s="140" t="s">
        <v>71</v>
      </c>
      <c r="C31" s="93"/>
      <c r="D31" s="124">
        <f>'Приложение 2'!C123</f>
        <v>30</v>
      </c>
      <c r="E31" s="93">
        <v>2021</v>
      </c>
      <c r="F31" s="94" t="s">
        <v>72</v>
      </c>
      <c r="G31" s="94" t="s">
        <v>385</v>
      </c>
      <c r="H31" s="94" t="s">
        <v>386</v>
      </c>
      <c r="I31" s="93" t="s">
        <v>56</v>
      </c>
      <c r="J31" s="118">
        <v>10000</v>
      </c>
    </row>
    <row r="32" spans="1:10" s="92" customFormat="1" ht="100.5" customHeight="1" x14ac:dyDescent="0.25">
      <c r="A32" s="97" t="s">
        <v>61</v>
      </c>
      <c r="B32" s="133" t="s">
        <v>73</v>
      </c>
      <c r="C32" s="90" t="s">
        <v>50</v>
      </c>
      <c r="D32" s="91">
        <f>'Приложение 2'!C128</f>
        <v>326.25</v>
      </c>
      <c r="E32" s="90">
        <v>2025</v>
      </c>
      <c r="F32" s="90" t="s">
        <v>74</v>
      </c>
      <c r="G32" s="90" t="s">
        <v>387</v>
      </c>
      <c r="H32" s="90" t="s">
        <v>388</v>
      </c>
      <c r="I32" s="90" t="s">
        <v>56</v>
      </c>
      <c r="J32" s="106">
        <v>50000</v>
      </c>
    </row>
    <row r="33" spans="1:11" s="92" customFormat="1" ht="57.75" customHeight="1" x14ac:dyDescent="0.25">
      <c r="A33" s="123" t="s">
        <v>63</v>
      </c>
      <c r="B33" s="138" t="s">
        <v>75</v>
      </c>
      <c r="C33" s="114"/>
      <c r="D33" s="125">
        <f>'Приложение 2'!C133</f>
        <v>50.57</v>
      </c>
      <c r="E33" s="114">
        <v>2023</v>
      </c>
      <c r="F33" s="114" t="s">
        <v>76</v>
      </c>
      <c r="G33" s="114" t="s">
        <v>389</v>
      </c>
      <c r="H33" s="114" t="s">
        <v>390</v>
      </c>
      <c r="I33" s="114" t="s">
        <v>56</v>
      </c>
      <c r="J33" s="115">
        <v>50000</v>
      </c>
    </row>
    <row r="34" spans="1:11" s="92" customFormat="1" ht="82.5" customHeight="1" x14ac:dyDescent="0.25">
      <c r="A34" s="97" t="s">
        <v>66</v>
      </c>
      <c r="B34" s="140" t="s">
        <v>77</v>
      </c>
      <c r="C34" s="93" t="s">
        <v>50</v>
      </c>
      <c r="D34" s="124">
        <f>'Приложение 2'!C138</f>
        <v>100</v>
      </c>
      <c r="E34" s="93">
        <v>2021</v>
      </c>
      <c r="F34" s="94" t="s">
        <v>78</v>
      </c>
      <c r="G34" s="94" t="s">
        <v>367</v>
      </c>
      <c r="H34" s="94" t="s">
        <v>391</v>
      </c>
      <c r="I34" s="93" t="s">
        <v>51</v>
      </c>
      <c r="J34" s="118">
        <v>300000</v>
      </c>
    </row>
    <row r="35" spans="1:11" s="92" customFormat="1" ht="66" customHeight="1" x14ac:dyDescent="0.25">
      <c r="A35" s="97" t="s">
        <v>68</v>
      </c>
      <c r="B35" s="133" t="s">
        <v>79</v>
      </c>
      <c r="C35" s="90" t="s">
        <v>50</v>
      </c>
      <c r="D35" s="141">
        <f>'Приложение 2'!C143</f>
        <v>848</v>
      </c>
      <c r="E35" s="90" t="s">
        <v>22</v>
      </c>
      <c r="F35" s="95" t="s">
        <v>669</v>
      </c>
      <c r="G35" s="95" t="s">
        <v>367</v>
      </c>
      <c r="H35" s="95" t="s">
        <v>392</v>
      </c>
      <c r="I35" s="90" t="s">
        <v>13</v>
      </c>
      <c r="J35" s="106">
        <v>100000</v>
      </c>
    </row>
    <row r="36" spans="1:11" s="92" customFormat="1" ht="68.25" customHeight="1" x14ac:dyDescent="0.25">
      <c r="A36" s="97" t="s">
        <v>70</v>
      </c>
      <c r="B36" s="133" t="s">
        <v>153</v>
      </c>
      <c r="C36" s="90"/>
      <c r="D36" s="91">
        <f>'Приложение 2'!C148</f>
        <v>700</v>
      </c>
      <c r="E36" s="90">
        <v>2023</v>
      </c>
      <c r="F36" s="95" t="s">
        <v>367</v>
      </c>
      <c r="G36" s="95" t="s">
        <v>367</v>
      </c>
      <c r="H36" s="93" t="s">
        <v>393</v>
      </c>
      <c r="I36" s="90" t="s">
        <v>13</v>
      </c>
      <c r="J36" s="98"/>
    </row>
    <row r="37" spans="1:11" s="92" customFormat="1" ht="57.75" customHeight="1" x14ac:dyDescent="0.25">
      <c r="A37" s="97" t="s">
        <v>71</v>
      </c>
      <c r="B37" s="133" t="s">
        <v>80</v>
      </c>
      <c r="C37" s="90"/>
      <c r="D37" s="91">
        <f>'Приложение 2'!C153</f>
        <v>10</v>
      </c>
      <c r="E37" s="90">
        <v>2023</v>
      </c>
      <c r="F37" s="95" t="s">
        <v>670</v>
      </c>
      <c r="G37" s="95" t="s">
        <v>367</v>
      </c>
      <c r="H37" s="95" t="s">
        <v>394</v>
      </c>
      <c r="I37" s="90" t="s">
        <v>13</v>
      </c>
      <c r="J37" s="106">
        <v>500</v>
      </c>
    </row>
    <row r="38" spans="1:11" s="92" customFormat="1" ht="52.5" customHeight="1" x14ac:dyDescent="0.25">
      <c r="A38" s="97" t="s">
        <v>73</v>
      </c>
      <c r="B38" s="133" t="s">
        <v>81</v>
      </c>
      <c r="C38" s="90"/>
      <c r="D38" s="91">
        <f>'Приложение 2'!C158</f>
        <v>10</v>
      </c>
      <c r="E38" s="90">
        <v>2023</v>
      </c>
      <c r="F38" s="95" t="s">
        <v>671</v>
      </c>
      <c r="G38" s="95" t="s">
        <v>367</v>
      </c>
      <c r="H38" s="95" t="s">
        <v>394</v>
      </c>
      <c r="I38" s="90" t="s">
        <v>13</v>
      </c>
      <c r="J38" s="106">
        <v>500</v>
      </c>
    </row>
    <row r="39" spans="1:11" x14ac:dyDescent="0.25">
      <c r="B39" s="87" t="s">
        <v>29</v>
      </c>
      <c r="C39" s="87" t="s">
        <v>296</v>
      </c>
      <c r="D39" s="87">
        <f>SUM(D15:D38)</f>
        <v>20318.03</v>
      </c>
      <c r="E39" s="87" t="s">
        <v>296</v>
      </c>
      <c r="F39" s="87" t="s">
        <v>296</v>
      </c>
      <c r="G39" s="87" t="s">
        <v>296</v>
      </c>
      <c r="H39" s="87" t="s">
        <v>296</v>
      </c>
      <c r="I39" s="87" t="s">
        <v>296</v>
      </c>
      <c r="J39" s="87" t="s">
        <v>296</v>
      </c>
      <c r="K39" s="89"/>
    </row>
    <row r="40" spans="1:11" x14ac:dyDescent="0.25">
      <c r="B40" s="155" t="s">
        <v>8</v>
      </c>
      <c r="C40" s="156"/>
      <c r="D40" s="156"/>
      <c r="E40" s="156"/>
      <c r="F40" s="156"/>
      <c r="G40" s="156"/>
      <c r="H40" s="156"/>
      <c r="I40" s="156"/>
      <c r="J40" s="157"/>
    </row>
    <row r="41" spans="1:11" ht="31.5" x14ac:dyDescent="0.25">
      <c r="B41" s="116" t="s">
        <v>93</v>
      </c>
      <c r="C41" s="116"/>
      <c r="D41" s="99">
        <f>'Приложение 2'!C169</f>
        <v>512.1</v>
      </c>
      <c r="E41" s="116" t="s">
        <v>166</v>
      </c>
      <c r="F41" s="116">
        <v>255</v>
      </c>
      <c r="G41" s="116"/>
      <c r="H41" s="116"/>
      <c r="I41" s="116" t="s">
        <v>13</v>
      </c>
      <c r="J41" s="79">
        <v>4000</v>
      </c>
    </row>
    <row r="42" spans="1:11" ht="31.5" x14ac:dyDescent="0.25">
      <c r="B42" s="116" t="s">
        <v>94</v>
      </c>
      <c r="C42" s="116"/>
      <c r="D42" s="116">
        <f>'Приложение 2'!C174</f>
        <v>1057</v>
      </c>
      <c r="E42" s="116" t="s">
        <v>167</v>
      </c>
      <c r="F42" s="116">
        <v>213</v>
      </c>
      <c r="G42" s="116"/>
      <c r="H42" s="116"/>
      <c r="I42" s="116" t="s">
        <v>13</v>
      </c>
      <c r="J42" s="79">
        <v>500</v>
      </c>
    </row>
    <row r="43" spans="1:11" ht="31.5" x14ac:dyDescent="0.25">
      <c r="B43" s="135" t="s">
        <v>95</v>
      </c>
      <c r="C43" s="116"/>
      <c r="D43" s="116">
        <f>'Приложение 2'!C179</f>
        <v>2480</v>
      </c>
      <c r="E43" s="116" t="s">
        <v>25</v>
      </c>
      <c r="F43" s="116">
        <v>1117</v>
      </c>
      <c r="G43" s="116"/>
      <c r="H43" s="116"/>
      <c r="I43" s="116" t="s">
        <v>18</v>
      </c>
      <c r="J43" s="116">
        <v>150000</v>
      </c>
    </row>
    <row r="44" spans="1:11" ht="31.5" x14ac:dyDescent="0.25">
      <c r="B44" s="135" t="s">
        <v>96</v>
      </c>
      <c r="C44" s="116"/>
      <c r="D44" s="99">
        <f>'Приложение 2'!C184</f>
        <v>165</v>
      </c>
      <c r="E44" s="79" t="s">
        <v>25</v>
      </c>
      <c r="F44" s="116"/>
      <c r="G44" s="116"/>
      <c r="H44" s="116"/>
      <c r="I44" s="116" t="s">
        <v>18</v>
      </c>
      <c r="J44" s="79">
        <v>150000</v>
      </c>
    </row>
    <row r="45" spans="1:11" ht="47.25" x14ac:dyDescent="0.25">
      <c r="B45" s="135" t="s">
        <v>98</v>
      </c>
      <c r="C45" s="116"/>
      <c r="D45" s="99">
        <f>'Приложение 2'!C189</f>
        <v>170</v>
      </c>
      <c r="E45" s="116" t="s">
        <v>53</v>
      </c>
      <c r="F45" s="116" t="s">
        <v>99</v>
      </c>
      <c r="G45" s="116"/>
      <c r="H45" s="116"/>
      <c r="I45" s="116" t="s">
        <v>18</v>
      </c>
      <c r="J45" s="79">
        <v>450000</v>
      </c>
    </row>
    <row r="46" spans="1:11" ht="47.25" x14ac:dyDescent="0.25">
      <c r="B46" s="135" t="s">
        <v>186</v>
      </c>
      <c r="C46" s="116"/>
      <c r="D46" s="142">
        <f>'Приложение 2'!C194</f>
        <v>171.63</v>
      </c>
      <c r="E46" s="116" t="s">
        <v>22</v>
      </c>
      <c r="F46" s="116">
        <v>2948</v>
      </c>
      <c r="G46" s="116"/>
      <c r="H46" s="116"/>
      <c r="I46" s="116" t="s">
        <v>13</v>
      </c>
      <c r="J46" s="79">
        <v>124000</v>
      </c>
    </row>
    <row r="47" spans="1:11" ht="47.25" x14ac:dyDescent="0.25">
      <c r="B47" s="135" t="s">
        <v>187</v>
      </c>
      <c r="C47" s="116"/>
      <c r="D47" s="142">
        <f>'Приложение 2'!C199</f>
        <v>545.81000000000006</v>
      </c>
      <c r="E47" s="79" t="s">
        <v>53</v>
      </c>
      <c r="F47" s="116">
        <v>7730</v>
      </c>
      <c r="G47" s="116"/>
      <c r="H47" s="116"/>
      <c r="I47" s="116" t="s">
        <v>42</v>
      </c>
      <c r="J47" s="79">
        <v>120000</v>
      </c>
    </row>
    <row r="48" spans="1:11" ht="47.25" x14ac:dyDescent="0.25">
      <c r="B48" s="135" t="s">
        <v>188</v>
      </c>
      <c r="C48" s="116"/>
      <c r="D48" s="142">
        <f>'Приложение 2'!C204</f>
        <v>104.12</v>
      </c>
      <c r="E48" s="116">
        <v>2021</v>
      </c>
      <c r="F48" s="116">
        <v>1661</v>
      </c>
      <c r="G48" s="116"/>
      <c r="H48" s="116"/>
      <c r="I48" s="116" t="s">
        <v>42</v>
      </c>
      <c r="J48" s="79">
        <v>3428</v>
      </c>
    </row>
    <row r="49" spans="2:10" ht="31.5" x14ac:dyDescent="0.25">
      <c r="B49" s="135" t="s">
        <v>189</v>
      </c>
      <c r="C49" s="116"/>
      <c r="D49" s="142">
        <f>'Приложение 2'!C209</f>
        <v>32.92118</v>
      </c>
      <c r="E49" s="116">
        <v>2022</v>
      </c>
      <c r="F49" s="116">
        <v>1140</v>
      </c>
      <c r="G49" s="116"/>
      <c r="H49" s="116"/>
      <c r="I49" s="116" t="s">
        <v>42</v>
      </c>
      <c r="J49" s="79">
        <v>2000</v>
      </c>
    </row>
    <row r="50" spans="2:10" ht="31.5" x14ac:dyDescent="0.25">
      <c r="B50" s="135" t="s">
        <v>190</v>
      </c>
      <c r="C50" s="116"/>
      <c r="D50" s="142">
        <f>'Приложение 2'!C214</f>
        <v>31.389809999999997</v>
      </c>
      <c r="E50" s="79">
        <v>2022</v>
      </c>
      <c r="F50" s="116">
        <v>1087</v>
      </c>
      <c r="G50" s="116"/>
      <c r="H50" s="116"/>
      <c r="I50" s="116" t="s">
        <v>42</v>
      </c>
      <c r="J50" s="79">
        <v>2000</v>
      </c>
    </row>
    <row r="51" spans="2:10" ht="31.5" x14ac:dyDescent="0.25">
      <c r="B51" s="135" t="s">
        <v>191</v>
      </c>
      <c r="C51" s="116"/>
      <c r="D51" s="142">
        <f>'Приложение 2'!C219</f>
        <v>54.810870000000001</v>
      </c>
      <c r="E51" s="116">
        <v>2022</v>
      </c>
      <c r="F51" s="116">
        <v>1898</v>
      </c>
      <c r="G51" s="116"/>
      <c r="H51" s="116"/>
      <c r="I51" s="116" t="s">
        <v>42</v>
      </c>
      <c r="J51" s="79">
        <v>3500</v>
      </c>
    </row>
    <row r="52" spans="2:10" ht="31.5" x14ac:dyDescent="0.25">
      <c r="B52" s="135" t="s">
        <v>192</v>
      </c>
      <c r="C52" s="116"/>
      <c r="D52" s="142">
        <f>'Приложение 2'!C224</f>
        <v>32.834539999999997</v>
      </c>
      <c r="E52" s="116">
        <v>2022</v>
      </c>
      <c r="F52" s="116">
        <v>1140</v>
      </c>
      <c r="G52" s="116"/>
      <c r="H52" s="116"/>
      <c r="I52" s="116" t="s">
        <v>42</v>
      </c>
      <c r="J52" s="116">
        <v>3000</v>
      </c>
    </row>
    <row r="53" spans="2:10" ht="31.5" x14ac:dyDescent="0.25">
      <c r="B53" s="135" t="s">
        <v>193</v>
      </c>
      <c r="C53" s="116"/>
      <c r="D53" s="99">
        <f>'Приложение 2'!C229</f>
        <v>4.3094999999999999</v>
      </c>
      <c r="E53" s="135">
        <v>2021</v>
      </c>
      <c r="F53" s="116" t="s">
        <v>194</v>
      </c>
      <c r="G53" s="116"/>
      <c r="H53" s="116"/>
      <c r="I53" s="116" t="s">
        <v>42</v>
      </c>
      <c r="J53" s="79">
        <v>300</v>
      </c>
    </row>
    <row r="54" spans="2:10" ht="31.5" x14ac:dyDescent="0.25">
      <c r="B54" s="135" t="s">
        <v>195</v>
      </c>
      <c r="C54" s="116"/>
      <c r="D54" s="99">
        <f>'Приложение 2'!C234</f>
        <v>5.3338000000000001</v>
      </c>
      <c r="E54" s="79">
        <v>2021</v>
      </c>
      <c r="F54" s="116" t="s">
        <v>196</v>
      </c>
      <c r="G54" s="116"/>
      <c r="H54" s="116"/>
      <c r="I54" s="116" t="s">
        <v>42</v>
      </c>
      <c r="J54" s="79">
        <v>300</v>
      </c>
    </row>
    <row r="55" spans="2:10" ht="31.5" x14ac:dyDescent="0.25">
      <c r="B55" s="135" t="s">
        <v>197</v>
      </c>
      <c r="C55" s="116"/>
      <c r="D55" s="99">
        <f>'Приложение 2'!C239</f>
        <v>6.6139299999999999</v>
      </c>
      <c r="E55" s="116">
        <v>2021</v>
      </c>
      <c r="F55" s="116" t="s">
        <v>198</v>
      </c>
      <c r="G55" s="116"/>
      <c r="H55" s="116"/>
      <c r="I55" s="116" t="s">
        <v>42</v>
      </c>
      <c r="J55" s="79">
        <v>300</v>
      </c>
    </row>
    <row r="56" spans="2:10" ht="31.5" x14ac:dyDescent="0.25">
      <c r="B56" s="135" t="s">
        <v>199</v>
      </c>
      <c r="C56" s="116"/>
      <c r="D56" s="142">
        <f>'Приложение 2'!C244</f>
        <v>74.204300000000003</v>
      </c>
      <c r="E56" s="116">
        <v>2022</v>
      </c>
      <c r="F56" s="116" t="s">
        <v>200</v>
      </c>
      <c r="G56" s="116"/>
      <c r="H56" s="116"/>
      <c r="I56" s="116" t="s">
        <v>42</v>
      </c>
      <c r="J56" s="79">
        <v>2692</v>
      </c>
    </row>
    <row r="57" spans="2:10" ht="31.5" x14ac:dyDescent="0.25">
      <c r="B57" s="135" t="s">
        <v>201</v>
      </c>
      <c r="C57" s="116"/>
      <c r="D57" s="142">
        <f>'Приложение 2'!C249</f>
        <v>100.12007</v>
      </c>
      <c r="E57" s="79">
        <v>2023</v>
      </c>
      <c r="F57" s="116" t="s">
        <v>202</v>
      </c>
      <c r="G57" s="116"/>
      <c r="H57" s="116"/>
      <c r="I57" s="116" t="s">
        <v>42</v>
      </c>
      <c r="J57" s="79">
        <v>4522</v>
      </c>
    </row>
    <row r="58" spans="2:10" ht="31.5" x14ac:dyDescent="0.25">
      <c r="B58" s="135" t="s">
        <v>203</v>
      </c>
      <c r="C58" s="116"/>
      <c r="D58" s="142">
        <f>'Приложение 2'!C254</f>
        <v>195.55025000000001</v>
      </c>
      <c r="E58" s="116">
        <v>2022</v>
      </c>
      <c r="F58" s="116" t="s">
        <v>204</v>
      </c>
      <c r="G58" s="116"/>
      <c r="H58" s="116"/>
      <c r="I58" s="116" t="s">
        <v>42</v>
      </c>
      <c r="J58" s="79">
        <v>1000</v>
      </c>
    </row>
    <row r="59" spans="2:10" ht="31.5" x14ac:dyDescent="0.25">
      <c r="B59" s="135" t="s">
        <v>205</v>
      </c>
      <c r="C59" s="116"/>
      <c r="D59" s="142">
        <f>'Приложение 2'!C259</f>
        <v>133.19999999999999</v>
      </c>
      <c r="E59" s="116">
        <v>2023</v>
      </c>
      <c r="F59" s="116" t="s">
        <v>206</v>
      </c>
      <c r="G59" s="116"/>
      <c r="H59" s="116"/>
      <c r="I59" s="116" t="s">
        <v>42</v>
      </c>
      <c r="J59" s="79">
        <v>3214</v>
      </c>
    </row>
    <row r="60" spans="2:10" ht="31.5" x14ac:dyDescent="0.25">
      <c r="B60" s="135" t="s">
        <v>207</v>
      </c>
      <c r="C60" s="116"/>
      <c r="D60" s="142">
        <f>'Приложение 2'!C264</f>
        <v>35.790120000000002</v>
      </c>
      <c r="E60" s="79">
        <v>2023</v>
      </c>
      <c r="F60" s="116" t="s">
        <v>208</v>
      </c>
      <c r="G60" s="116"/>
      <c r="H60" s="116"/>
      <c r="I60" s="116" t="s">
        <v>42</v>
      </c>
      <c r="J60" s="79">
        <v>1000</v>
      </c>
    </row>
    <row r="61" spans="2:10" ht="31.5" x14ac:dyDescent="0.25">
      <c r="B61" s="135" t="s">
        <v>209</v>
      </c>
      <c r="C61" s="116"/>
      <c r="D61" s="142">
        <f>'Приложение 2'!C269</f>
        <v>19.820660000000004</v>
      </c>
      <c r="E61" s="116">
        <v>2021</v>
      </c>
      <c r="F61" s="116" t="s">
        <v>210</v>
      </c>
      <c r="G61" s="116"/>
      <c r="H61" s="116"/>
      <c r="I61" s="116" t="s">
        <v>42</v>
      </c>
      <c r="J61" s="79">
        <v>2000</v>
      </c>
    </row>
    <row r="62" spans="2:10" ht="31.5" x14ac:dyDescent="0.25">
      <c r="B62" s="135" t="s">
        <v>211</v>
      </c>
      <c r="C62" s="116"/>
      <c r="D62" s="142">
        <f>'Приложение 2'!C274</f>
        <v>39.988019999999992</v>
      </c>
      <c r="E62" s="116">
        <v>2021</v>
      </c>
      <c r="F62" s="116" t="s">
        <v>212</v>
      </c>
      <c r="G62" s="116"/>
      <c r="H62" s="116"/>
      <c r="I62" s="116" t="s">
        <v>42</v>
      </c>
      <c r="J62" s="79">
        <v>2000</v>
      </c>
    </row>
    <row r="63" spans="2:10" ht="31.5" x14ac:dyDescent="0.25">
      <c r="B63" s="135" t="s">
        <v>213</v>
      </c>
      <c r="C63" s="116"/>
      <c r="D63" s="142">
        <f>'Приложение 2'!C279</f>
        <v>20.605489999999996</v>
      </c>
      <c r="E63" s="116">
        <v>2021</v>
      </c>
      <c r="F63" s="116" t="s">
        <v>210</v>
      </c>
      <c r="G63" s="116"/>
      <c r="H63" s="116"/>
      <c r="I63" s="116" t="s">
        <v>42</v>
      </c>
      <c r="J63" s="79">
        <v>3000</v>
      </c>
    </row>
    <row r="64" spans="2:10" ht="31.5" x14ac:dyDescent="0.25">
      <c r="B64" s="135" t="s">
        <v>214</v>
      </c>
      <c r="C64" s="116"/>
      <c r="D64" s="142">
        <f>'Приложение 2'!C284</f>
        <v>7.9792100000000001</v>
      </c>
      <c r="E64" s="79">
        <v>2022</v>
      </c>
      <c r="F64" s="116" t="s">
        <v>215</v>
      </c>
      <c r="G64" s="116"/>
      <c r="H64" s="116"/>
      <c r="I64" s="116" t="s">
        <v>42</v>
      </c>
      <c r="J64" s="79">
        <v>1000</v>
      </c>
    </row>
    <row r="65" spans="2:10" ht="31.5" x14ac:dyDescent="0.25">
      <c r="B65" s="135" t="s">
        <v>216</v>
      </c>
      <c r="C65" s="116"/>
      <c r="D65" s="142">
        <f>'Приложение 2'!C289</f>
        <v>12.375999999999999</v>
      </c>
      <c r="E65" s="116">
        <v>2022</v>
      </c>
      <c r="F65" s="116" t="s">
        <v>217</v>
      </c>
      <c r="G65" s="116"/>
      <c r="H65" s="116"/>
      <c r="I65" s="116" t="s">
        <v>42</v>
      </c>
      <c r="J65" s="79">
        <v>1500</v>
      </c>
    </row>
    <row r="66" spans="2:10" ht="31.5" x14ac:dyDescent="0.25">
      <c r="B66" s="135" t="s">
        <v>218</v>
      </c>
      <c r="C66" s="116"/>
      <c r="D66" s="142">
        <f>'Приложение 2'!C294</f>
        <v>22.04411</v>
      </c>
      <c r="E66" s="116">
        <v>2023</v>
      </c>
      <c r="F66" s="116" t="s">
        <v>219</v>
      </c>
      <c r="G66" s="116"/>
      <c r="H66" s="116"/>
      <c r="I66" s="116" t="s">
        <v>42</v>
      </c>
      <c r="J66" s="79">
        <v>1500</v>
      </c>
    </row>
    <row r="67" spans="2:10" ht="31.5" x14ac:dyDescent="0.25">
      <c r="B67" s="135" t="s">
        <v>220</v>
      </c>
      <c r="C67" s="116"/>
      <c r="D67" s="142">
        <f>'Приложение 2'!C299</f>
        <v>91.031999999999996</v>
      </c>
      <c r="E67" s="116">
        <v>2022</v>
      </c>
      <c r="F67" s="116">
        <v>1340</v>
      </c>
      <c r="G67" s="116"/>
      <c r="H67" s="116"/>
      <c r="I67" s="116" t="s">
        <v>42</v>
      </c>
      <c r="J67" s="116">
        <v>4000</v>
      </c>
    </row>
    <row r="68" spans="2:10" ht="31.5" x14ac:dyDescent="0.25">
      <c r="B68" s="135" t="s">
        <v>221</v>
      </c>
      <c r="C68" s="116"/>
      <c r="D68" s="142">
        <f>'Приложение 2'!C304</f>
        <v>5.84354</v>
      </c>
      <c r="E68" s="116">
        <v>2022</v>
      </c>
      <c r="F68" s="116">
        <v>124</v>
      </c>
      <c r="G68" s="116"/>
      <c r="H68" s="116"/>
      <c r="I68" s="116" t="s">
        <v>42</v>
      </c>
      <c r="J68" s="79">
        <v>4000</v>
      </c>
    </row>
    <row r="69" spans="2:10" ht="31.5" x14ac:dyDescent="0.25">
      <c r="B69" s="135" t="s">
        <v>222</v>
      </c>
      <c r="C69" s="116"/>
      <c r="D69" s="142">
        <f>'Приложение 2'!C309</f>
        <v>3.6560700000000002</v>
      </c>
      <c r="E69" s="116">
        <v>2022</v>
      </c>
      <c r="F69" s="116">
        <v>59</v>
      </c>
      <c r="G69" s="116"/>
      <c r="H69" s="116"/>
      <c r="I69" s="116" t="s">
        <v>42</v>
      </c>
      <c r="J69" s="79">
        <v>4000</v>
      </c>
    </row>
    <row r="70" spans="2:10" ht="31.5" x14ac:dyDescent="0.25">
      <c r="B70" s="135" t="s">
        <v>223</v>
      </c>
      <c r="C70" s="116"/>
      <c r="D70" s="142">
        <f>'Приложение 2'!C314</f>
        <v>3.76376</v>
      </c>
      <c r="E70" s="79">
        <v>2022</v>
      </c>
      <c r="F70" s="116">
        <v>59</v>
      </c>
      <c r="G70" s="116"/>
      <c r="H70" s="116"/>
      <c r="I70" s="116" t="s">
        <v>42</v>
      </c>
      <c r="J70" s="79">
        <v>4000</v>
      </c>
    </row>
    <row r="71" spans="2:10" ht="31.5" x14ac:dyDescent="0.25">
      <c r="B71" s="135" t="s">
        <v>224</v>
      </c>
      <c r="C71" s="116"/>
      <c r="D71" s="142">
        <f>'Приложение 2'!C319</f>
        <v>7.8031600000000001</v>
      </c>
      <c r="E71" s="116">
        <v>2022</v>
      </c>
      <c r="F71" s="116">
        <v>244</v>
      </c>
      <c r="G71" s="116"/>
      <c r="H71" s="116"/>
      <c r="I71" s="116" t="s">
        <v>42</v>
      </c>
      <c r="J71" s="79">
        <v>4000</v>
      </c>
    </row>
    <row r="72" spans="2:10" ht="141.75" x14ac:dyDescent="0.25">
      <c r="B72" s="135" t="s">
        <v>225</v>
      </c>
      <c r="C72" s="116"/>
      <c r="D72" s="99">
        <f>'Приложение 2'!C324</f>
        <v>7000</v>
      </c>
      <c r="E72" s="116" t="s">
        <v>102</v>
      </c>
      <c r="F72" s="116"/>
      <c r="G72" s="116"/>
      <c r="H72" s="116"/>
      <c r="I72" s="116" t="s">
        <v>226</v>
      </c>
      <c r="J72" s="79">
        <v>200000</v>
      </c>
    </row>
    <row r="73" spans="2:10" ht="47.25" x14ac:dyDescent="0.25">
      <c r="B73" s="135" t="s">
        <v>227</v>
      </c>
      <c r="C73" s="116"/>
      <c r="D73" s="99">
        <f>'Приложение 2'!C329</f>
        <v>50</v>
      </c>
      <c r="E73" s="116" t="s">
        <v>88</v>
      </c>
      <c r="F73" s="116"/>
      <c r="G73" s="116"/>
      <c r="H73" s="116"/>
      <c r="I73" s="116" t="s">
        <v>226</v>
      </c>
      <c r="J73" s="116">
        <v>100000</v>
      </c>
    </row>
    <row r="74" spans="2:10" ht="47.25" x14ac:dyDescent="0.25">
      <c r="B74" s="135" t="s">
        <v>228</v>
      </c>
      <c r="C74" s="116"/>
      <c r="D74" s="99">
        <f>'Приложение 2'!C334</f>
        <v>60.499999999999993</v>
      </c>
      <c r="E74" s="79">
        <v>2021</v>
      </c>
      <c r="F74" s="116" t="s">
        <v>229</v>
      </c>
      <c r="G74" s="116"/>
      <c r="H74" s="116"/>
      <c r="I74" s="116" t="s">
        <v>230</v>
      </c>
      <c r="J74" s="79">
        <v>500000</v>
      </c>
    </row>
    <row r="75" spans="2:10" ht="31.5" x14ac:dyDescent="0.25">
      <c r="B75" s="135" t="s">
        <v>231</v>
      </c>
      <c r="C75" s="116"/>
      <c r="D75" s="99">
        <f>'Приложение 2'!C339</f>
        <v>251.11999999999998</v>
      </c>
      <c r="E75" s="116" t="s">
        <v>88</v>
      </c>
      <c r="F75" s="116" t="s">
        <v>232</v>
      </c>
      <c r="G75" s="116"/>
      <c r="H75" s="116"/>
      <c r="I75" s="116" t="s">
        <v>230</v>
      </c>
      <c r="J75" s="79">
        <v>200000</v>
      </c>
    </row>
    <row r="76" spans="2:10" ht="47.25" x14ac:dyDescent="0.25">
      <c r="B76" s="135" t="s">
        <v>233</v>
      </c>
      <c r="C76" s="116"/>
      <c r="D76" s="99">
        <f>'Приложение 2'!C344</f>
        <v>44.33</v>
      </c>
      <c r="E76" s="116">
        <v>2022</v>
      </c>
      <c r="F76" s="116" t="s">
        <v>234</v>
      </c>
      <c r="G76" s="116"/>
      <c r="H76" s="116"/>
      <c r="I76" s="116" t="s">
        <v>230</v>
      </c>
      <c r="J76" s="79">
        <v>50000</v>
      </c>
    </row>
    <row r="77" spans="2:10" ht="47.25" x14ac:dyDescent="0.25">
      <c r="B77" s="135" t="s">
        <v>235</v>
      </c>
      <c r="C77" s="116"/>
      <c r="D77" s="99">
        <f>'Приложение 2'!C349</f>
        <v>75.98</v>
      </c>
      <c r="E77" s="79">
        <v>2021</v>
      </c>
      <c r="F77" s="116" t="s">
        <v>232</v>
      </c>
      <c r="G77" s="116"/>
      <c r="H77" s="116"/>
      <c r="I77" s="116" t="s">
        <v>230</v>
      </c>
      <c r="J77" s="79">
        <v>50000</v>
      </c>
    </row>
    <row r="78" spans="2:10" ht="47.25" x14ac:dyDescent="0.25">
      <c r="B78" s="135" t="s">
        <v>236</v>
      </c>
      <c r="C78" s="116"/>
      <c r="D78" s="99">
        <f>'Приложение 2'!C354</f>
        <v>138.79999999999998</v>
      </c>
      <c r="E78" s="116" t="s">
        <v>237</v>
      </c>
      <c r="F78" s="116"/>
      <c r="G78" s="116"/>
      <c r="H78" s="116"/>
      <c r="I78" s="116" t="s">
        <v>230</v>
      </c>
      <c r="J78" s="79">
        <v>2000</v>
      </c>
    </row>
    <row r="79" spans="2:10" ht="31.5" x14ac:dyDescent="0.25">
      <c r="B79" s="135" t="s">
        <v>238</v>
      </c>
      <c r="C79" s="116"/>
      <c r="D79" s="142">
        <f>'Приложение 2'!C359</f>
        <v>212.00000000000003</v>
      </c>
      <c r="E79" s="116">
        <v>2021</v>
      </c>
      <c r="F79" s="116" t="s">
        <v>239</v>
      </c>
      <c r="G79" s="116"/>
      <c r="H79" s="116"/>
      <c r="I79" s="116" t="s">
        <v>230</v>
      </c>
      <c r="J79" s="116">
        <v>500000</v>
      </c>
    </row>
    <row r="80" spans="2:10" ht="31.5" x14ac:dyDescent="0.25">
      <c r="B80" s="135" t="s">
        <v>240</v>
      </c>
      <c r="C80" s="116"/>
      <c r="D80" s="142">
        <f>'Приложение 2'!C364</f>
        <v>350.99999999999994</v>
      </c>
      <c r="E80" s="79" t="s">
        <v>165</v>
      </c>
      <c r="F80" s="116" t="s">
        <v>232</v>
      </c>
      <c r="G80" s="116"/>
      <c r="H80" s="116"/>
      <c r="I80" s="116" t="s">
        <v>230</v>
      </c>
      <c r="J80" s="79">
        <v>60000</v>
      </c>
    </row>
    <row r="81" spans="2:12" ht="31.5" x14ac:dyDescent="0.25">
      <c r="B81" s="135" t="s">
        <v>241</v>
      </c>
      <c r="C81" s="116"/>
      <c r="D81" s="142">
        <f>'Приложение 2'!C369</f>
        <v>1000</v>
      </c>
      <c r="E81" s="116" t="s">
        <v>25</v>
      </c>
      <c r="F81" s="116" t="s">
        <v>242</v>
      </c>
      <c r="G81" s="116"/>
      <c r="H81" s="116"/>
      <c r="I81" s="116" t="s">
        <v>230</v>
      </c>
      <c r="J81" s="79">
        <v>500000</v>
      </c>
    </row>
    <row r="82" spans="2:12" ht="47.25" x14ac:dyDescent="0.25">
      <c r="B82" s="135" t="s">
        <v>243</v>
      </c>
      <c r="C82" s="116"/>
      <c r="D82" s="99">
        <f>'Приложение 2'!C374</f>
        <v>246</v>
      </c>
      <c r="E82" s="79" t="s">
        <v>25</v>
      </c>
      <c r="F82" s="116"/>
      <c r="G82" s="116"/>
      <c r="H82" s="116"/>
      <c r="I82" s="116" t="s">
        <v>230</v>
      </c>
      <c r="J82" s="79">
        <v>2000</v>
      </c>
    </row>
    <row r="83" spans="2:12" ht="31.5" x14ac:dyDescent="0.25">
      <c r="B83" s="135" t="s">
        <v>244</v>
      </c>
      <c r="C83" s="116"/>
      <c r="D83" s="99">
        <f>'Приложение 2'!C379</f>
        <v>800</v>
      </c>
      <c r="E83" s="79" t="s">
        <v>25</v>
      </c>
      <c r="F83" s="116"/>
      <c r="G83" s="116"/>
      <c r="H83" s="116"/>
      <c r="I83" s="116" t="s">
        <v>230</v>
      </c>
      <c r="J83" s="79"/>
    </row>
    <row r="84" spans="2:12" x14ac:dyDescent="0.25">
      <c r="B84" s="87" t="s">
        <v>30</v>
      </c>
      <c r="C84" s="87" t="s">
        <v>296</v>
      </c>
      <c r="D84" s="88">
        <f>SUM(D41:D83)</f>
        <v>16377.380390000002</v>
      </c>
      <c r="E84" s="87" t="s">
        <v>296</v>
      </c>
      <c r="F84" s="87" t="s">
        <v>296</v>
      </c>
      <c r="G84" s="87" t="s">
        <v>296</v>
      </c>
      <c r="H84" s="87" t="s">
        <v>296</v>
      </c>
      <c r="I84" s="87" t="s">
        <v>296</v>
      </c>
      <c r="J84" s="87" t="s">
        <v>296</v>
      </c>
      <c r="K84" s="89"/>
      <c r="L84" s="89"/>
    </row>
    <row r="85" spans="2:12" x14ac:dyDescent="0.25">
      <c r="B85" s="155" t="s">
        <v>9</v>
      </c>
      <c r="C85" s="156"/>
      <c r="D85" s="156"/>
      <c r="E85" s="156"/>
      <c r="F85" s="156"/>
      <c r="G85" s="156"/>
      <c r="H85" s="156"/>
      <c r="I85" s="156"/>
      <c r="J85" s="157"/>
    </row>
    <row r="86" spans="2:12" ht="63" x14ac:dyDescent="0.25">
      <c r="B86" s="135" t="s">
        <v>245</v>
      </c>
      <c r="C86" s="116"/>
      <c r="D86" s="99">
        <f>'Приложение 2'!C390</f>
        <v>144</v>
      </c>
      <c r="E86" s="116">
        <v>2022</v>
      </c>
      <c r="F86" s="116" t="s">
        <v>246</v>
      </c>
      <c r="G86" s="116"/>
      <c r="H86" s="116"/>
      <c r="I86" s="116" t="s">
        <v>82</v>
      </c>
      <c r="J86" s="116">
        <v>210000</v>
      </c>
    </row>
    <row r="87" spans="2:12" ht="63" x14ac:dyDescent="0.25">
      <c r="B87" s="135" t="s">
        <v>247</v>
      </c>
      <c r="C87" s="116"/>
      <c r="D87" s="99">
        <f>'Приложение 2'!C395</f>
        <v>362</v>
      </c>
      <c r="E87" s="116" t="s">
        <v>165</v>
      </c>
      <c r="F87" s="116" t="s">
        <v>248</v>
      </c>
      <c r="G87" s="116"/>
      <c r="H87" s="116"/>
      <c r="I87" s="116" t="s">
        <v>82</v>
      </c>
      <c r="J87" s="116">
        <v>200000</v>
      </c>
    </row>
    <row r="88" spans="2:12" ht="47.25" x14ac:dyDescent="0.25">
      <c r="B88" s="100" t="s">
        <v>674</v>
      </c>
      <c r="C88" s="100"/>
      <c r="D88" s="101">
        <v>362</v>
      </c>
      <c r="E88" s="100" t="s">
        <v>88</v>
      </c>
      <c r="F88" s="100" t="s">
        <v>248</v>
      </c>
      <c r="G88" s="100"/>
      <c r="H88" s="100"/>
      <c r="I88" s="100" t="s">
        <v>82</v>
      </c>
      <c r="J88" s="100">
        <v>200000</v>
      </c>
    </row>
    <row r="89" spans="2:12" ht="94.5" x14ac:dyDescent="0.25">
      <c r="B89" s="135" t="s">
        <v>85</v>
      </c>
      <c r="C89" s="116"/>
      <c r="D89" s="99">
        <f>'Приложение 2'!C405</f>
        <v>121</v>
      </c>
      <c r="E89" s="116">
        <v>2023</v>
      </c>
      <c r="F89" s="116" t="s">
        <v>249</v>
      </c>
      <c r="G89" s="116"/>
      <c r="H89" s="116"/>
      <c r="I89" s="116" t="s">
        <v>82</v>
      </c>
      <c r="J89" s="116">
        <v>195000</v>
      </c>
    </row>
    <row r="90" spans="2:12" ht="94.5" x14ac:dyDescent="0.25">
      <c r="B90" s="135" t="s">
        <v>84</v>
      </c>
      <c r="C90" s="116"/>
      <c r="D90" s="99">
        <f>'Приложение 2'!C410</f>
        <v>121</v>
      </c>
      <c r="E90" s="116">
        <v>2024</v>
      </c>
      <c r="F90" s="116" t="s">
        <v>250</v>
      </c>
      <c r="G90" s="116"/>
      <c r="H90" s="116"/>
      <c r="I90" s="116" t="s">
        <v>82</v>
      </c>
      <c r="J90" s="116">
        <v>215000</v>
      </c>
    </row>
    <row r="91" spans="2:12" ht="63" x14ac:dyDescent="0.25">
      <c r="B91" s="143" t="s">
        <v>676</v>
      </c>
      <c r="C91" s="102"/>
      <c r="D91" s="103">
        <f>'Приложение 2'!C415</f>
        <v>801.5</v>
      </c>
      <c r="E91" s="116" t="s">
        <v>102</v>
      </c>
      <c r="F91" s="116" t="s">
        <v>252</v>
      </c>
      <c r="G91" s="116"/>
      <c r="H91" s="116"/>
      <c r="I91" s="116" t="s">
        <v>83</v>
      </c>
      <c r="J91" s="116">
        <v>300000</v>
      </c>
    </row>
    <row r="92" spans="2:12" ht="47.25" x14ac:dyDescent="0.25">
      <c r="B92" s="144" t="s">
        <v>695</v>
      </c>
      <c r="C92" s="116"/>
      <c r="D92" s="99">
        <f>'Приложение 2'!C420</f>
        <v>621.12</v>
      </c>
      <c r="E92" s="116" t="s">
        <v>45</v>
      </c>
      <c r="F92" s="116" t="s">
        <v>350</v>
      </c>
      <c r="G92" s="116"/>
      <c r="H92" s="116"/>
      <c r="I92" s="116" t="s">
        <v>253</v>
      </c>
      <c r="J92" s="116"/>
    </row>
    <row r="93" spans="2:12" ht="31.5" x14ac:dyDescent="0.25">
      <c r="B93" s="135" t="s">
        <v>254</v>
      </c>
      <c r="C93" s="116"/>
      <c r="D93" s="99">
        <f>'Приложение 2'!C425</f>
        <v>122.49</v>
      </c>
      <c r="E93" s="116" t="s">
        <v>48</v>
      </c>
      <c r="F93" s="116" t="s">
        <v>351</v>
      </c>
      <c r="G93" s="116"/>
      <c r="H93" s="116"/>
      <c r="I93" s="116" t="s">
        <v>123</v>
      </c>
      <c r="J93" s="116"/>
    </row>
    <row r="94" spans="2:12" ht="33.75" customHeight="1" x14ac:dyDescent="0.25">
      <c r="B94" s="145" t="s">
        <v>255</v>
      </c>
      <c r="C94" s="102"/>
      <c r="D94" s="146">
        <v>376.36</v>
      </c>
      <c r="E94" s="102" t="s">
        <v>53</v>
      </c>
      <c r="F94" s="102" t="s">
        <v>352</v>
      </c>
      <c r="G94" s="102"/>
      <c r="H94" s="102"/>
      <c r="I94" s="102" t="s">
        <v>675</v>
      </c>
      <c r="J94" s="102"/>
    </row>
    <row r="95" spans="2:12" ht="31.5" x14ac:dyDescent="0.25">
      <c r="B95" s="135" t="s">
        <v>256</v>
      </c>
      <c r="C95" s="116"/>
      <c r="D95" s="99">
        <f>'Приложение 2'!C435</f>
        <v>29.4</v>
      </c>
      <c r="E95" s="116" t="s">
        <v>165</v>
      </c>
      <c r="F95" s="116" t="s">
        <v>353</v>
      </c>
      <c r="G95" s="116"/>
      <c r="H95" s="116"/>
      <c r="I95" s="116" t="s">
        <v>123</v>
      </c>
      <c r="J95" s="116"/>
    </row>
    <row r="96" spans="2:12" ht="78.75" x14ac:dyDescent="0.25">
      <c r="B96" s="135" t="s">
        <v>257</v>
      </c>
      <c r="C96" s="116"/>
      <c r="D96" s="99">
        <f>'Приложение 2'!C440</f>
        <v>45.6</v>
      </c>
      <c r="E96" s="116" t="s">
        <v>87</v>
      </c>
      <c r="F96" s="116" t="s">
        <v>354</v>
      </c>
      <c r="G96" s="116"/>
      <c r="H96" s="116"/>
      <c r="I96" s="116" t="s">
        <v>258</v>
      </c>
      <c r="J96" s="116"/>
    </row>
    <row r="97" spans="2:11" ht="31.5" x14ac:dyDescent="0.25">
      <c r="B97" s="135" t="s">
        <v>259</v>
      </c>
      <c r="C97" s="104"/>
      <c r="D97" s="99">
        <f>'Приложение 2'!C445</f>
        <v>5.7</v>
      </c>
      <c r="E97" s="116" t="s">
        <v>48</v>
      </c>
      <c r="F97" s="116" t="s">
        <v>355</v>
      </c>
      <c r="G97" s="116"/>
      <c r="H97" s="116"/>
      <c r="I97" s="116" t="s">
        <v>260</v>
      </c>
      <c r="J97" s="116"/>
    </row>
    <row r="98" spans="2:11" ht="31.5" x14ac:dyDescent="0.25">
      <c r="B98" s="135" t="s">
        <v>261</v>
      </c>
      <c r="C98" s="104"/>
      <c r="D98" s="99">
        <f>'Приложение 2'!C450</f>
        <v>7</v>
      </c>
      <c r="E98" s="116" t="s">
        <v>53</v>
      </c>
      <c r="F98" s="116" t="s">
        <v>356</v>
      </c>
      <c r="G98" s="116"/>
      <c r="H98" s="116"/>
      <c r="I98" s="116" t="s">
        <v>82</v>
      </c>
      <c r="J98" s="116"/>
    </row>
    <row r="99" spans="2:11" ht="31.5" x14ac:dyDescent="0.25">
      <c r="B99" s="135" t="s">
        <v>262</v>
      </c>
      <c r="C99" s="104"/>
      <c r="D99" s="99">
        <f>'Приложение 2'!C455</f>
        <v>10</v>
      </c>
      <c r="E99" s="116" t="s">
        <v>88</v>
      </c>
      <c r="F99" s="116" t="s">
        <v>357</v>
      </c>
      <c r="G99" s="116"/>
      <c r="H99" s="116"/>
      <c r="I99" s="116" t="s">
        <v>82</v>
      </c>
      <c r="J99" s="116"/>
    </row>
    <row r="100" spans="2:11" ht="31.5" x14ac:dyDescent="0.25">
      <c r="B100" s="134" t="s">
        <v>276</v>
      </c>
      <c r="C100" s="104"/>
      <c r="D100" s="99">
        <f>'Приложение 2'!C460</f>
        <v>20</v>
      </c>
      <c r="E100" s="116" t="s">
        <v>102</v>
      </c>
      <c r="F100" s="116" t="s">
        <v>358</v>
      </c>
      <c r="G100" s="116"/>
      <c r="H100" s="116"/>
      <c r="I100" s="116" t="s">
        <v>82</v>
      </c>
      <c r="J100" s="116"/>
    </row>
    <row r="101" spans="2:11" ht="31.5" x14ac:dyDescent="0.25">
      <c r="B101" s="135" t="s">
        <v>263</v>
      </c>
      <c r="C101" s="104"/>
      <c r="D101" s="99">
        <f>'Приложение 2'!C465</f>
        <v>6</v>
      </c>
      <c r="E101" s="116">
        <v>2022</v>
      </c>
      <c r="F101" s="116" t="s">
        <v>359</v>
      </c>
      <c r="G101" s="116"/>
      <c r="H101" s="116"/>
      <c r="I101" s="116" t="s">
        <v>82</v>
      </c>
      <c r="J101" s="116"/>
    </row>
    <row r="102" spans="2:11" ht="47.25" x14ac:dyDescent="0.25">
      <c r="B102" s="135" t="s">
        <v>264</v>
      </c>
      <c r="C102" s="104"/>
      <c r="D102" s="99">
        <f>'Приложение 2'!C470</f>
        <v>27.4</v>
      </c>
      <c r="E102" s="116" t="s">
        <v>265</v>
      </c>
      <c r="F102" s="116" t="s">
        <v>360</v>
      </c>
      <c r="G102" s="116"/>
      <c r="H102" s="116"/>
      <c r="I102" s="116" t="s">
        <v>361</v>
      </c>
      <c r="J102" s="116"/>
    </row>
    <row r="103" spans="2:11" ht="47.25" x14ac:dyDescent="0.25">
      <c r="B103" s="135" t="s">
        <v>266</v>
      </c>
      <c r="C103" s="104"/>
      <c r="D103" s="99">
        <f>'Приложение 2'!C475</f>
        <v>19.200000000000003</v>
      </c>
      <c r="E103" s="116" t="s">
        <v>48</v>
      </c>
      <c r="F103" s="116" t="s">
        <v>362</v>
      </c>
      <c r="G103" s="116"/>
      <c r="H103" s="116"/>
      <c r="I103" s="116" t="s">
        <v>267</v>
      </c>
      <c r="J103" s="116"/>
    </row>
    <row r="104" spans="2:11" ht="56.25" customHeight="1" x14ac:dyDescent="0.25">
      <c r="B104" s="135" t="s">
        <v>268</v>
      </c>
      <c r="C104" s="104"/>
      <c r="D104" s="99">
        <f>'Приложение 2'!C480</f>
        <v>31</v>
      </c>
      <c r="E104" s="116" t="s">
        <v>269</v>
      </c>
      <c r="F104" s="116" t="s">
        <v>363</v>
      </c>
      <c r="G104" s="116"/>
      <c r="H104" s="116"/>
      <c r="I104" s="116" t="s">
        <v>267</v>
      </c>
      <c r="J104" s="116"/>
    </row>
    <row r="105" spans="2:11" ht="47.25" x14ac:dyDescent="0.25">
      <c r="B105" s="185" t="s">
        <v>270</v>
      </c>
      <c r="C105" s="104"/>
      <c r="D105" s="99">
        <f>'Приложение 2'!C485</f>
        <v>25</v>
      </c>
      <c r="E105" s="116" t="s">
        <v>48</v>
      </c>
      <c r="F105" s="116" t="s">
        <v>364</v>
      </c>
      <c r="G105" s="116"/>
      <c r="H105" s="116"/>
      <c r="I105" s="116" t="s">
        <v>267</v>
      </c>
      <c r="J105" s="116"/>
    </row>
    <row r="106" spans="2:11" ht="45.75" customHeight="1" x14ac:dyDescent="0.25">
      <c r="B106" s="135" t="s">
        <v>271</v>
      </c>
      <c r="C106" s="104"/>
      <c r="D106" s="99">
        <f>'Приложение 2'!C490</f>
        <v>30</v>
      </c>
      <c r="E106" s="116" t="s">
        <v>272</v>
      </c>
      <c r="F106" s="116" t="s">
        <v>365</v>
      </c>
      <c r="G106" s="116"/>
      <c r="H106" s="116"/>
      <c r="I106" s="116" t="s">
        <v>273</v>
      </c>
      <c r="J106" s="116"/>
    </row>
    <row r="107" spans="2:11" ht="58.5" customHeight="1" x14ac:dyDescent="0.25">
      <c r="B107" s="185" t="s">
        <v>277</v>
      </c>
      <c r="C107" s="104"/>
      <c r="D107" s="99">
        <f>'Приложение 2'!C495</f>
        <v>52.6</v>
      </c>
      <c r="E107" s="116" t="s">
        <v>274</v>
      </c>
      <c r="F107" s="116" t="s">
        <v>366</v>
      </c>
      <c r="G107" s="116"/>
      <c r="H107" s="116"/>
      <c r="I107" s="116" t="s">
        <v>275</v>
      </c>
      <c r="J107" s="116"/>
    </row>
    <row r="108" spans="2:11" ht="70.5" customHeight="1" x14ac:dyDescent="0.25">
      <c r="B108" s="104" t="s">
        <v>31</v>
      </c>
      <c r="C108" s="104" t="s">
        <v>296</v>
      </c>
      <c r="D108" s="129">
        <f>SUM(D86:D107)</f>
        <v>3340.3699999999994</v>
      </c>
      <c r="E108" s="104" t="s">
        <v>296</v>
      </c>
      <c r="F108" s="104" t="s">
        <v>296</v>
      </c>
      <c r="G108" s="104" t="s">
        <v>296</v>
      </c>
      <c r="H108" s="104" t="s">
        <v>296</v>
      </c>
      <c r="I108" s="104" t="s">
        <v>296</v>
      </c>
      <c r="J108" s="104" t="s">
        <v>296</v>
      </c>
      <c r="K108" s="89"/>
    </row>
    <row r="109" spans="2:11" x14ac:dyDescent="0.25">
      <c r="B109" s="155" t="s">
        <v>10</v>
      </c>
      <c r="C109" s="156"/>
      <c r="D109" s="156"/>
      <c r="E109" s="156"/>
      <c r="F109" s="156"/>
      <c r="G109" s="156"/>
      <c r="H109" s="156"/>
      <c r="I109" s="156"/>
      <c r="J109" s="157"/>
    </row>
    <row r="110" spans="2:11" s="105" customFormat="1" ht="372.75" customHeight="1" x14ac:dyDescent="0.25">
      <c r="B110" s="135" t="s">
        <v>127</v>
      </c>
      <c r="C110" s="116" t="s">
        <v>21</v>
      </c>
      <c r="D110" s="99">
        <f>'Приложение 2'!C506</f>
        <v>1100</v>
      </c>
      <c r="E110" s="116" t="s">
        <v>102</v>
      </c>
      <c r="F110" s="116" t="s">
        <v>103</v>
      </c>
      <c r="G110" s="116" t="s">
        <v>305</v>
      </c>
      <c r="H110" s="116" t="s">
        <v>306</v>
      </c>
      <c r="I110" s="116" t="s">
        <v>104</v>
      </c>
      <c r="J110" s="115">
        <v>1100</v>
      </c>
    </row>
    <row r="111" spans="2:11" s="105" customFormat="1" ht="362.25" x14ac:dyDescent="0.25">
      <c r="B111" s="135" t="s">
        <v>128</v>
      </c>
      <c r="C111" s="116" t="s">
        <v>21</v>
      </c>
      <c r="D111" s="99">
        <f>'Приложение 2'!C511</f>
        <v>357</v>
      </c>
      <c r="E111" s="116" t="s">
        <v>168</v>
      </c>
      <c r="F111" s="116" t="s">
        <v>103</v>
      </c>
      <c r="G111" s="116" t="s">
        <v>305</v>
      </c>
      <c r="H111" s="116" t="s">
        <v>306</v>
      </c>
      <c r="I111" s="116" t="s">
        <v>329</v>
      </c>
      <c r="J111" s="115">
        <v>1100</v>
      </c>
    </row>
    <row r="112" spans="2:11" s="105" customFormat="1" ht="338.25" customHeight="1" x14ac:dyDescent="0.25">
      <c r="B112" s="135" t="s">
        <v>129</v>
      </c>
      <c r="C112" s="116" t="s">
        <v>21</v>
      </c>
      <c r="D112" s="99">
        <f>'Приложение 2'!C516</f>
        <v>550</v>
      </c>
      <c r="E112" s="116" t="s">
        <v>168</v>
      </c>
      <c r="F112" s="116" t="s">
        <v>105</v>
      </c>
      <c r="G112" s="116" t="s">
        <v>307</v>
      </c>
      <c r="H112" s="116" t="s">
        <v>308</v>
      </c>
      <c r="I112" s="116" t="s">
        <v>104</v>
      </c>
      <c r="J112" s="115">
        <v>825</v>
      </c>
    </row>
    <row r="113" spans="2:10" s="105" customFormat="1" ht="380.25" customHeight="1" x14ac:dyDescent="0.25">
      <c r="B113" s="135" t="s">
        <v>130</v>
      </c>
      <c r="C113" s="116" t="s">
        <v>21</v>
      </c>
      <c r="D113" s="99">
        <f>'Приложение 2'!C521</f>
        <v>757</v>
      </c>
      <c r="E113" s="116" t="s">
        <v>169</v>
      </c>
      <c r="F113" s="116" t="s">
        <v>103</v>
      </c>
      <c r="G113" s="116" t="s">
        <v>305</v>
      </c>
      <c r="H113" s="116" t="s">
        <v>306</v>
      </c>
      <c r="I113" s="116"/>
      <c r="J113" s="115">
        <v>1100</v>
      </c>
    </row>
    <row r="114" spans="2:10" s="105" customFormat="1" ht="377.25" customHeight="1" x14ac:dyDescent="0.25">
      <c r="B114" s="135" t="s">
        <v>131</v>
      </c>
      <c r="C114" s="116" t="s">
        <v>21</v>
      </c>
      <c r="D114" s="99">
        <f>'Приложение 2'!C526</f>
        <v>557</v>
      </c>
      <c r="E114" s="116" t="s">
        <v>169</v>
      </c>
      <c r="F114" s="116" t="s">
        <v>103</v>
      </c>
      <c r="G114" s="116" t="s">
        <v>305</v>
      </c>
      <c r="H114" s="116" t="s">
        <v>306</v>
      </c>
      <c r="I114" s="116"/>
      <c r="J114" s="115">
        <v>1100</v>
      </c>
    </row>
    <row r="115" spans="2:10" s="105" customFormat="1" ht="392.25" customHeight="1" x14ac:dyDescent="0.25">
      <c r="B115" s="135" t="s">
        <v>278</v>
      </c>
      <c r="C115" s="116" t="s">
        <v>21</v>
      </c>
      <c r="D115" s="99">
        <f>'Приложение 2'!C531</f>
        <v>357</v>
      </c>
      <c r="E115" s="116" t="s">
        <v>168</v>
      </c>
      <c r="F115" s="116" t="s">
        <v>103</v>
      </c>
      <c r="G115" s="116" t="s">
        <v>305</v>
      </c>
      <c r="H115" s="116" t="s">
        <v>306</v>
      </c>
      <c r="I115" s="116"/>
      <c r="J115" s="115">
        <v>1100</v>
      </c>
    </row>
    <row r="116" spans="2:10" s="105" customFormat="1" ht="378" x14ac:dyDescent="0.25">
      <c r="B116" s="135" t="s">
        <v>132</v>
      </c>
      <c r="C116" s="116" t="s">
        <v>21</v>
      </c>
      <c r="D116" s="99">
        <f>'Приложение 2'!C536</f>
        <v>1100</v>
      </c>
      <c r="E116" s="116" t="s">
        <v>87</v>
      </c>
      <c r="F116" s="116" t="s">
        <v>103</v>
      </c>
      <c r="G116" s="116" t="s">
        <v>305</v>
      </c>
      <c r="H116" s="116" t="s">
        <v>309</v>
      </c>
      <c r="I116" s="116" t="s">
        <v>106</v>
      </c>
      <c r="J116" s="115">
        <v>1100</v>
      </c>
    </row>
    <row r="117" spans="2:10" s="105" customFormat="1" ht="348" customHeight="1" x14ac:dyDescent="0.25">
      <c r="B117" s="135" t="s">
        <v>133</v>
      </c>
      <c r="C117" s="116" t="s">
        <v>21</v>
      </c>
      <c r="D117" s="99">
        <f>'Приложение 2'!C541</f>
        <v>1500</v>
      </c>
      <c r="E117" s="116" t="s">
        <v>87</v>
      </c>
      <c r="F117" s="116" t="s">
        <v>107</v>
      </c>
      <c r="G117" s="116" t="s">
        <v>310</v>
      </c>
      <c r="H117" s="116" t="s">
        <v>311</v>
      </c>
      <c r="I117" s="116" t="s">
        <v>108</v>
      </c>
      <c r="J117" s="115">
        <v>1500</v>
      </c>
    </row>
    <row r="118" spans="2:10" s="105" customFormat="1" ht="382.5" customHeight="1" x14ac:dyDescent="0.25">
      <c r="B118" s="134" t="s">
        <v>134</v>
      </c>
      <c r="C118" s="79" t="s">
        <v>21</v>
      </c>
      <c r="D118" s="85">
        <f>'Приложение 2'!C546</f>
        <v>350</v>
      </c>
      <c r="E118" s="79" t="s">
        <v>170</v>
      </c>
      <c r="F118" s="79" t="s">
        <v>103</v>
      </c>
      <c r="G118" s="79" t="s">
        <v>305</v>
      </c>
      <c r="H118" s="79" t="s">
        <v>306</v>
      </c>
      <c r="I118" s="79" t="s">
        <v>109</v>
      </c>
      <c r="J118" s="106">
        <v>1100</v>
      </c>
    </row>
    <row r="119" spans="2:10" s="105" customFormat="1" ht="140.25" customHeight="1" x14ac:dyDescent="0.25">
      <c r="B119" s="134" t="s">
        <v>135</v>
      </c>
      <c r="C119" s="79" t="s">
        <v>19</v>
      </c>
      <c r="D119" s="85">
        <f>'Приложение 2'!C551</f>
        <v>180</v>
      </c>
      <c r="E119" s="79" t="s">
        <v>53</v>
      </c>
      <c r="F119" s="79" t="s">
        <v>110</v>
      </c>
      <c r="G119" s="79" t="s">
        <v>312</v>
      </c>
      <c r="H119" s="79" t="s">
        <v>313</v>
      </c>
      <c r="I119" s="79" t="s">
        <v>111</v>
      </c>
      <c r="J119" s="106">
        <v>180</v>
      </c>
    </row>
    <row r="120" spans="2:10" s="105" customFormat="1" ht="135.75" customHeight="1" x14ac:dyDescent="0.25">
      <c r="B120" s="134" t="s">
        <v>162</v>
      </c>
      <c r="C120" s="79" t="s">
        <v>19</v>
      </c>
      <c r="D120" s="85">
        <f>'Приложение 2'!C556</f>
        <v>180</v>
      </c>
      <c r="E120" s="79" t="s">
        <v>88</v>
      </c>
      <c r="F120" s="79" t="s">
        <v>20</v>
      </c>
      <c r="G120" s="79" t="s">
        <v>314</v>
      </c>
      <c r="H120" s="79" t="s">
        <v>315</v>
      </c>
      <c r="I120" s="79" t="s">
        <v>330</v>
      </c>
      <c r="J120" s="106">
        <v>240</v>
      </c>
    </row>
    <row r="121" spans="2:10" s="105" customFormat="1" ht="137.25" customHeight="1" x14ac:dyDescent="0.25">
      <c r="B121" s="135" t="s">
        <v>163</v>
      </c>
      <c r="C121" s="116" t="s">
        <v>19</v>
      </c>
      <c r="D121" s="99">
        <f>'Приложение 2'!C561</f>
        <v>180</v>
      </c>
      <c r="E121" s="116" t="s">
        <v>88</v>
      </c>
      <c r="F121" s="116" t="s">
        <v>20</v>
      </c>
      <c r="G121" s="116" t="s">
        <v>314</v>
      </c>
      <c r="H121" s="116" t="s">
        <v>315</v>
      </c>
      <c r="I121" s="116" t="s">
        <v>330</v>
      </c>
      <c r="J121" s="115">
        <v>240</v>
      </c>
    </row>
    <row r="122" spans="2:10" s="105" customFormat="1" ht="132" customHeight="1" x14ac:dyDescent="0.25">
      <c r="B122" s="134" t="s">
        <v>176</v>
      </c>
      <c r="C122" s="79"/>
      <c r="D122" s="85">
        <f>'Приложение 2'!C566</f>
        <v>260.60000000000002</v>
      </c>
      <c r="E122" s="79" t="s">
        <v>399</v>
      </c>
      <c r="F122" s="79" t="s">
        <v>177</v>
      </c>
      <c r="G122" s="79" t="s">
        <v>316</v>
      </c>
      <c r="H122" s="79" t="s">
        <v>317</v>
      </c>
      <c r="I122" s="79" t="s">
        <v>331</v>
      </c>
      <c r="J122" s="106">
        <v>250</v>
      </c>
    </row>
    <row r="123" spans="2:10" s="105" customFormat="1" ht="116.25" customHeight="1" x14ac:dyDescent="0.25">
      <c r="B123" s="147" t="s">
        <v>178</v>
      </c>
      <c r="C123" s="147"/>
      <c r="D123" s="148">
        <f>'Приложение 2'!C571</f>
        <v>140</v>
      </c>
      <c r="E123" s="147" t="s">
        <v>399</v>
      </c>
      <c r="F123" s="79" t="s">
        <v>179</v>
      </c>
      <c r="G123" s="79" t="s">
        <v>318</v>
      </c>
      <c r="H123" s="79" t="s">
        <v>319</v>
      </c>
      <c r="I123" s="79" t="s">
        <v>332</v>
      </c>
      <c r="J123" s="106">
        <v>160</v>
      </c>
    </row>
    <row r="124" spans="2:10" s="105" customFormat="1" ht="135" customHeight="1" x14ac:dyDescent="0.25">
      <c r="B124" s="144" t="s">
        <v>180</v>
      </c>
      <c r="C124" s="147"/>
      <c r="D124" s="148">
        <f>'Приложение 2'!C576</f>
        <v>169.8</v>
      </c>
      <c r="E124" s="147" t="s">
        <v>399</v>
      </c>
      <c r="F124" s="79" t="s">
        <v>20</v>
      </c>
      <c r="G124" s="79" t="s">
        <v>320</v>
      </c>
      <c r="H124" s="79" t="s">
        <v>315</v>
      </c>
      <c r="I124" s="79" t="s">
        <v>332</v>
      </c>
      <c r="J124" s="106">
        <v>240</v>
      </c>
    </row>
    <row r="125" spans="2:10" s="105" customFormat="1" ht="135" customHeight="1" x14ac:dyDescent="0.25">
      <c r="B125" s="147" t="s">
        <v>181</v>
      </c>
      <c r="C125" s="79"/>
      <c r="D125" s="85">
        <f>'Приложение 2'!C581</f>
        <v>171.5</v>
      </c>
      <c r="E125" s="147" t="s">
        <v>399</v>
      </c>
      <c r="F125" s="79" t="s">
        <v>182</v>
      </c>
      <c r="G125" s="79" t="s">
        <v>321</v>
      </c>
      <c r="H125" s="79" t="s">
        <v>322</v>
      </c>
      <c r="I125" s="79" t="s">
        <v>332</v>
      </c>
      <c r="J125" s="106">
        <v>110</v>
      </c>
    </row>
    <row r="126" spans="2:10" s="105" customFormat="1" ht="126" x14ac:dyDescent="0.25">
      <c r="B126" s="144" t="s">
        <v>185</v>
      </c>
      <c r="C126" s="147"/>
      <c r="D126" s="148">
        <f>'Приложение 2'!C586</f>
        <v>218.2</v>
      </c>
      <c r="E126" s="147" t="s">
        <v>399</v>
      </c>
      <c r="F126" s="79" t="s">
        <v>177</v>
      </c>
      <c r="G126" s="79" t="s">
        <v>316</v>
      </c>
      <c r="H126" s="79" t="s">
        <v>317</v>
      </c>
      <c r="I126" s="79" t="s">
        <v>328</v>
      </c>
      <c r="J126" s="106">
        <v>250</v>
      </c>
    </row>
    <row r="127" spans="2:10" s="105" customFormat="1" ht="138" customHeight="1" x14ac:dyDescent="0.25">
      <c r="B127" s="144" t="s">
        <v>183</v>
      </c>
      <c r="C127" s="144"/>
      <c r="D127" s="149">
        <f>'Приложение 2'!C591</f>
        <v>94</v>
      </c>
      <c r="E127" s="144" t="s">
        <v>399</v>
      </c>
      <c r="F127" s="116" t="s">
        <v>182</v>
      </c>
      <c r="G127" s="116" t="s">
        <v>323</v>
      </c>
      <c r="H127" s="116" t="s">
        <v>324</v>
      </c>
      <c r="I127" s="116" t="s">
        <v>331</v>
      </c>
      <c r="J127" s="115">
        <v>110</v>
      </c>
    </row>
    <row r="128" spans="2:10" s="105" customFormat="1" ht="378" x14ac:dyDescent="0.25">
      <c r="B128" s="147" t="s">
        <v>184</v>
      </c>
      <c r="C128" s="147"/>
      <c r="D128" s="148">
        <f>'Приложение 2'!C596</f>
        <v>1269.1000000000001</v>
      </c>
      <c r="E128" s="147" t="s">
        <v>22</v>
      </c>
      <c r="F128" s="147" t="s">
        <v>325</v>
      </c>
      <c r="G128" s="79" t="s">
        <v>326</v>
      </c>
      <c r="H128" s="79" t="s">
        <v>327</v>
      </c>
      <c r="I128" s="79" t="s">
        <v>333</v>
      </c>
      <c r="J128" s="106">
        <v>1650</v>
      </c>
    </row>
    <row r="129" spans="2:11" s="105" customFormat="1" ht="66.75" customHeight="1" x14ac:dyDescent="0.25">
      <c r="B129" s="116" t="s">
        <v>112</v>
      </c>
      <c r="C129" s="116" t="s">
        <v>113</v>
      </c>
      <c r="D129" s="99">
        <f>'Приложение 2'!C601</f>
        <v>322.10000000000002</v>
      </c>
      <c r="E129" s="116" t="s">
        <v>48</v>
      </c>
      <c r="F129" s="116" t="s">
        <v>297</v>
      </c>
      <c r="G129" s="116"/>
      <c r="H129" s="116" t="s">
        <v>298</v>
      </c>
      <c r="I129" s="116"/>
      <c r="J129" s="115">
        <v>27002</v>
      </c>
    </row>
    <row r="130" spans="2:11" s="105" customFormat="1" ht="78.75" x14ac:dyDescent="0.25">
      <c r="B130" s="79" t="s">
        <v>114</v>
      </c>
      <c r="C130" s="79" t="s">
        <v>113</v>
      </c>
      <c r="D130" s="85">
        <f>'Приложение 2'!C606</f>
        <v>91</v>
      </c>
      <c r="E130" s="79" t="s">
        <v>53</v>
      </c>
      <c r="F130" s="79" t="s">
        <v>299</v>
      </c>
      <c r="G130" s="79"/>
      <c r="H130" s="79" t="s">
        <v>300</v>
      </c>
      <c r="I130" s="79"/>
      <c r="J130" s="106">
        <v>3055</v>
      </c>
    </row>
    <row r="131" spans="2:11" s="105" customFormat="1" ht="47.25" x14ac:dyDescent="0.25">
      <c r="B131" s="147" t="s">
        <v>115</v>
      </c>
      <c r="C131" s="79" t="s">
        <v>113</v>
      </c>
      <c r="D131" s="148">
        <f>'Приложение 2'!C611</f>
        <v>1500</v>
      </c>
      <c r="E131" s="79" t="s">
        <v>25</v>
      </c>
      <c r="F131" s="79"/>
      <c r="G131" s="79"/>
      <c r="H131" s="79" t="s">
        <v>301</v>
      </c>
      <c r="I131" s="79"/>
      <c r="J131" s="106">
        <v>6613</v>
      </c>
    </row>
    <row r="132" spans="2:11" s="105" customFormat="1" ht="94.5" x14ac:dyDescent="0.25">
      <c r="B132" s="79" t="s">
        <v>116</v>
      </c>
      <c r="C132" s="79" t="s">
        <v>113</v>
      </c>
      <c r="D132" s="85">
        <f>'Приложение 2'!C616</f>
        <v>60.25</v>
      </c>
      <c r="E132" s="79">
        <v>2021</v>
      </c>
      <c r="F132" s="79"/>
      <c r="G132" s="79"/>
      <c r="H132" s="79" t="s">
        <v>302</v>
      </c>
      <c r="I132" s="79"/>
      <c r="J132" s="106">
        <v>109834</v>
      </c>
    </row>
    <row r="133" spans="2:11" s="105" customFormat="1" ht="47.25" x14ac:dyDescent="0.25">
      <c r="B133" s="79" t="s">
        <v>117</v>
      </c>
      <c r="C133" s="79" t="s">
        <v>113</v>
      </c>
      <c r="D133" s="85">
        <f>'Приложение 2'!C621</f>
        <v>124.2</v>
      </c>
      <c r="E133" s="79" t="s">
        <v>53</v>
      </c>
      <c r="F133" s="79"/>
      <c r="G133" s="79"/>
      <c r="H133" s="79" t="s">
        <v>303</v>
      </c>
      <c r="I133" s="79"/>
      <c r="J133" s="106">
        <v>72154</v>
      </c>
    </row>
    <row r="134" spans="2:11" s="105" customFormat="1" ht="56.25" customHeight="1" x14ac:dyDescent="0.25">
      <c r="B134" s="134" t="s">
        <v>118</v>
      </c>
      <c r="C134" s="79" t="s">
        <v>113</v>
      </c>
      <c r="D134" s="85">
        <f>'Приложение 2'!C626</f>
        <v>310</v>
      </c>
      <c r="E134" s="79" t="s">
        <v>48</v>
      </c>
      <c r="F134" s="79"/>
      <c r="G134" s="79"/>
      <c r="H134" s="79" t="s">
        <v>304</v>
      </c>
      <c r="I134" s="79"/>
      <c r="J134" s="106">
        <v>10485</v>
      </c>
    </row>
    <row r="135" spans="2:11" ht="30" customHeight="1" x14ac:dyDescent="0.25">
      <c r="B135" s="104" t="s">
        <v>32</v>
      </c>
      <c r="C135" s="104" t="s">
        <v>296</v>
      </c>
      <c r="D135" s="129">
        <f>SUM(D110:D134)</f>
        <v>11898.750000000002</v>
      </c>
      <c r="E135" s="104" t="s">
        <v>296</v>
      </c>
      <c r="F135" s="104" t="s">
        <v>296</v>
      </c>
      <c r="G135" s="104" t="s">
        <v>296</v>
      </c>
      <c r="H135" s="104" t="s">
        <v>296</v>
      </c>
      <c r="I135" s="104" t="s">
        <v>296</v>
      </c>
      <c r="J135" s="104" t="s">
        <v>296</v>
      </c>
      <c r="K135" s="89"/>
    </row>
    <row r="136" spans="2:11" x14ac:dyDescent="0.25">
      <c r="B136" s="155" t="s">
        <v>154</v>
      </c>
      <c r="C136" s="156"/>
      <c r="D136" s="156"/>
      <c r="E136" s="156"/>
      <c r="F136" s="156"/>
      <c r="G136" s="156"/>
      <c r="H136" s="156"/>
      <c r="I136" s="156"/>
      <c r="J136" s="157"/>
    </row>
    <row r="137" spans="2:11" ht="31.5" x14ac:dyDescent="0.25">
      <c r="B137" s="79" t="s">
        <v>156</v>
      </c>
      <c r="C137" s="79"/>
      <c r="D137" s="85">
        <f>'Приложение 2'!C637</f>
        <v>27</v>
      </c>
      <c r="E137" s="79" t="s">
        <v>48</v>
      </c>
      <c r="F137" s="79"/>
      <c r="G137" s="79"/>
      <c r="H137" s="79"/>
      <c r="I137" s="79"/>
      <c r="J137" s="79"/>
    </row>
    <row r="138" spans="2:11" s="105" customFormat="1" ht="362.25" x14ac:dyDescent="0.25">
      <c r="B138" s="116" t="s">
        <v>157</v>
      </c>
      <c r="C138" s="116"/>
      <c r="D138" s="99">
        <f>'Приложение 2'!C642</f>
        <v>150</v>
      </c>
      <c r="E138" s="116" t="s">
        <v>25</v>
      </c>
      <c r="F138" s="116" t="s">
        <v>160</v>
      </c>
      <c r="G138" s="116"/>
      <c r="H138" s="116" t="s">
        <v>343</v>
      </c>
      <c r="I138" s="116" t="s">
        <v>42</v>
      </c>
      <c r="J138" s="116"/>
    </row>
    <row r="139" spans="2:11" s="105" customFormat="1" ht="141.75" x14ac:dyDescent="0.25">
      <c r="B139" s="116" t="s">
        <v>158</v>
      </c>
      <c r="C139" s="116"/>
      <c r="D139" s="99">
        <f>'Приложение 2'!C647</f>
        <v>163.5</v>
      </c>
      <c r="E139" s="116" t="s">
        <v>25</v>
      </c>
      <c r="F139" s="116" t="s">
        <v>161</v>
      </c>
      <c r="G139" s="116"/>
      <c r="H139" s="116" t="s">
        <v>344</v>
      </c>
      <c r="I139" s="116" t="s">
        <v>42</v>
      </c>
      <c r="J139" s="116"/>
    </row>
    <row r="140" spans="2:11" s="105" customFormat="1" ht="409.5" x14ac:dyDescent="0.25">
      <c r="B140" s="79" t="s">
        <v>159</v>
      </c>
      <c r="C140" s="79"/>
      <c r="D140" s="85">
        <f>'Приложение 2'!C652</f>
        <v>100</v>
      </c>
      <c r="E140" s="79" t="s">
        <v>53</v>
      </c>
      <c r="F140" s="79"/>
      <c r="G140" s="79"/>
      <c r="H140" s="79" t="s">
        <v>694</v>
      </c>
      <c r="I140" s="79" t="s">
        <v>42</v>
      </c>
      <c r="J140" s="79"/>
    </row>
    <row r="141" spans="2:11" ht="28.5" customHeight="1" x14ac:dyDescent="0.25">
      <c r="B141" s="87" t="s">
        <v>155</v>
      </c>
      <c r="C141" s="87" t="s">
        <v>296</v>
      </c>
      <c r="D141" s="88">
        <f>SUM(D137:D140)</f>
        <v>440.5</v>
      </c>
      <c r="E141" s="87" t="s">
        <v>296</v>
      </c>
      <c r="F141" s="87" t="s">
        <v>296</v>
      </c>
      <c r="G141" s="87" t="s">
        <v>296</v>
      </c>
      <c r="H141" s="87" t="s">
        <v>296</v>
      </c>
      <c r="I141" s="87" t="s">
        <v>296</v>
      </c>
      <c r="J141" s="87" t="s">
        <v>296</v>
      </c>
      <c r="K141" s="89"/>
    </row>
    <row r="142" spans="2:11" x14ac:dyDescent="0.25">
      <c r="B142" s="155" t="s">
        <v>137</v>
      </c>
      <c r="C142" s="156"/>
      <c r="D142" s="156"/>
      <c r="E142" s="156"/>
      <c r="F142" s="156"/>
      <c r="G142" s="156"/>
      <c r="H142" s="156"/>
      <c r="I142" s="156"/>
      <c r="J142" s="157"/>
    </row>
    <row r="143" spans="2:11" ht="31.5" x14ac:dyDescent="0.25">
      <c r="B143" s="144" t="s">
        <v>171</v>
      </c>
      <c r="C143" s="144"/>
      <c r="D143" s="149">
        <f>'Приложение 2'!C663</f>
        <v>1330</v>
      </c>
      <c r="E143" s="144" t="s">
        <v>102</v>
      </c>
      <c r="F143" s="116"/>
      <c r="G143" s="116"/>
      <c r="H143" s="116"/>
      <c r="I143" s="116" t="s">
        <v>121</v>
      </c>
      <c r="J143" s="115">
        <v>25000</v>
      </c>
    </row>
    <row r="144" spans="2:11" x14ac:dyDescent="0.25">
      <c r="B144" s="165" t="s">
        <v>139</v>
      </c>
      <c r="C144" s="159" t="s">
        <v>151</v>
      </c>
      <c r="D144" s="168">
        <f>'Приложение 2'!C668</f>
        <v>179.03</v>
      </c>
      <c r="E144" s="159" t="s">
        <v>53</v>
      </c>
      <c r="F144" s="159"/>
      <c r="G144" s="159"/>
      <c r="H144" s="159" t="s">
        <v>396</v>
      </c>
      <c r="I144" s="159" t="s">
        <v>140</v>
      </c>
      <c r="J144" s="171">
        <v>600000</v>
      </c>
    </row>
    <row r="145" spans="2:11" x14ac:dyDescent="0.25">
      <c r="B145" s="166"/>
      <c r="C145" s="160"/>
      <c r="D145" s="169"/>
      <c r="E145" s="160"/>
      <c r="F145" s="160"/>
      <c r="G145" s="160"/>
      <c r="H145" s="160"/>
      <c r="I145" s="160"/>
      <c r="J145" s="171"/>
    </row>
    <row r="146" spans="2:11" x14ac:dyDescent="0.25">
      <c r="B146" s="166"/>
      <c r="C146" s="160"/>
      <c r="D146" s="169"/>
      <c r="E146" s="160"/>
      <c r="F146" s="160"/>
      <c r="G146" s="160"/>
      <c r="H146" s="160"/>
      <c r="I146" s="160"/>
      <c r="J146" s="171"/>
    </row>
    <row r="147" spans="2:11" x14ac:dyDescent="0.25">
      <c r="B147" s="167"/>
      <c r="C147" s="161"/>
      <c r="D147" s="170"/>
      <c r="E147" s="161"/>
      <c r="F147" s="161"/>
      <c r="G147" s="161"/>
      <c r="H147" s="161"/>
      <c r="I147" s="161"/>
      <c r="J147" s="171"/>
    </row>
    <row r="148" spans="2:11" ht="78.75" x14ac:dyDescent="0.25">
      <c r="B148" s="134" t="s">
        <v>141</v>
      </c>
      <c r="C148" s="79" t="s">
        <v>151</v>
      </c>
      <c r="D148" s="85">
        <f>'Приложение 2'!C673</f>
        <v>81.290000000000006</v>
      </c>
      <c r="E148" s="79">
        <v>2022</v>
      </c>
      <c r="F148" s="79"/>
      <c r="G148" s="79"/>
      <c r="H148" s="79"/>
      <c r="I148" s="79" t="s">
        <v>140</v>
      </c>
      <c r="J148" s="107">
        <v>10000</v>
      </c>
    </row>
    <row r="149" spans="2:11" s="105" customFormat="1" ht="63" x14ac:dyDescent="0.25">
      <c r="B149" s="135" t="s">
        <v>142</v>
      </c>
      <c r="C149" s="116" t="s">
        <v>151</v>
      </c>
      <c r="D149" s="99">
        <f>'Приложение 2'!C678</f>
        <v>80.63</v>
      </c>
      <c r="E149" s="116" t="s">
        <v>53</v>
      </c>
      <c r="F149" s="116"/>
      <c r="G149" s="116"/>
      <c r="H149" s="116"/>
      <c r="I149" s="116" t="s">
        <v>140</v>
      </c>
      <c r="J149" s="107">
        <v>5000</v>
      </c>
    </row>
    <row r="150" spans="2:11" ht="220.5" x14ac:dyDescent="0.25">
      <c r="B150" s="117" t="s">
        <v>143</v>
      </c>
      <c r="C150" s="117"/>
      <c r="D150" s="130">
        <f>'Приложение 2'!C683</f>
        <v>59.899999999999991</v>
      </c>
      <c r="E150" s="131">
        <v>2021</v>
      </c>
      <c r="F150" s="117"/>
      <c r="G150" s="117"/>
      <c r="H150" s="117" t="s">
        <v>397</v>
      </c>
      <c r="I150" s="117"/>
      <c r="J150" s="109">
        <v>15000</v>
      </c>
    </row>
    <row r="151" spans="2:11" ht="31.5" x14ac:dyDescent="0.25">
      <c r="B151" s="135" t="s">
        <v>145</v>
      </c>
      <c r="C151" s="79"/>
      <c r="D151" s="108">
        <f>'Приложение 2'!C688</f>
        <v>208.39999999999998</v>
      </c>
      <c r="E151" s="79">
        <v>2022</v>
      </c>
      <c r="F151" s="79"/>
      <c r="G151" s="79"/>
      <c r="H151" s="79"/>
      <c r="I151" s="79"/>
      <c r="J151" s="107">
        <v>300000</v>
      </c>
    </row>
    <row r="152" spans="2:11" ht="141.75" customHeight="1" x14ac:dyDescent="0.25">
      <c r="B152" s="143" t="s">
        <v>696</v>
      </c>
      <c r="C152" s="79"/>
      <c r="D152" s="108">
        <f>'Приложение 2'!C693</f>
        <v>146</v>
      </c>
      <c r="E152" s="147" t="s">
        <v>53</v>
      </c>
      <c r="F152" s="79"/>
      <c r="G152" s="79"/>
      <c r="H152" s="79"/>
      <c r="I152" s="79"/>
      <c r="J152" s="107">
        <v>300000</v>
      </c>
    </row>
    <row r="153" spans="2:11" ht="220.5" x14ac:dyDescent="0.25">
      <c r="B153" s="100" t="s">
        <v>147</v>
      </c>
      <c r="C153" s="79"/>
      <c r="D153" s="91">
        <f>'Приложение 2'!C698</f>
        <v>200</v>
      </c>
      <c r="E153" s="79" t="s">
        <v>53</v>
      </c>
      <c r="F153" s="79"/>
      <c r="G153" s="79"/>
      <c r="H153" s="79" t="s">
        <v>398</v>
      </c>
      <c r="I153" s="79"/>
      <c r="J153" s="109">
        <v>15000</v>
      </c>
    </row>
    <row r="154" spans="2:11" ht="47.25" x14ac:dyDescent="0.25">
      <c r="B154" s="102" t="s">
        <v>150</v>
      </c>
      <c r="C154" s="102" t="s">
        <v>151</v>
      </c>
      <c r="D154" s="125">
        <f>'Приложение 2'!C703</f>
        <v>160</v>
      </c>
      <c r="E154" s="116">
        <v>2021</v>
      </c>
      <c r="F154" s="116"/>
      <c r="G154" s="116"/>
      <c r="H154" s="116"/>
      <c r="I154" s="116"/>
      <c r="J154" s="119">
        <v>600000</v>
      </c>
    </row>
    <row r="155" spans="2:11" ht="47.25" x14ac:dyDescent="0.25">
      <c r="B155" s="126" t="s">
        <v>148</v>
      </c>
      <c r="C155" s="126" t="s">
        <v>151</v>
      </c>
      <c r="D155" s="127">
        <f>'Приложение 2'!C708</f>
        <v>500</v>
      </c>
      <c r="E155" s="117" t="s">
        <v>149</v>
      </c>
      <c r="F155" s="117"/>
      <c r="G155" s="117"/>
      <c r="H155" s="117"/>
      <c r="I155" s="117" t="s">
        <v>144</v>
      </c>
      <c r="J155" s="128">
        <v>300000</v>
      </c>
    </row>
    <row r="156" spans="2:11" x14ac:dyDescent="0.25">
      <c r="B156" s="87" t="s">
        <v>138</v>
      </c>
      <c r="C156" s="87" t="s">
        <v>296</v>
      </c>
      <c r="D156" s="88">
        <f>SUM(D143:D155)</f>
        <v>2945.25</v>
      </c>
      <c r="E156" s="87" t="s">
        <v>296</v>
      </c>
      <c r="F156" s="87" t="s">
        <v>296</v>
      </c>
      <c r="G156" s="87" t="s">
        <v>296</v>
      </c>
      <c r="H156" s="87" t="s">
        <v>296</v>
      </c>
      <c r="I156" s="87" t="s">
        <v>296</v>
      </c>
      <c r="J156" s="87" t="s">
        <v>296</v>
      </c>
      <c r="K156" s="89"/>
    </row>
    <row r="157" spans="2:11" x14ac:dyDescent="0.25">
      <c r="B157" s="155" t="s">
        <v>11</v>
      </c>
      <c r="C157" s="156"/>
      <c r="D157" s="156"/>
      <c r="E157" s="156"/>
      <c r="F157" s="156"/>
      <c r="G157" s="156"/>
      <c r="H157" s="156"/>
      <c r="I157" s="156"/>
      <c r="J157" s="157"/>
    </row>
    <row r="158" spans="2:11" ht="121.5" customHeight="1" x14ac:dyDescent="0.25">
      <c r="B158" s="135" t="s">
        <v>39</v>
      </c>
      <c r="C158" s="116" t="s">
        <v>23</v>
      </c>
      <c r="D158" s="99">
        <f>'Приложение 2'!C719</f>
        <v>309.39999999999998</v>
      </c>
      <c r="E158" s="116">
        <v>2022</v>
      </c>
      <c r="F158" s="115" t="s">
        <v>401</v>
      </c>
      <c r="G158" s="116" t="s">
        <v>334</v>
      </c>
      <c r="H158" s="116" t="s">
        <v>347</v>
      </c>
      <c r="I158" s="116" t="s">
        <v>335</v>
      </c>
      <c r="J158" s="115">
        <v>81000</v>
      </c>
    </row>
    <row r="159" spans="2:11" ht="150.75" customHeight="1" x14ac:dyDescent="0.25">
      <c r="B159" s="135" t="s">
        <v>672</v>
      </c>
      <c r="C159" s="116"/>
      <c r="D159" s="149">
        <v>68.05</v>
      </c>
      <c r="E159" s="116">
        <v>2021</v>
      </c>
      <c r="F159" s="115" t="s">
        <v>400</v>
      </c>
      <c r="G159" s="116" t="s">
        <v>336</v>
      </c>
      <c r="H159" s="116" t="s">
        <v>337</v>
      </c>
      <c r="I159" s="116" t="s">
        <v>338</v>
      </c>
      <c r="J159" s="115">
        <v>63000</v>
      </c>
    </row>
    <row r="160" spans="2:11" ht="183" customHeight="1" x14ac:dyDescent="0.25">
      <c r="B160" s="134" t="s">
        <v>24</v>
      </c>
      <c r="C160" s="120"/>
      <c r="D160" s="121">
        <f>'Приложение 2'!C729</f>
        <v>1039</v>
      </c>
      <c r="E160" s="120" t="s">
        <v>87</v>
      </c>
      <c r="F160" s="120" t="s">
        <v>26</v>
      </c>
      <c r="G160" s="120" t="s">
        <v>404</v>
      </c>
      <c r="H160" s="120" t="s">
        <v>348</v>
      </c>
      <c r="I160" s="120" t="s">
        <v>339</v>
      </c>
      <c r="J160" s="122">
        <v>180000</v>
      </c>
    </row>
    <row r="161" spans="2:11" ht="409.5" x14ac:dyDescent="0.25">
      <c r="B161" s="135" t="s">
        <v>86</v>
      </c>
      <c r="C161" s="116"/>
      <c r="D161" s="99">
        <f>'Приложение 2'!C734</f>
        <v>109</v>
      </c>
      <c r="E161" s="116" t="s">
        <v>165</v>
      </c>
      <c r="F161" s="116" t="s">
        <v>28</v>
      </c>
      <c r="G161" s="132" t="s">
        <v>684</v>
      </c>
      <c r="H161" s="116" t="s">
        <v>395</v>
      </c>
      <c r="I161" s="116" t="s">
        <v>27</v>
      </c>
      <c r="J161" s="115">
        <v>50000</v>
      </c>
    </row>
    <row r="162" spans="2:11" ht="78.75" x14ac:dyDescent="0.25">
      <c r="B162" s="135" t="s">
        <v>89</v>
      </c>
      <c r="C162" s="116"/>
      <c r="D162" s="99">
        <f>'Приложение 2'!C739</f>
        <v>210</v>
      </c>
      <c r="E162" s="116" t="s">
        <v>87</v>
      </c>
      <c r="F162" s="115" t="s">
        <v>349</v>
      </c>
      <c r="G162" s="116" t="s">
        <v>405</v>
      </c>
      <c r="H162" s="116" t="s">
        <v>340</v>
      </c>
      <c r="I162" s="116" t="s">
        <v>27</v>
      </c>
      <c r="J162" s="115">
        <v>81000</v>
      </c>
    </row>
    <row r="163" spans="2:11" ht="78.75" x14ac:dyDescent="0.25">
      <c r="B163" s="134" t="s">
        <v>90</v>
      </c>
      <c r="C163" s="79"/>
      <c r="D163" s="85">
        <f>'Приложение 2'!C744</f>
        <v>210</v>
      </c>
      <c r="E163" s="79" t="s">
        <v>165</v>
      </c>
      <c r="F163" s="106" t="s">
        <v>349</v>
      </c>
      <c r="G163" s="79" t="s">
        <v>405</v>
      </c>
      <c r="H163" s="79" t="s">
        <v>340</v>
      </c>
      <c r="I163" s="79" t="s">
        <v>27</v>
      </c>
      <c r="J163" s="106">
        <v>81000</v>
      </c>
    </row>
    <row r="164" spans="2:11" ht="63" x14ac:dyDescent="0.25">
      <c r="B164" s="134" t="s">
        <v>673</v>
      </c>
      <c r="C164" s="79"/>
      <c r="D164" s="85">
        <f>'Приложение 2'!C749</f>
        <v>146</v>
      </c>
      <c r="E164" s="79" t="s">
        <v>48</v>
      </c>
      <c r="F164" s="79" t="s">
        <v>341</v>
      </c>
      <c r="G164" s="79" t="s">
        <v>346</v>
      </c>
      <c r="H164" s="79" t="s">
        <v>345</v>
      </c>
      <c r="I164" s="79" t="s">
        <v>342</v>
      </c>
      <c r="J164" s="106">
        <v>60000</v>
      </c>
    </row>
    <row r="165" spans="2:11" x14ac:dyDescent="0.25">
      <c r="B165" s="104" t="s">
        <v>33</v>
      </c>
      <c r="C165" s="104" t="s">
        <v>296</v>
      </c>
      <c r="D165" s="129">
        <f>SUM(D158:D164)</f>
        <v>2091.4499999999998</v>
      </c>
      <c r="E165" s="104" t="s">
        <v>296</v>
      </c>
      <c r="F165" s="104" t="s">
        <v>296</v>
      </c>
      <c r="G165" s="104" t="s">
        <v>296</v>
      </c>
      <c r="H165" s="104" t="s">
        <v>296</v>
      </c>
      <c r="I165" s="104" t="s">
        <v>296</v>
      </c>
      <c r="J165" s="104" t="s">
        <v>296</v>
      </c>
      <c r="K165" s="89"/>
    </row>
    <row r="166" spans="2:11" x14ac:dyDescent="0.25">
      <c r="B166" s="155" t="s">
        <v>12</v>
      </c>
      <c r="C166" s="156"/>
      <c r="D166" s="156"/>
      <c r="E166" s="156"/>
      <c r="F166" s="156"/>
      <c r="G166" s="156"/>
      <c r="H166" s="156"/>
      <c r="I166" s="156"/>
      <c r="J166" s="157"/>
    </row>
    <row r="167" spans="2:11" ht="63" x14ac:dyDescent="0.25">
      <c r="B167" s="134" t="s">
        <v>174</v>
      </c>
      <c r="C167" s="79"/>
      <c r="D167" s="85">
        <f>'Приложение 2'!C760</f>
        <v>4000</v>
      </c>
      <c r="E167" s="79" t="s">
        <v>102</v>
      </c>
      <c r="F167" s="79"/>
      <c r="G167" s="79"/>
      <c r="H167" s="79"/>
      <c r="I167" s="79" t="s">
        <v>175</v>
      </c>
      <c r="J167" s="106">
        <v>200000</v>
      </c>
    </row>
    <row r="168" spans="2:11" ht="63" x14ac:dyDescent="0.25">
      <c r="B168" s="134" t="s">
        <v>37</v>
      </c>
      <c r="C168" s="79" t="s">
        <v>689</v>
      </c>
      <c r="D168" s="148">
        <f>'Приложение 2'!C765</f>
        <v>780</v>
      </c>
      <c r="E168" s="79" t="s">
        <v>165</v>
      </c>
      <c r="F168" s="95" t="s">
        <v>15</v>
      </c>
      <c r="G168" s="95" t="s">
        <v>367</v>
      </c>
      <c r="H168" s="95" t="s">
        <v>368</v>
      </c>
      <c r="I168" s="79" t="s">
        <v>13</v>
      </c>
      <c r="J168" s="106">
        <v>200000</v>
      </c>
    </row>
    <row r="169" spans="2:11" ht="63" x14ac:dyDescent="0.25">
      <c r="B169" s="134" t="s">
        <v>36</v>
      </c>
      <c r="C169" s="79" t="s">
        <v>689</v>
      </c>
      <c r="D169" s="85">
        <f>'Приложение 2'!C770</f>
        <v>600</v>
      </c>
      <c r="E169" s="79">
        <v>2025</v>
      </c>
      <c r="F169" s="95" t="s">
        <v>16</v>
      </c>
      <c r="G169" s="95"/>
      <c r="H169" s="95"/>
      <c r="I169" s="79" t="s">
        <v>13</v>
      </c>
      <c r="J169" s="106">
        <v>100000</v>
      </c>
    </row>
    <row r="170" spans="2:11" ht="63" x14ac:dyDescent="0.25">
      <c r="B170" s="134" t="s">
        <v>38</v>
      </c>
      <c r="C170" s="79" t="s">
        <v>689</v>
      </c>
      <c r="D170" s="85">
        <f>'Приложение 2'!C775</f>
        <v>361.59999999999997</v>
      </c>
      <c r="E170" s="79">
        <v>2023</v>
      </c>
      <c r="F170" s="95" t="s">
        <v>17</v>
      </c>
      <c r="G170" s="95"/>
      <c r="H170" s="95"/>
      <c r="I170" s="79" t="s">
        <v>13</v>
      </c>
      <c r="J170" s="106">
        <v>50000</v>
      </c>
    </row>
    <row r="171" spans="2:11" ht="94.5" x14ac:dyDescent="0.25">
      <c r="B171" s="133" t="s">
        <v>172</v>
      </c>
      <c r="C171" s="90"/>
      <c r="D171" s="91">
        <f>'Приложение 2'!C780</f>
        <v>100</v>
      </c>
      <c r="E171" s="90">
        <v>2025</v>
      </c>
      <c r="F171" s="90" t="s">
        <v>367</v>
      </c>
      <c r="G171" s="90" t="s">
        <v>367</v>
      </c>
      <c r="H171" s="90" t="s">
        <v>369</v>
      </c>
      <c r="I171" s="90" t="s">
        <v>13</v>
      </c>
      <c r="J171" s="106">
        <v>50000</v>
      </c>
    </row>
    <row r="172" spans="2:11" ht="47.25" x14ac:dyDescent="0.25">
      <c r="B172" s="138" t="s">
        <v>91</v>
      </c>
      <c r="C172" s="114" t="s">
        <v>14</v>
      </c>
      <c r="D172" s="125">
        <f>'Приложение 2'!C785</f>
        <v>50</v>
      </c>
      <c r="E172" s="114">
        <v>2025</v>
      </c>
      <c r="F172" s="114" t="s">
        <v>367</v>
      </c>
      <c r="G172" s="114" t="s">
        <v>367</v>
      </c>
      <c r="H172" s="114" t="s">
        <v>368</v>
      </c>
      <c r="I172" s="114" t="s">
        <v>42</v>
      </c>
      <c r="J172" s="115">
        <v>80000</v>
      </c>
    </row>
    <row r="173" spans="2:11" x14ac:dyDescent="0.25">
      <c r="B173" s="162" t="s">
        <v>173</v>
      </c>
      <c r="C173" s="154" t="s">
        <v>14</v>
      </c>
      <c r="D173" s="163">
        <f>'Приложение 2'!C790</f>
        <v>50</v>
      </c>
      <c r="E173" s="154">
        <v>2022</v>
      </c>
      <c r="F173" s="154"/>
      <c r="G173" s="154"/>
      <c r="H173" s="154"/>
      <c r="I173" s="154" t="s">
        <v>42</v>
      </c>
      <c r="J173" s="164">
        <v>20000</v>
      </c>
    </row>
    <row r="174" spans="2:11" x14ac:dyDescent="0.25">
      <c r="B174" s="162"/>
      <c r="C174" s="154"/>
      <c r="D174" s="154"/>
      <c r="E174" s="154"/>
      <c r="F174" s="154"/>
      <c r="G174" s="154"/>
      <c r="H174" s="154"/>
      <c r="I174" s="154"/>
      <c r="J174" s="164"/>
    </row>
    <row r="175" spans="2:11" x14ac:dyDescent="0.25">
      <c r="B175" s="162"/>
      <c r="C175" s="154"/>
      <c r="D175" s="154"/>
      <c r="E175" s="154"/>
      <c r="F175" s="154"/>
      <c r="G175" s="154"/>
      <c r="H175" s="154"/>
      <c r="I175" s="154"/>
      <c r="J175" s="164"/>
    </row>
    <row r="176" spans="2:11" x14ac:dyDescent="0.25">
      <c r="B176" s="162"/>
      <c r="C176" s="154"/>
      <c r="D176" s="154"/>
      <c r="E176" s="154"/>
      <c r="F176" s="154"/>
      <c r="G176" s="154"/>
      <c r="H176" s="154"/>
      <c r="I176" s="154"/>
      <c r="J176" s="164"/>
    </row>
    <row r="177" spans="2:12" ht="141.75" x14ac:dyDescent="0.25">
      <c r="B177" s="138" t="s">
        <v>100</v>
      </c>
      <c r="C177" s="114"/>
      <c r="D177" s="125">
        <f>'Приложение 2'!C795</f>
        <v>305.39999999999998</v>
      </c>
      <c r="E177" s="114" t="s">
        <v>22</v>
      </c>
      <c r="F177" s="114" t="s">
        <v>101</v>
      </c>
      <c r="G177" s="114" t="s">
        <v>367</v>
      </c>
      <c r="H177" s="114" t="s">
        <v>370</v>
      </c>
      <c r="I177" s="114" t="s">
        <v>13</v>
      </c>
      <c r="J177" s="115">
        <v>500000</v>
      </c>
    </row>
    <row r="178" spans="2:12" ht="47.25" x14ac:dyDescent="0.25">
      <c r="B178" s="150" t="s">
        <v>92</v>
      </c>
      <c r="C178" s="94"/>
      <c r="D178" s="127">
        <f>'Приложение 2'!C800</f>
        <v>900</v>
      </c>
      <c r="E178" s="94" t="s">
        <v>44</v>
      </c>
      <c r="F178" s="94" t="s">
        <v>367</v>
      </c>
      <c r="G178" s="94" t="s">
        <v>367</v>
      </c>
      <c r="H178" s="94" t="s">
        <v>368</v>
      </c>
      <c r="I178" s="94" t="s">
        <v>13</v>
      </c>
      <c r="J178" s="118"/>
    </row>
    <row r="179" spans="2:12" x14ac:dyDescent="0.25">
      <c r="B179" s="87" t="s">
        <v>34</v>
      </c>
      <c r="C179" s="87" t="s">
        <v>296</v>
      </c>
      <c r="D179" s="88">
        <f>SUM(D167:D178)</f>
        <v>7147</v>
      </c>
      <c r="E179" s="87" t="s">
        <v>296</v>
      </c>
      <c r="F179" s="87" t="s">
        <v>296</v>
      </c>
      <c r="G179" s="87" t="s">
        <v>296</v>
      </c>
      <c r="H179" s="87" t="s">
        <v>296</v>
      </c>
      <c r="I179" s="87" t="s">
        <v>296</v>
      </c>
      <c r="J179" s="87" t="s">
        <v>296</v>
      </c>
      <c r="K179" s="89"/>
    </row>
    <row r="180" spans="2:12" x14ac:dyDescent="0.25">
      <c r="B180" s="104" t="s">
        <v>35</v>
      </c>
      <c r="C180" s="104" t="s">
        <v>296</v>
      </c>
      <c r="D180" s="129">
        <f>D13+D39+D84+D108+D135+D141+D156+D165+D179</f>
        <v>68417.230390000012</v>
      </c>
      <c r="E180" s="104" t="s">
        <v>296</v>
      </c>
      <c r="F180" s="104" t="s">
        <v>296</v>
      </c>
      <c r="G180" s="104" t="s">
        <v>296</v>
      </c>
      <c r="H180" s="104" t="s">
        <v>296</v>
      </c>
      <c r="I180" s="104" t="s">
        <v>296</v>
      </c>
      <c r="J180" s="104" t="s">
        <v>296</v>
      </c>
      <c r="K180" s="89"/>
      <c r="L180" s="89"/>
    </row>
    <row r="181" spans="2:12" x14ac:dyDescent="0.25">
      <c r="B181" s="110"/>
      <c r="C181" s="110"/>
      <c r="D181" s="110"/>
      <c r="E181" s="110"/>
      <c r="F181" s="110"/>
      <c r="G181" s="110"/>
      <c r="H181" s="110"/>
      <c r="I181" s="110"/>
      <c r="J181" s="110"/>
      <c r="K181" s="89"/>
    </row>
    <row r="182" spans="2:12" x14ac:dyDescent="0.25">
      <c r="B182" s="111" t="s">
        <v>679</v>
      </c>
      <c r="K182" s="89"/>
    </row>
    <row r="183" spans="2:12" ht="78.75" x14ac:dyDescent="0.25">
      <c r="B183" s="75" t="s">
        <v>0</v>
      </c>
      <c r="C183" s="75" t="s">
        <v>5</v>
      </c>
      <c r="D183" s="75" t="s">
        <v>681</v>
      </c>
      <c r="E183" s="75" t="s">
        <v>1</v>
      </c>
      <c r="F183" s="75" t="s">
        <v>2</v>
      </c>
      <c r="G183" s="75" t="s">
        <v>279</v>
      </c>
      <c r="H183" s="75" t="s">
        <v>288</v>
      </c>
      <c r="I183" s="75" t="s">
        <v>3</v>
      </c>
      <c r="J183" s="75" t="s">
        <v>6</v>
      </c>
    </row>
    <row r="184" spans="2:12" x14ac:dyDescent="0.25">
      <c r="B184" s="155" t="str">
        <f>'Приложение 2'!A819</f>
        <v>Отрасль здравоохранения на территории города Чебоксары</v>
      </c>
      <c r="C184" s="156"/>
      <c r="D184" s="156"/>
      <c r="E184" s="156"/>
      <c r="F184" s="156"/>
      <c r="G184" s="156"/>
      <c r="H184" s="156"/>
      <c r="I184" s="156"/>
      <c r="J184" s="157"/>
    </row>
    <row r="185" spans="2:12" ht="31.5" x14ac:dyDescent="0.25">
      <c r="B185" s="116" t="s">
        <v>280</v>
      </c>
      <c r="C185" s="116"/>
      <c r="D185" s="99">
        <f>'Приложение 2'!C820</f>
        <v>2441.3700000000003</v>
      </c>
      <c r="E185" s="116" t="s">
        <v>87</v>
      </c>
      <c r="F185" s="116" t="s">
        <v>281</v>
      </c>
      <c r="G185" s="116"/>
      <c r="H185" s="116"/>
      <c r="I185" s="116"/>
      <c r="J185" s="116"/>
    </row>
    <row r="186" spans="2:12" ht="33.75" customHeight="1" x14ac:dyDescent="0.25">
      <c r="B186" s="116" t="s">
        <v>282</v>
      </c>
      <c r="C186" s="104"/>
      <c r="D186" s="99">
        <f>'Приложение 2'!C825</f>
        <v>5384.1</v>
      </c>
      <c r="E186" s="116" t="s">
        <v>87</v>
      </c>
      <c r="F186" s="116" t="s">
        <v>281</v>
      </c>
      <c r="G186" s="116"/>
      <c r="H186" s="116"/>
      <c r="I186" s="116"/>
      <c r="J186" s="116"/>
    </row>
    <row r="187" spans="2:12" x14ac:dyDescent="0.25">
      <c r="B187" s="104" t="s">
        <v>283</v>
      </c>
      <c r="C187" s="104" t="s">
        <v>296</v>
      </c>
      <c r="D187" s="129">
        <f>SUM(D185:D186)</f>
        <v>7825.4700000000012</v>
      </c>
      <c r="E187" s="104" t="s">
        <v>296</v>
      </c>
      <c r="F187" s="104" t="s">
        <v>296</v>
      </c>
      <c r="G187" s="104" t="s">
        <v>296</v>
      </c>
      <c r="H187" s="104" t="s">
        <v>296</v>
      </c>
      <c r="I187" s="104" t="s">
        <v>296</v>
      </c>
      <c r="J187" s="104" t="s">
        <v>296</v>
      </c>
    </row>
    <row r="188" spans="2:12" x14ac:dyDescent="0.25">
      <c r="B188" s="113" t="s">
        <v>682</v>
      </c>
    </row>
  </sheetData>
  <mergeCells count="30">
    <mergeCell ref="B184:J184"/>
    <mergeCell ref="B85:J85"/>
    <mergeCell ref="B109:J109"/>
    <mergeCell ref="B6:J6"/>
    <mergeCell ref="B166:J166"/>
    <mergeCell ref="B136:J136"/>
    <mergeCell ref="H144:H147"/>
    <mergeCell ref="B144:B147"/>
    <mergeCell ref="C144:C147"/>
    <mergeCell ref="D144:D147"/>
    <mergeCell ref="E144:E147"/>
    <mergeCell ref="G144:G147"/>
    <mergeCell ref="J144:J147"/>
    <mergeCell ref="F144:F147"/>
    <mergeCell ref="H1:J2"/>
    <mergeCell ref="B3:H3"/>
    <mergeCell ref="I173:I176"/>
    <mergeCell ref="B157:J157"/>
    <mergeCell ref="B142:J142"/>
    <mergeCell ref="B14:J14"/>
    <mergeCell ref="I144:I147"/>
    <mergeCell ref="B173:B176"/>
    <mergeCell ref="C173:C176"/>
    <mergeCell ref="D173:D176"/>
    <mergeCell ref="E173:E176"/>
    <mergeCell ref="G173:G176"/>
    <mergeCell ref="J173:J176"/>
    <mergeCell ref="H173:H176"/>
    <mergeCell ref="F173:F176"/>
    <mergeCell ref="B40:J40"/>
  </mergeCells>
  <conditionalFormatting sqref="B188:B1048576 B179:B182 B156:B157 B5:B14 B165:B166 B39:B40 B135:B138 B140:B142 B108:B109 B84:B85">
    <cfRule type="duplicateValues" dxfId="221" priority="55"/>
  </conditionalFormatting>
  <conditionalFormatting sqref="D5">
    <cfRule type="cellIs" dxfId="220" priority="54" operator="equal">
      <formula>0</formula>
    </cfRule>
  </conditionalFormatting>
  <conditionalFormatting sqref="B183">
    <cfRule type="duplicateValues" dxfId="219" priority="2"/>
  </conditionalFormatting>
  <conditionalFormatting sqref="D183">
    <cfRule type="cellIs" dxfId="218" priority="1" operator="equal">
      <formula>0</formula>
    </cfRule>
  </conditionalFormatting>
  <conditionalFormatting sqref="B45:B47">
    <cfRule type="duplicateValues" dxfId="217" priority="241"/>
  </conditionalFormatting>
  <conditionalFormatting sqref="B48:B50">
    <cfRule type="duplicateValues" dxfId="216" priority="280"/>
  </conditionalFormatting>
  <conditionalFormatting sqref="B52:B54">
    <cfRule type="duplicateValues" dxfId="215" priority="321"/>
  </conditionalFormatting>
  <conditionalFormatting sqref="B58:B60">
    <cfRule type="duplicateValues" dxfId="214" priority="389"/>
  </conditionalFormatting>
  <conditionalFormatting sqref="B62:B64">
    <cfRule type="duplicateValues" dxfId="213" priority="430"/>
  </conditionalFormatting>
  <conditionalFormatting sqref="B65:B67">
    <cfRule type="duplicateValues" dxfId="212" priority="471"/>
  </conditionalFormatting>
  <conditionalFormatting sqref="B71">
    <cfRule type="duplicateValues" dxfId="211" priority="511"/>
  </conditionalFormatting>
  <conditionalFormatting sqref="B72:B74">
    <cfRule type="duplicateValues" dxfId="210" priority="552"/>
  </conditionalFormatting>
  <conditionalFormatting sqref="B75:B77">
    <cfRule type="duplicateValues" dxfId="209" priority="593"/>
  </conditionalFormatting>
  <conditionalFormatting sqref="B81">
    <cfRule type="duplicateValues" dxfId="208" priority="633"/>
  </conditionalFormatting>
  <conditionalFormatting sqref="B82 B61 B51">
    <cfRule type="duplicateValues" dxfId="207" priority="644"/>
  </conditionalFormatting>
  <conditionalFormatting sqref="B83 B41:B44">
    <cfRule type="duplicateValues" dxfId="206" priority="654"/>
  </conditionalFormatting>
  <conditionalFormatting sqref="B139">
    <cfRule type="duplicateValues" dxfId="205" priority="664"/>
  </conditionalFormatting>
  <conditionalFormatting sqref="B187 B184">
    <cfRule type="duplicateValues" dxfId="204" priority="674"/>
  </conditionalFormatting>
  <conditionalFormatting sqref="B68:B70">
    <cfRule type="duplicateValues" dxfId="203" priority="684"/>
  </conditionalFormatting>
  <conditionalFormatting sqref="B55:B57">
    <cfRule type="duplicateValues" dxfId="202" priority="708"/>
  </conditionalFormatting>
  <conditionalFormatting sqref="B78:B80">
    <cfRule type="duplicateValues" dxfId="201" priority="718"/>
  </conditionalFormatting>
  <printOptions horizontalCentered="1"/>
  <pageMargins left="0.23622047244094491" right="0.23622047244094491" top="0.94488188976377963" bottom="0.49875000000000003" header="0.31496062992125984" footer="0.31496062992125984"/>
  <pageSetup paperSize="9" scale="57" firstPageNumber="161" fitToHeight="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5"/>
  <sheetViews>
    <sheetView showZeros="0" view="pageLayout" topLeftCell="A19" zoomScaleNormal="85" workbookViewId="0">
      <selection activeCell="A27" sqref="A27:A31"/>
    </sheetView>
  </sheetViews>
  <sheetFormatPr defaultRowHeight="15.75" x14ac:dyDescent="0.25"/>
  <cols>
    <col min="1" max="1" width="47.7109375" style="4" customWidth="1"/>
    <col min="2" max="2" width="18.7109375" style="19" customWidth="1"/>
    <col min="3" max="3" width="15.140625" style="5" bestFit="1" customWidth="1"/>
    <col min="4" max="9" width="11.42578125" style="5" customWidth="1"/>
    <col min="10" max="10" width="12.5703125" style="6" bestFit="1" customWidth="1"/>
    <col min="11" max="11" width="9.85546875" style="6" bestFit="1" customWidth="1"/>
    <col min="12" max="16384" width="9.140625" style="6"/>
  </cols>
  <sheetData>
    <row r="1" spans="1:9" ht="83.25" customHeight="1" x14ac:dyDescent="0.25">
      <c r="E1" s="172" t="s">
        <v>691</v>
      </c>
      <c r="F1" s="172"/>
      <c r="G1" s="172"/>
      <c r="H1" s="172"/>
      <c r="I1" s="172"/>
    </row>
    <row r="2" spans="1:9" x14ac:dyDescent="0.25">
      <c r="A2" s="7" t="s">
        <v>686</v>
      </c>
      <c r="B2" s="20"/>
      <c r="C2" s="8"/>
      <c r="D2" s="8"/>
      <c r="E2" s="8"/>
      <c r="F2" s="8"/>
      <c r="G2" s="8"/>
      <c r="H2" s="8"/>
      <c r="I2" s="8"/>
    </row>
    <row r="4" spans="1:9" x14ac:dyDescent="0.25">
      <c r="A4" s="173" t="s">
        <v>289</v>
      </c>
      <c r="B4" s="175" t="s">
        <v>402</v>
      </c>
      <c r="C4" s="175"/>
      <c r="D4" s="175"/>
      <c r="E4" s="175"/>
      <c r="F4" s="175"/>
      <c r="G4" s="175"/>
      <c r="H4" s="175"/>
      <c r="I4" s="175"/>
    </row>
    <row r="5" spans="1:9" x14ac:dyDescent="0.25">
      <c r="A5" s="174"/>
      <c r="B5" s="21" t="s">
        <v>290</v>
      </c>
      <c r="C5" s="15" t="s">
        <v>291</v>
      </c>
      <c r="D5" s="15">
        <v>2020</v>
      </c>
      <c r="E5" s="15">
        <v>2021</v>
      </c>
      <c r="F5" s="15">
        <v>2022</v>
      </c>
      <c r="G5" s="15">
        <v>2023</v>
      </c>
      <c r="H5" s="15">
        <v>2024</v>
      </c>
      <c r="I5" s="15">
        <v>2025</v>
      </c>
    </row>
    <row r="6" spans="1:9" x14ac:dyDescent="0.25">
      <c r="A6" s="176" t="s">
        <v>120</v>
      </c>
      <c r="B6" s="176"/>
      <c r="C6" s="176"/>
      <c r="D6" s="176"/>
      <c r="E6" s="176"/>
      <c r="F6" s="176"/>
      <c r="G6" s="176"/>
      <c r="H6" s="176"/>
      <c r="I6" s="176"/>
    </row>
    <row r="7" spans="1:9" x14ac:dyDescent="0.25">
      <c r="A7" s="173" t="s">
        <v>122</v>
      </c>
      <c r="B7" s="21" t="s">
        <v>403</v>
      </c>
      <c r="C7" s="69">
        <f>SUM(D7:I7)</f>
        <v>500</v>
      </c>
      <c r="D7" s="69">
        <f t="shared" ref="D7:I7" si="0">D8+D9+D11</f>
        <v>0</v>
      </c>
      <c r="E7" s="69">
        <f t="shared" si="0"/>
        <v>0</v>
      </c>
      <c r="F7" s="69">
        <f>SUM(F8:F11)</f>
        <v>200</v>
      </c>
      <c r="G7" s="69">
        <f>SUM(G8:G11)</f>
        <v>300</v>
      </c>
      <c r="H7" s="69">
        <f t="shared" si="0"/>
        <v>0</v>
      </c>
      <c r="I7" s="69">
        <f t="shared" si="0"/>
        <v>0</v>
      </c>
    </row>
    <row r="8" spans="1:9" x14ac:dyDescent="0.25">
      <c r="A8" s="173"/>
      <c r="B8" s="21" t="s">
        <v>292</v>
      </c>
      <c r="C8" s="69">
        <f>SUM(D8:I8)</f>
        <v>495</v>
      </c>
      <c r="D8" s="70"/>
      <c r="E8" s="70"/>
      <c r="F8" s="70">
        <v>198</v>
      </c>
      <c r="G8" s="70">
        <v>297</v>
      </c>
      <c r="H8" s="70"/>
      <c r="I8" s="70"/>
    </row>
    <row r="9" spans="1:9" x14ac:dyDescent="0.25">
      <c r="A9" s="173"/>
      <c r="B9" s="21" t="s">
        <v>293</v>
      </c>
      <c r="C9" s="69">
        <f>SUM(D9:I9)</f>
        <v>3.5</v>
      </c>
      <c r="D9" s="70"/>
      <c r="E9" s="70"/>
      <c r="F9" s="70">
        <v>1.4</v>
      </c>
      <c r="G9" s="70">
        <v>2.1</v>
      </c>
      <c r="H9" s="70"/>
      <c r="I9" s="70"/>
    </row>
    <row r="10" spans="1:9" x14ac:dyDescent="0.25">
      <c r="A10" s="173"/>
      <c r="B10" s="21" t="s">
        <v>294</v>
      </c>
      <c r="C10" s="69">
        <f>SUM(D10:I10)</f>
        <v>1.5</v>
      </c>
      <c r="D10" s="70"/>
      <c r="E10" s="70"/>
      <c r="F10" s="70">
        <v>0.6</v>
      </c>
      <c r="G10" s="70">
        <v>0.9</v>
      </c>
      <c r="H10" s="70"/>
      <c r="I10" s="70"/>
    </row>
    <row r="11" spans="1:9" x14ac:dyDescent="0.25">
      <c r="A11" s="173"/>
      <c r="B11" s="21" t="s">
        <v>295</v>
      </c>
      <c r="C11" s="70"/>
      <c r="D11" s="70"/>
      <c r="E11" s="70"/>
      <c r="F11" s="70"/>
      <c r="G11" s="70"/>
      <c r="H11" s="70"/>
      <c r="I11" s="70"/>
    </row>
    <row r="12" spans="1:9" x14ac:dyDescent="0.25">
      <c r="A12" s="173" t="s">
        <v>124</v>
      </c>
      <c r="B12" s="21" t="s">
        <v>403</v>
      </c>
      <c r="C12" s="69">
        <f>SUM(D12:I12)</f>
        <v>412</v>
      </c>
      <c r="D12" s="69">
        <f t="shared" ref="D12:I12" si="1">D13+D14+D16</f>
        <v>0</v>
      </c>
      <c r="E12" s="69">
        <f>SUM(E13:E16)</f>
        <v>12</v>
      </c>
      <c r="F12" s="69">
        <f t="shared" si="1"/>
        <v>0</v>
      </c>
      <c r="G12" s="69">
        <f>SUM(G13:G16)</f>
        <v>200</v>
      </c>
      <c r="H12" s="69">
        <f>SUM(H13:H16)</f>
        <v>200</v>
      </c>
      <c r="I12" s="69">
        <f t="shared" si="1"/>
        <v>0</v>
      </c>
    </row>
    <row r="13" spans="1:9" x14ac:dyDescent="0.25">
      <c r="A13" s="173"/>
      <c r="B13" s="21" t="s">
        <v>292</v>
      </c>
      <c r="C13" s="69">
        <f>SUM(D13:I13)</f>
        <v>396</v>
      </c>
      <c r="D13" s="70"/>
      <c r="E13" s="70"/>
      <c r="F13" s="70"/>
      <c r="G13" s="70">
        <v>198</v>
      </c>
      <c r="H13" s="70">
        <v>198</v>
      </c>
      <c r="I13" s="70"/>
    </row>
    <row r="14" spans="1:9" x14ac:dyDescent="0.25">
      <c r="A14" s="173"/>
      <c r="B14" s="21" t="s">
        <v>293</v>
      </c>
      <c r="C14" s="69">
        <f>SUM(D14:I14)</f>
        <v>11.200000000000001</v>
      </c>
      <c r="D14" s="70"/>
      <c r="E14" s="70">
        <v>8.4</v>
      </c>
      <c r="F14" s="70"/>
      <c r="G14" s="70">
        <v>1.4</v>
      </c>
      <c r="H14" s="70">
        <v>1.4</v>
      </c>
      <c r="I14" s="70"/>
    </row>
    <row r="15" spans="1:9" x14ac:dyDescent="0.25">
      <c r="A15" s="173"/>
      <c r="B15" s="21" t="s">
        <v>294</v>
      </c>
      <c r="C15" s="69">
        <f>SUM(D15:I15)</f>
        <v>4.8</v>
      </c>
      <c r="D15" s="70"/>
      <c r="E15" s="70">
        <v>3.6</v>
      </c>
      <c r="F15" s="70"/>
      <c r="G15" s="70">
        <v>0.6</v>
      </c>
      <c r="H15" s="70">
        <v>0.6</v>
      </c>
      <c r="I15" s="70"/>
    </row>
    <row r="16" spans="1:9" x14ac:dyDescent="0.25">
      <c r="A16" s="173"/>
      <c r="B16" s="21" t="s">
        <v>295</v>
      </c>
      <c r="C16" s="70"/>
      <c r="D16" s="70"/>
      <c r="E16" s="70"/>
      <c r="F16" s="70"/>
      <c r="G16" s="70"/>
      <c r="H16" s="70"/>
      <c r="I16" s="70"/>
    </row>
    <row r="17" spans="1:9" x14ac:dyDescent="0.25">
      <c r="A17" s="173" t="s">
        <v>125</v>
      </c>
      <c r="B17" s="21" t="s">
        <v>403</v>
      </c>
      <c r="C17" s="69">
        <f>SUM(D17:I17)</f>
        <v>432</v>
      </c>
      <c r="D17" s="69">
        <f t="shared" ref="D17:I17" si="2">D18+D19+D21</f>
        <v>0</v>
      </c>
      <c r="E17" s="69">
        <f>SUM(E18:E21)</f>
        <v>12</v>
      </c>
      <c r="F17" s="69">
        <f t="shared" si="2"/>
        <v>0</v>
      </c>
      <c r="G17" s="69">
        <f>SUM(G18:G21)</f>
        <v>210</v>
      </c>
      <c r="H17" s="69">
        <f>SUM(H18:H21)</f>
        <v>210</v>
      </c>
      <c r="I17" s="69">
        <f t="shared" si="2"/>
        <v>0</v>
      </c>
    </row>
    <row r="18" spans="1:9" x14ac:dyDescent="0.25">
      <c r="A18" s="173"/>
      <c r="B18" s="21" t="s">
        <v>292</v>
      </c>
      <c r="C18" s="69">
        <f>SUM(D18:I18)</f>
        <v>415.8</v>
      </c>
      <c r="D18" s="70"/>
      <c r="E18" s="70"/>
      <c r="F18" s="70"/>
      <c r="G18" s="70">
        <v>207.9</v>
      </c>
      <c r="H18" s="70">
        <v>207.9</v>
      </c>
      <c r="I18" s="70"/>
    </row>
    <row r="19" spans="1:9" x14ac:dyDescent="0.25">
      <c r="A19" s="173"/>
      <c r="B19" s="21" t="s">
        <v>293</v>
      </c>
      <c r="C19" s="69">
        <f>SUM(D19:I19)</f>
        <v>11.340000000000002</v>
      </c>
      <c r="D19" s="70"/>
      <c r="E19" s="70">
        <v>8.4</v>
      </c>
      <c r="F19" s="70"/>
      <c r="G19" s="70">
        <v>1.47</v>
      </c>
      <c r="H19" s="70">
        <v>1.47</v>
      </c>
      <c r="I19" s="70"/>
    </row>
    <row r="20" spans="1:9" x14ac:dyDescent="0.25">
      <c r="A20" s="173"/>
      <c r="B20" s="21" t="s">
        <v>294</v>
      </c>
      <c r="C20" s="69">
        <f>SUM(D20:I20)</f>
        <v>4.8600000000000003</v>
      </c>
      <c r="D20" s="70"/>
      <c r="E20" s="70">
        <v>3.6</v>
      </c>
      <c r="F20" s="70"/>
      <c r="G20" s="70">
        <v>0.63</v>
      </c>
      <c r="H20" s="70">
        <v>0.63</v>
      </c>
      <c r="I20" s="70"/>
    </row>
    <row r="21" spans="1:9" x14ac:dyDescent="0.25">
      <c r="A21" s="173"/>
      <c r="B21" s="21" t="s">
        <v>295</v>
      </c>
      <c r="C21" s="70"/>
      <c r="D21" s="70"/>
      <c r="E21" s="70"/>
      <c r="F21" s="70"/>
      <c r="G21" s="70"/>
      <c r="H21" s="70"/>
      <c r="I21" s="70"/>
    </row>
    <row r="22" spans="1:9" x14ac:dyDescent="0.25">
      <c r="A22" s="173" t="s">
        <v>126</v>
      </c>
      <c r="B22" s="21" t="s">
        <v>403</v>
      </c>
      <c r="C22" s="69">
        <f>SUM(D22:I22)</f>
        <v>247</v>
      </c>
      <c r="D22" s="69">
        <f t="shared" ref="D22:I22" si="3">D23+D24+D26</f>
        <v>0</v>
      </c>
      <c r="E22" s="69">
        <f>SUM(E23:E26)</f>
        <v>12</v>
      </c>
      <c r="F22" s="69">
        <f t="shared" si="3"/>
        <v>0</v>
      </c>
      <c r="G22" s="69">
        <f>SUM(G23:G26)</f>
        <v>100</v>
      </c>
      <c r="H22" s="69">
        <f>SUM(H23:H26)</f>
        <v>135</v>
      </c>
      <c r="I22" s="69">
        <f t="shared" si="3"/>
        <v>0</v>
      </c>
    </row>
    <row r="23" spans="1:9" x14ac:dyDescent="0.25">
      <c r="A23" s="173"/>
      <c r="B23" s="21" t="s">
        <v>292</v>
      </c>
      <c r="C23" s="69">
        <f>SUM(D23:I23)</f>
        <v>232.65</v>
      </c>
      <c r="D23" s="69"/>
      <c r="E23" s="69"/>
      <c r="F23" s="69"/>
      <c r="G23" s="69">
        <v>99</v>
      </c>
      <c r="H23" s="69">
        <v>133.65</v>
      </c>
      <c r="I23" s="69"/>
    </row>
    <row r="24" spans="1:9" x14ac:dyDescent="0.25">
      <c r="A24" s="173"/>
      <c r="B24" s="21" t="s">
        <v>293</v>
      </c>
      <c r="C24" s="69">
        <f>SUM(D24:I24)</f>
        <v>10.049999999999999</v>
      </c>
      <c r="D24" s="69"/>
      <c r="E24" s="69">
        <v>8.4</v>
      </c>
      <c r="F24" s="69"/>
      <c r="G24" s="69">
        <v>0.7</v>
      </c>
      <c r="H24" s="69">
        <v>0.95</v>
      </c>
      <c r="I24" s="69"/>
    </row>
    <row r="25" spans="1:9" x14ac:dyDescent="0.25">
      <c r="A25" s="173"/>
      <c r="B25" s="21" t="s">
        <v>294</v>
      </c>
      <c r="C25" s="69">
        <f>SUM(D25:I25)</f>
        <v>4.3</v>
      </c>
      <c r="D25" s="70"/>
      <c r="E25" s="70">
        <v>3.6</v>
      </c>
      <c r="F25" s="70"/>
      <c r="G25" s="70">
        <v>0.3</v>
      </c>
      <c r="H25" s="70">
        <v>0.4</v>
      </c>
      <c r="I25" s="70"/>
    </row>
    <row r="26" spans="1:9" x14ac:dyDescent="0.25">
      <c r="A26" s="173"/>
      <c r="B26" s="21" t="s">
        <v>295</v>
      </c>
      <c r="C26" s="70"/>
      <c r="D26" s="69"/>
      <c r="E26" s="69"/>
      <c r="F26" s="69"/>
      <c r="G26" s="69"/>
      <c r="H26" s="69"/>
      <c r="I26" s="69"/>
    </row>
    <row r="27" spans="1:9" x14ac:dyDescent="0.25">
      <c r="A27" s="173" t="s">
        <v>97</v>
      </c>
      <c r="B27" s="21" t="s">
        <v>403</v>
      </c>
      <c r="C27" s="69">
        <f>SUM(D27:I27)</f>
        <v>1522.5</v>
      </c>
      <c r="D27" s="69">
        <f t="shared" ref="D27" si="4">SUM(D28:D29)</f>
        <v>0</v>
      </c>
      <c r="E27" s="69">
        <f>SUM(E28:E31)</f>
        <v>322.49999999999994</v>
      </c>
      <c r="F27" s="69">
        <f t="shared" ref="F27:I27" si="5">SUM(F28:F31)</f>
        <v>300</v>
      </c>
      <c r="G27" s="69">
        <f t="shared" si="5"/>
        <v>300</v>
      </c>
      <c r="H27" s="69">
        <f t="shared" si="5"/>
        <v>300</v>
      </c>
      <c r="I27" s="69">
        <f t="shared" si="5"/>
        <v>300</v>
      </c>
    </row>
    <row r="28" spans="1:9" x14ac:dyDescent="0.25">
      <c r="A28" s="173"/>
      <c r="B28" s="21" t="s">
        <v>292</v>
      </c>
      <c r="C28" s="69">
        <f t="shared" ref="C28:C31" si="6">SUM(D28:I28)</f>
        <v>0</v>
      </c>
      <c r="D28" s="69"/>
      <c r="E28" s="69"/>
      <c r="F28" s="69"/>
      <c r="G28" s="69"/>
      <c r="H28" s="69"/>
      <c r="I28" s="69"/>
    </row>
    <row r="29" spans="1:9" x14ac:dyDescent="0.25">
      <c r="A29" s="173"/>
      <c r="B29" s="21" t="s">
        <v>293</v>
      </c>
      <c r="C29" s="69">
        <f t="shared" si="6"/>
        <v>1431.4</v>
      </c>
      <c r="D29" s="69"/>
      <c r="E29" s="69">
        <v>303.39999999999998</v>
      </c>
      <c r="F29" s="69">
        <v>282</v>
      </c>
      <c r="G29" s="69">
        <v>282</v>
      </c>
      <c r="H29" s="69">
        <v>282</v>
      </c>
      <c r="I29" s="69">
        <v>282</v>
      </c>
    </row>
    <row r="30" spans="1:9" x14ac:dyDescent="0.25">
      <c r="A30" s="173"/>
      <c r="B30" s="21" t="s">
        <v>294</v>
      </c>
      <c r="C30" s="69">
        <f t="shared" si="6"/>
        <v>75.900000000000006</v>
      </c>
      <c r="D30" s="70"/>
      <c r="E30" s="70">
        <v>15.9</v>
      </c>
      <c r="F30" s="70">
        <v>15</v>
      </c>
      <c r="G30" s="70">
        <v>15</v>
      </c>
      <c r="H30" s="70">
        <v>15</v>
      </c>
      <c r="I30" s="70">
        <v>15</v>
      </c>
    </row>
    <row r="31" spans="1:9" x14ac:dyDescent="0.25">
      <c r="A31" s="173"/>
      <c r="B31" s="21" t="s">
        <v>295</v>
      </c>
      <c r="C31" s="69">
        <f t="shared" si="6"/>
        <v>15.2</v>
      </c>
      <c r="D31" s="69"/>
      <c r="E31" s="69">
        <v>3.2</v>
      </c>
      <c r="F31" s="69">
        <v>3</v>
      </c>
      <c r="G31" s="69">
        <v>3</v>
      </c>
      <c r="H31" s="69">
        <v>3</v>
      </c>
      <c r="I31" s="69">
        <v>3</v>
      </c>
    </row>
    <row r="32" spans="1:9" x14ac:dyDescent="0.25">
      <c r="A32" s="178" t="s">
        <v>152</v>
      </c>
      <c r="B32" s="15" t="s">
        <v>403</v>
      </c>
      <c r="C32" s="69">
        <f>SUM(D32:I32)</f>
        <v>745</v>
      </c>
      <c r="D32" s="69"/>
      <c r="E32" s="69"/>
      <c r="F32" s="69">
        <f t="shared" ref="F32:G32" si="7">F33+F34+F35+F36</f>
        <v>284.00000000000006</v>
      </c>
      <c r="G32" s="69">
        <f t="shared" si="7"/>
        <v>185</v>
      </c>
      <c r="H32" s="69">
        <f>H33+H34+H35+H36</f>
        <v>276</v>
      </c>
      <c r="I32" s="69"/>
    </row>
    <row r="33" spans="1:11" x14ac:dyDescent="0.25">
      <c r="A33" s="178"/>
      <c r="B33" s="15" t="s">
        <v>292</v>
      </c>
      <c r="C33" s="69">
        <f>SUM(D33:I33)</f>
        <v>737.55000000000007</v>
      </c>
      <c r="D33" s="69"/>
      <c r="E33" s="69"/>
      <c r="F33" s="69">
        <v>281.16000000000003</v>
      </c>
      <c r="G33" s="69">
        <v>183.15</v>
      </c>
      <c r="H33" s="69">
        <v>273.24</v>
      </c>
      <c r="I33" s="69"/>
    </row>
    <row r="34" spans="1:11" x14ac:dyDescent="0.25">
      <c r="A34" s="178"/>
      <c r="B34" s="15" t="s">
        <v>293</v>
      </c>
      <c r="C34" s="69">
        <f>SUM(D34:I34)</f>
        <v>5.21</v>
      </c>
      <c r="D34" s="69"/>
      <c r="E34" s="69"/>
      <c r="F34" s="69">
        <v>1.99</v>
      </c>
      <c r="G34" s="69">
        <v>1.29</v>
      </c>
      <c r="H34" s="69">
        <v>1.93</v>
      </c>
      <c r="I34" s="69"/>
    </row>
    <row r="35" spans="1:11" x14ac:dyDescent="0.25">
      <c r="A35" s="178"/>
      <c r="B35" s="15" t="s">
        <v>294</v>
      </c>
      <c r="C35" s="69">
        <f>SUM(D35:I35)</f>
        <v>2.2400000000000002</v>
      </c>
      <c r="D35" s="70"/>
      <c r="E35" s="70"/>
      <c r="F35" s="70">
        <v>0.85</v>
      </c>
      <c r="G35" s="70">
        <v>0.56000000000000005</v>
      </c>
      <c r="H35" s="70">
        <v>0.83</v>
      </c>
      <c r="I35" s="70"/>
    </row>
    <row r="36" spans="1:11" x14ac:dyDescent="0.25">
      <c r="A36" s="178"/>
      <c r="B36" s="15" t="s">
        <v>295</v>
      </c>
      <c r="C36" s="70"/>
      <c r="D36" s="69"/>
      <c r="E36" s="69"/>
      <c r="F36" s="69"/>
      <c r="G36" s="69"/>
      <c r="H36" s="69"/>
      <c r="I36" s="69"/>
    </row>
    <row r="37" spans="1:11" collapsed="1" x14ac:dyDescent="0.25">
      <c r="A37" s="179" t="s">
        <v>119</v>
      </c>
      <c r="B37" s="21" t="s">
        <v>403</v>
      </c>
      <c r="C37" s="10">
        <f>SUMIF($B$7:$B$36,"Всего*",C$7:C$36)</f>
        <v>3858.5</v>
      </c>
      <c r="D37" s="10">
        <f t="shared" ref="D37:I37" si="8">SUMIF($B$7:$B$36,"Всего*",D$7:D$36)</f>
        <v>0</v>
      </c>
      <c r="E37" s="10">
        <f t="shared" si="8"/>
        <v>358.49999999999994</v>
      </c>
      <c r="F37" s="10">
        <f t="shared" si="8"/>
        <v>784</v>
      </c>
      <c r="G37" s="10">
        <f t="shared" si="8"/>
        <v>1295</v>
      </c>
      <c r="H37" s="10">
        <f t="shared" si="8"/>
        <v>1121</v>
      </c>
      <c r="I37" s="10">
        <f t="shared" si="8"/>
        <v>300</v>
      </c>
      <c r="J37" s="64"/>
      <c r="K37" s="64"/>
    </row>
    <row r="38" spans="1:11" x14ac:dyDescent="0.25">
      <c r="A38" s="179"/>
      <c r="B38" s="21" t="s">
        <v>292</v>
      </c>
      <c r="C38" s="10">
        <f>SUMIF($B$7:$B$36,"фед*",C$7:C$36)</f>
        <v>2277</v>
      </c>
      <c r="D38" s="10">
        <f t="shared" ref="D38:I38" si="9">SUMIF($B$7:$B$36,"фед*",D$7:D$36)</f>
        <v>0</v>
      </c>
      <c r="E38" s="10">
        <f t="shared" si="9"/>
        <v>0</v>
      </c>
      <c r="F38" s="10">
        <f t="shared" si="9"/>
        <v>479.16</v>
      </c>
      <c r="G38" s="10">
        <f t="shared" si="9"/>
        <v>985.05</v>
      </c>
      <c r="H38" s="10">
        <f t="shared" si="9"/>
        <v>812.79</v>
      </c>
      <c r="I38" s="10">
        <f t="shared" si="9"/>
        <v>0</v>
      </c>
      <c r="J38" s="64"/>
    </row>
    <row r="39" spans="1:11" x14ac:dyDescent="0.25">
      <c r="A39" s="179"/>
      <c r="B39" s="21" t="s">
        <v>293</v>
      </c>
      <c r="C39" s="10">
        <f>SUMIF($B$7:$B$36,"респ*",C$7:C$36)</f>
        <v>1472.7</v>
      </c>
      <c r="D39" s="10">
        <f t="shared" ref="D39:I39" si="10">SUMIF($B$7:$B$36,"респ*",D$7:D$36)</f>
        <v>0</v>
      </c>
      <c r="E39" s="10">
        <f t="shared" si="10"/>
        <v>328.59999999999997</v>
      </c>
      <c r="F39" s="10">
        <f t="shared" si="10"/>
        <v>285.39</v>
      </c>
      <c r="G39" s="10">
        <f t="shared" si="10"/>
        <v>288.96000000000004</v>
      </c>
      <c r="H39" s="10">
        <f t="shared" si="10"/>
        <v>287.75</v>
      </c>
      <c r="I39" s="10">
        <f t="shared" si="10"/>
        <v>282</v>
      </c>
      <c r="J39" s="64"/>
    </row>
    <row r="40" spans="1:11" x14ac:dyDescent="0.25">
      <c r="A40" s="179"/>
      <c r="B40" s="21" t="s">
        <v>294</v>
      </c>
      <c r="C40" s="10">
        <f>SUMIF($B$7:$B$36,"муниц*",C$7:C$36)</f>
        <v>93.600000000000009</v>
      </c>
      <c r="D40" s="10">
        <f t="shared" ref="D40:I40" si="11">SUMIF($B$7:$B$36,"муниц*",D$7:D$36)</f>
        <v>0</v>
      </c>
      <c r="E40" s="10">
        <f t="shared" si="11"/>
        <v>26.700000000000003</v>
      </c>
      <c r="F40" s="10">
        <f t="shared" si="11"/>
        <v>16.45</v>
      </c>
      <c r="G40" s="10">
        <f t="shared" si="11"/>
        <v>17.989999999999998</v>
      </c>
      <c r="H40" s="10">
        <f t="shared" si="11"/>
        <v>17.459999999999997</v>
      </c>
      <c r="I40" s="10">
        <f t="shared" si="11"/>
        <v>15</v>
      </c>
      <c r="J40" s="64"/>
    </row>
    <row r="41" spans="1:11" x14ac:dyDescent="0.25">
      <c r="A41" s="179"/>
      <c r="B41" s="21" t="s">
        <v>295</v>
      </c>
      <c r="C41" s="10">
        <f>SUMIF($B$7:$B$36,"вне*",C$7:C$36)</f>
        <v>15.2</v>
      </c>
      <c r="D41" s="10">
        <f t="shared" ref="D41:I41" si="12">SUMIF($B$7:$B$36,"вне*",D$7:D$36)</f>
        <v>0</v>
      </c>
      <c r="E41" s="10">
        <f t="shared" si="12"/>
        <v>3.2</v>
      </c>
      <c r="F41" s="10">
        <f t="shared" si="12"/>
        <v>3</v>
      </c>
      <c r="G41" s="10">
        <f t="shared" si="12"/>
        <v>3</v>
      </c>
      <c r="H41" s="10">
        <f t="shared" si="12"/>
        <v>3</v>
      </c>
      <c r="I41" s="10">
        <f t="shared" si="12"/>
        <v>3</v>
      </c>
    </row>
    <row r="42" spans="1:11" x14ac:dyDescent="0.25">
      <c r="A42" s="176" t="s">
        <v>7</v>
      </c>
      <c r="B42" s="176"/>
      <c r="C42" s="176"/>
      <c r="D42" s="176"/>
      <c r="E42" s="176"/>
      <c r="F42" s="176"/>
      <c r="G42" s="176"/>
      <c r="H42" s="176"/>
      <c r="I42" s="176"/>
    </row>
    <row r="43" spans="1:11" s="12" customFormat="1" x14ac:dyDescent="0.25">
      <c r="A43" s="177" t="s">
        <v>284</v>
      </c>
      <c r="B43" s="22" t="s">
        <v>403</v>
      </c>
      <c r="C43" s="3">
        <f t="shared" ref="C43:E43" si="13">C44+C45+C46+C47</f>
        <v>2236.1999999999998</v>
      </c>
      <c r="D43" s="3">
        <f t="shared" si="13"/>
        <v>527</v>
      </c>
      <c r="E43" s="3">
        <f t="shared" si="13"/>
        <v>805.7</v>
      </c>
      <c r="F43" s="3">
        <f>F44+F45+F46+F47</f>
        <v>903.5</v>
      </c>
      <c r="G43" s="3"/>
      <c r="H43" s="3">
        <f>H44+H45+H47</f>
        <v>0</v>
      </c>
      <c r="I43" s="3">
        <f>I44+I45+I47</f>
        <v>0</v>
      </c>
    </row>
    <row r="44" spans="1:11" s="12" customFormat="1" x14ac:dyDescent="0.25">
      <c r="A44" s="177"/>
      <c r="B44" s="22" t="s">
        <v>292</v>
      </c>
      <c r="C44" s="3">
        <f>SUM(D44:I44)</f>
        <v>740.40000000000009</v>
      </c>
      <c r="D44" s="3">
        <v>292.8</v>
      </c>
      <c r="E44" s="3">
        <v>447.6</v>
      </c>
      <c r="F44" s="3"/>
      <c r="G44" s="3"/>
      <c r="H44" s="3"/>
      <c r="I44" s="3"/>
    </row>
    <row r="45" spans="1:11" s="12" customFormat="1" x14ac:dyDescent="0.25">
      <c r="A45" s="177"/>
      <c r="B45" s="22" t="s">
        <v>293</v>
      </c>
      <c r="C45" s="3">
        <f>SUM(D45:I45)</f>
        <v>1196.6999999999998</v>
      </c>
      <c r="D45" s="3">
        <v>187.4</v>
      </c>
      <c r="E45" s="3">
        <v>286.5</v>
      </c>
      <c r="F45" s="3">
        <v>722.8</v>
      </c>
      <c r="G45" s="3"/>
      <c r="H45" s="3"/>
      <c r="I45" s="3"/>
    </row>
    <row r="46" spans="1:11" x14ac:dyDescent="0.25">
      <c r="A46" s="177"/>
      <c r="B46" s="21" t="s">
        <v>294</v>
      </c>
      <c r="C46" s="3">
        <f>D46+E46+F46</f>
        <v>299.09999999999997</v>
      </c>
      <c r="D46" s="9">
        <v>46.8</v>
      </c>
      <c r="E46" s="9">
        <v>71.599999999999994</v>
      </c>
      <c r="F46" s="9">
        <v>180.7</v>
      </c>
      <c r="G46" s="9"/>
      <c r="H46" s="9"/>
      <c r="I46" s="9"/>
    </row>
    <row r="47" spans="1:11" s="12" customFormat="1" x14ac:dyDescent="0.25">
      <c r="A47" s="177"/>
      <c r="B47" s="22" t="s">
        <v>295</v>
      </c>
      <c r="C47" s="9"/>
      <c r="D47" s="3"/>
      <c r="E47" s="3"/>
      <c r="F47" s="3"/>
      <c r="G47" s="3"/>
      <c r="H47" s="3"/>
      <c r="I47" s="3"/>
    </row>
    <row r="48" spans="1:11" s="12" customFormat="1" x14ac:dyDescent="0.25">
      <c r="A48" s="177" t="s">
        <v>61</v>
      </c>
      <c r="B48" s="22" t="s">
        <v>403</v>
      </c>
      <c r="C48" s="3">
        <f>C49+C50+C51+C52</f>
        <v>8000</v>
      </c>
      <c r="D48" s="3">
        <f>D49+D50+D52</f>
        <v>0</v>
      </c>
      <c r="E48" s="3">
        <f>E49+E50+E52</f>
        <v>0</v>
      </c>
      <c r="F48" s="3"/>
      <c r="G48" s="3"/>
      <c r="H48" s="3">
        <f>H49+H50+H51+H52</f>
        <v>4000</v>
      </c>
      <c r="I48" s="3">
        <f>I49+I50+I51+I52</f>
        <v>4000</v>
      </c>
    </row>
    <row r="49" spans="1:9" s="12" customFormat="1" x14ac:dyDescent="0.25">
      <c r="A49" s="177"/>
      <c r="B49" s="22" t="s">
        <v>292</v>
      </c>
      <c r="C49" s="3">
        <f>SUM(D49:I49)</f>
        <v>7200</v>
      </c>
      <c r="D49" s="3"/>
      <c r="E49" s="3"/>
      <c r="F49" s="3"/>
      <c r="G49" s="3"/>
      <c r="H49" s="3">
        <v>3600</v>
      </c>
      <c r="I49" s="3">
        <v>3600</v>
      </c>
    </row>
    <row r="50" spans="1:9" s="12" customFormat="1" x14ac:dyDescent="0.25">
      <c r="A50" s="177"/>
      <c r="B50" s="22" t="s">
        <v>293</v>
      </c>
      <c r="C50" s="3">
        <f>SUM(D50:I50)</f>
        <v>640</v>
      </c>
      <c r="D50" s="3"/>
      <c r="E50" s="3"/>
      <c r="F50" s="3"/>
      <c r="G50" s="3"/>
      <c r="H50" s="3">
        <v>320</v>
      </c>
      <c r="I50" s="3">
        <v>320</v>
      </c>
    </row>
    <row r="51" spans="1:9" x14ac:dyDescent="0.25">
      <c r="A51" s="177"/>
      <c r="B51" s="21" t="s">
        <v>294</v>
      </c>
      <c r="C51" s="3">
        <f>SUM(D51:I51)</f>
        <v>160</v>
      </c>
      <c r="D51" s="9"/>
      <c r="E51" s="9"/>
      <c r="F51" s="9"/>
      <c r="G51" s="9"/>
      <c r="H51" s="9">
        <v>80</v>
      </c>
      <c r="I51" s="9">
        <v>80</v>
      </c>
    </row>
    <row r="52" spans="1:9" s="12" customFormat="1" x14ac:dyDescent="0.25">
      <c r="A52" s="177"/>
      <c r="B52" s="22" t="s">
        <v>295</v>
      </c>
      <c r="C52" s="9"/>
      <c r="D52" s="3"/>
      <c r="E52" s="3"/>
      <c r="F52" s="3"/>
      <c r="G52" s="3"/>
      <c r="H52" s="3"/>
      <c r="I52" s="3"/>
    </row>
    <row r="53" spans="1:9" s="12" customFormat="1" x14ac:dyDescent="0.25">
      <c r="A53" s="173" t="s">
        <v>40</v>
      </c>
      <c r="B53" s="22" t="s">
        <v>403</v>
      </c>
      <c r="C53" s="3">
        <f>C54+C55+C56+C57</f>
        <v>1000</v>
      </c>
      <c r="D53" s="3"/>
      <c r="E53" s="3">
        <f>E54+E55+E57</f>
        <v>0</v>
      </c>
      <c r="F53" s="3">
        <f>F54+F55+F57</f>
        <v>0</v>
      </c>
      <c r="G53" s="3">
        <f t="shared" ref="G53:H53" si="14">G54+G55+G56+G57</f>
        <v>600</v>
      </c>
      <c r="H53" s="3">
        <f t="shared" si="14"/>
        <v>200</v>
      </c>
      <c r="I53" s="3">
        <f>I54+I55+I56+I57</f>
        <v>200</v>
      </c>
    </row>
    <row r="54" spans="1:9" s="12" customFormat="1" x14ac:dyDescent="0.25">
      <c r="A54" s="173"/>
      <c r="B54" s="22" t="s">
        <v>292</v>
      </c>
      <c r="C54" s="3">
        <f>SUM(D54:I54)</f>
        <v>500</v>
      </c>
      <c r="D54" s="9"/>
      <c r="E54" s="9"/>
      <c r="F54" s="9"/>
      <c r="G54" s="9">
        <v>300</v>
      </c>
      <c r="H54" s="9">
        <v>100</v>
      </c>
      <c r="I54" s="9">
        <v>100</v>
      </c>
    </row>
    <row r="55" spans="1:9" s="12" customFormat="1" x14ac:dyDescent="0.25">
      <c r="A55" s="173"/>
      <c r="B55" s="22" t="s">
        <v>293</v>
      </c>
      <c r="C55" s="3">
        <f>SUM(D55:I55)</f>
        <v>400</v>
      </c>
      <c r="D55" s="9"/>
      <c r="E55" s="9"/>
      <c r="F55" s="9"/>
      <c r="G55" s="9">
        <v>240</v>
      </c>
      <c r="H55" s="9">
        <v>80</v>
      </c>
      <c r="I55" s="9">
        <v>80</v>
      </c>
    </row>
    <row r="56" spans="1:9" x14ac:dyDescent="0.25">
      <c r="A56" s="173"/>
      <c r="B56" s="21" t="s">
        <v>294</v>
      </c>
      <c r="C56" s="3">
        <f>SUM(D56:I56)</f>
        <v>100</v>
      </c>
      <c r="D56" s="9"/>
      <c r="E56" s="9"/>
      <c r="F56" s="9"/>
      <c r="G56" s="9">
        <v>60</v>
      </c>
      <c r="H56" s="9">
        <v>20</v>
      </c>
      <c r="I56" s="9">
        <v>20</v>
      </c>
    </row>
    <row r="57" spans="1:9" s="12" customFormat="1" x14ac:dyDescent="0.25">
      <c r="A57" s="173"/>
      <c r="B57" s="22" t="s">
        <v>295</v>
      </c>
      <c r="C57" s="9"/>
      <c r="D57" s="9"/>
      <c r="E57" s="9"/>
      <c r="F57" s="9"/>
      <c r="G57" s="9"/>
      <c r="H57" s="9"/>
      <c r="I57" s="9"/>
    </row>
    <row r="58" spans="1:9" s="12" customFormat="1" x14ac:dyDescent="0.25">
      <c r="A58" s="173" t="s">
        <v>43</v>
      </c>
      <c r="B58" s="22" t="s">
        <v>403</v>
      </c>
      <c r="C58" s="3">
        <f>C59+C60+C61+C62</f>
        <v>1215</v>
      </c>
      <c r="D58" s="3"/>
      <c r="E58" s="3"/>
      <c r="F58" s="3">
        <f t="shared" ref="F58:H58" si="15">F59+F60+F61+F62</f>
        <v>15</v>
      </c>
      <c r="G58" s="3">
        <f t="shared" si="15"/>
        <v>400</v>
      </c>
      <c r="H58" s="3">
        <f t="shared" si="15"/>
        <v>400</v>
      </c>
      <c r="I58" s="3">
        <f>I59+I60+I61+I62</f>
        <v>400</v>
      </c>
    </row>
    <row r="59" spans="1:9" s="12" customFormat="1" x14ac:dyDescent="0.25">
      <c r="A59" s="173"/>
      <c r="B59" s="22" t="s">
        <v>292</v>
      </c>
      <c r="C59" s="3">
        <f>SUM(D59:I59)</f>
        <v>1080</v>
      </c>
      <c r="D59" s="9"/>
      <c r="E59" s="9"/>
      <c r="F59" s="9"/>
      <c r="G59" s="9">
        <v>360</v>
      </c>
      <c r="H59" s="9">
        <v>360</v>
      </c>
      <c r="I59" s="9">
        <v>360</v>
      </c>
    </row>
    <row r="60" spans="1:9" s="12" customFormat="1" x14ac:dyDescent="0.25">
      <c r="A60" s="173"/>
      <c r="B60" s="22" t="s">
        <v>293</v>
      </c>
      <c r="C60" s="3">
        <f>SUM(D60:I60)</f>
        <v>108</v>
      </c>
      <c r="D60" s="9"/>
      <c r="E60" s="9"/>
      <c r="F60" s="9">
        <v>12</v>
      </c>
      <c r="G60" s="9">
        <v>32</v>
      </c>
      <c r="H60" s="9">
        <v>32</v>
      </c>
      <c r="I60" s="9">
        <v>32</v>
      </c>
    </row>
    <row r="61" spans="1:9" x14ac:dyDescent="0.25">
      <c r="A61" s="173"/>
      <c r="B61" s="21" t="s">
        <v>294</v>
      </c>
      <c r="C61" s="3">
        <f>SUM(D61:I61)</f>
        <v>27</v>
      </c>
      <c r="D61" s="9"/>
      <c r="E61" s="9"/>
      <c r="F61" s="9">
        <v>3</v>
      </c>
      <c r="G61" s="9">
        <v>8</v>
      </c>
      <c r="H61" s="9">
        <v>8</v>
      </c>
      <c r="I61" s="9">
        <v>8</v>
      </c>
    </row>
    <row r="62" spans="1:9" s="12" customFormat="1" x14ac:dyDescent="0.25">
      <c r="A62" s="173"/>
      <c r="B62" s="22" t="s">
        <v>295</v>
      </c>
      <c r="C62" s="9"/>
      <c r="D62" s="9"/>
      <c r="E62" s="9"/>
      <c r="F62" s="9"/>
      <c r="G62" s="9"/>
      <c r="H62" s="9"/>
      <c r="I62" s="9"/>
    </row>
    <row r="63" spans="1:9" s="12" customFormat="1" x14ac:dyDescent="0.25">
      <c r="A63" s="173" t="s">
        <v>136</v>
      </c>
      <c r="B63" s="22" t="s">
        <v>403</v>
      </c>
      <c r="C63" s="3">
        <f>SUM(D63:I63)</f>
        <v>320</v>
      </c>
      <c r="D63" s="3">
        <f>D64+D65+D67</f>
        <v>0</v>
      </c>
      <c r="E63" s="3">
        <f t="shared" ref="E63:G63" si="16">E64+E65+E66+E67</f>
        <v>20</v>
      </c>
      <c r="F63" s="3">
        <f t="shared" si="16"/>
        <v>100</v>
      </c>
      <c r="G63" s="3">
        <f t="shared" si="16"/>
        <v>100</v>
      </c>
      <c r="H63" s="3">
        <f>H64+H65+H66+H67</f>
        <v>100</v>
      </c>
      <c r="I63" s="3">
        <v>0</v>
      </c>
    </row>
    <row r="64" spans="1:9" s="12" customFormat="1" x14ac:dyDescent="0.25">
      <c r="A64" s="173"/>
      <c r="B64" s="22" t="s">
        <v>292</v>
      </c>
      <c r="C64" s="3"/>
      <c r="D64" s="3"/>
      <c r="E64" s="3"/>
      <c r="F64" s="3"/>
      <c r="G64" s="3"/>
      <c r="H64" s="3"/>
      <c r="I64" s="3">
        <v>0</v>
      </c>
    </row>
    <row r="65" spans="1:9" s="12" customFormat="1" x14ac:dyDescent="0.25">
      <c r="A65" s="173"/>
      <c r="B65" s="22" t="s">
        <v>293</v>
      </c>
      <c r="C65" s="3">
        <f>SUM(D65:I65)</f>
        <v>256</v>
      </c>
      <c r="D65" s="3"/>
      <c r="E65" s="3">
        <v>16</v>
      </c>
      <c r="F65" s="3">
        <v>80</v>
      </c>
      <c r="G65" s="3">
        <v>80</v>
      </c>
      <c r="H65" s="3">
        <v>80</v>
      </c>
      <c r="I65" s="3">
        <v>0</v>
      </c>
    </row>
    <row r="66" spans="1:9" x14ac:dyDescent="0.25">
      <c r="A66" s="173"/>
      <c r="B66" s="21" t="s">
        <v>294</v>
      </c>
      <c r="C66" s="3">
        <f>SUM(D66:I66)</f>
        <v>64</v>
      </c>
      <c r="D66" s="9"/>
      <c r="E66" s="9">
        <v>4</v>
      </c>
      <c r="F66" s="9">
        <v>20</v>
      </c>
      <c r="G66" s="9">
        <v>20</v>
      </c>
      <c r="H66" s="9">
        <v>20</v>
      </c>
      <c r="I66" s="9"/>
    </row>
    <row r="67" spans="1:9" s="12" customFormat="1" x14ac:dyDescent="0.25">
      <c r="A67" s="173"/>
      <c r="B67" s="22" t="s">
        <v>295</v>
      </c>
      <c r="C67" s="9"/>
      <c r="D67" s="3"/>
      <c r="E67" s="3"/>
      <c r="F67" s="3"/>
      <c r="G67" s="3"/>
      <c r="H67" s="3"/>
      <c r="I67" s="3"/>
    </row>
    <row r="68" spans="1:9" s="12" customFormat="1" x14ac:dyDescent="0.25">
      <c r="A68" s="173" t="s">
        <v>47</v>
      </c>
      <c r="B68" s="22" t="s">
        <v>403</v>
      </c>
      <c r="C68" s="3">
        <f t="shared" ref="C68:C76" si="17">SUM(D68:I68)</f>
        <v>1500</v>
      </c>
      <c r="D68" s="3">
        <f>D69+D70+D72</f>
        <v>0</v>
      </c>
      <c r="E68" s="3">
        <v>500</v>
      </c>
      <c r="F68" s="3">
        <v>500</v>
      </c>
      <c r="G68" s="3">
        <v>500</v>
      </c>
      <c r="H68" s="3">
        <f>H69+H70+H72</f>
        <v>0</v>
      </c>
      <c r="I68" s="3">
        <f>I69+I70+I72</f>
        <v>0</v>
      </c>
    </row>
    <row r="69" spans="1:9" s="12" customFormat="1" x14ac:dyDescent="0.25">
      <c r="A69" s="173"/>
      <c r="B69" s="22" t="s">
        <v>292</v>
      </c>
      <c r="C69" s="3">
        <f t="shared" si="17"/>
        <v>1500</v>
      </c>
      <c r="D69" s="3"/>
      <c r="E69" s="3">
        <v>500</v>
      </c>
      <c r="F69" s="3">
        <v>500</v>
      </c>
      <c r="G69" s="3">
        <v>500</v>
      </c>
      <c r="H69" s="3">
        <v>0</v>
      </c>
      <c r="I69" s="3">
        <v>0</v>
      </c>
    </row>
    <row r="70" spans="1:9" s="12" customFormat="1" x14ac:dyDescent="0.25">
      <c r="A70" s="173"/>
      <c r="B70" s="22" t="s">
        <v>293</v>
      </c>
      <c r="C70" s="3">
        <f t="shared" si="17"/>
        <v>0</v>
      </c>
      <c r="D70" s="3"/>
      <c r="E70" s="3"/>
      <c r="F70" s="3"/>
      <c r="G70" s="3"/>
      <c r="H70" s="3"/>
      <c r="I70" s="3"/>
    </row>
    <row r="71" spans="1:9" x14ac:dyDescent="0.25">
      <c r="A71" s="173"/>
      <c r="B71" s="21" t="s">
        <v>294</v>
      </c>
      <c r="C71" s="3"/>
      <c r="D71" s="9"/>
      <c r="E71" s="9"/>
      <c r="F71" s="9"/>
      <c r="G71" s="9"/>
      <c r="H71" s="9"/>
      <c r="I71" s="9"/>
    </row>
    <row r="72" spans="1:9" s="12" customFormat="1" x14ac:dyDescent="0.25">
      <c r="A72" s="173"/>
      <c r="B72" s="22" t="s">
        <v>295</v>
      </c>
      <c r="C72" s="3">
        <f t="shared" si="17"/>
        <v>0</v>
      </c>
      <c r="D72" s="3"/>
      <c r="E72" s="3"/>
      <c r="F72" s="3"/>
      <c r="G72" s="3"/>
      <c r="H72" s="3"/>
      <c r="I72" s="3"/>
    </row>
    <row r="73" spans="1:9" s="12" customFormat="1" x14ac:dyDescent="0.25">
      <c r="A73" s="178" t="s">
        <v>49</v>
      </c>
      <c r="B73" s="22" t="s">
        <v>403</v>
      </c>
      <c r="C73" s="3">
        <f t="shared" si="17"/>
        <v>50</v>
      </c>
      <c r="D73" s="3">
        <v>0</v>
      </c>
      <c r="E73" s="3">
        <f>E74+E75+E76+E77</f>
        <v>50</v>
      </c>
      <c r="F73" s="3">
        <f>F74+F75+F77</f>
        <v>0</v>
      </c>
      <c r="G73" s="3">
        <f>G74+G75+G77</f>
        <v>0</v>
      </c>
      <c r="H73" s="3">
        <f>H74+H75+H77</f>
        <v>0</v>
      </c>
      <c r="I73" s="3">
        <f>I74+I75+I77</f>
        <v>0</v>
      </c>
    </row>
    <row r="74" spans="1:9" s="12" customFormat="1" x14ac:dyDescent="0.25">
      <c r="A74" s="178"/>
      <c r="B74" s="22" t="s">
        <v>292</v>
      </c>
      <c r="C74" s="3">
        <f t="shared" si="17"/>
        <v>45</v>
      </c>
      <c r="D74" s="3"/>
      <c r="E74" s="3">
        <v>45</v>
      </c>
      <c r="F74" s="3"/>
      <c r="G74" s="3"/>
      <c r="H74" s="3"/>
      <c r="I74" s="3"/>
    </row>
    <row r="75" spans="1:9" s="12" customFormat="1" x14ac:dyDescent="0.25">
      <c r="A75" s="178"/>
      <c r="B75" s="22" t="s">
        <v>293</v>
      </c>
      <c r="C75" s="3">
        <f t="shared" si="17"/>
        <v>4</v>
      </c>
      <c r="D75" s="3"/>
      <c r="E75" s="3">
        <v>4</v>
      </c>
      <c r="F75" s="3"/>
      <c r="G75" s="3"/>
      <c r="H75" s="3"/>
      <c r="I75" s="3"/>
    </row>
    <row r="76" spans="1:9" x14ac:dyDescent="0.25">
      <c r="A76" s="178"/>
      <c r="B76" s="21" t="s">
        <v>294</v>
      </c>
      <c r="C76" s="3">
        <f t="shared" si="17"/>
        <v>1</v>
      </c>
      <c r="D76" s="9"/>
      <c r="E76" s="9">
        <v>1</v>
      </c>
      <c r="F76" s="9"/>
      <c r="G76" s="9"/>
      <c r="H76" s="9"/>
      <c r="I76" s="9"/>
    </row>
    <row r="77" spans="1:9" s="12" customFormat="1" x14ac:dyDescent="0.25">
      <c r="A77" s="178"/>
      <c r="B77" s="22" t="s">
        <v>295</v>
      </c>
      <c r="C77" s="3"/>
      <c r="D77" s="3"/>
      <c r="E77" s="3"/>
      <c r="F77" s="3"/>
      <c r="G77" s="3"/>
      <c r="H77" s="3"/>
      <c r="I77" s="3"/>
    </row>
    <row r="78" spans="1:9" s="12" customFormat="1" x14ac:dyDescent="0.25">
      <c r="A78" s="177" t="s">
        <v>52</v>
      </c>
      <c r="B78" s="22" t="s">
        <v>403</v>
      </c>
      <c r="C78" s="3">
        <f>SUM(D78:I78)</f>
        <v>1000</v>
      </c>
      <c r="D78" s="3">
        <f t="shared" ref="D78:I78" si="18">D79+D80+D82</f>
        <v>0</v>
      </c>
      <c r="E78" s="3">
        <f t="shared" ref="E78:F78" si="19">E79+E80+E81+E82</f>
        <v>250</v>
      </c>
      <c r="F78" s="3">
        <f t="shared" si="19"/>
        <v>250</v>
      </c>
      <c r="G78" s="3">
        <f>G79+G80+G81+G82</f>
        <v>500</v>
      </c>
      <c r="H78" s="3">
        <f t="shared" si="18"/>
        <v>0</v>
      </c>
      <c r="I78" s="3">
        <f t="shared" si="18"/>
        <v>0</v>
      </c>
    </row>
    <row r="79" spans="1:9" s="12" customFormat="1" x14ac:dyDescent="0.25">
      <c r="A79" s="177"/>
      <c r="B79" s="22" t="s">
        <v>292</v>
      </c>
      <c r="C79" s="3">
        <f>SUM(D79:I79)</f>
        <v>900</v>
      </c>
      <c r="D79" s="3"/>
      <c r="E79" s="3">
        <v>225</v>
      </c>
      <c r="F79" s="3">
        <v>225</v>
      </c>
      <c r="G79" s="3">
        <v>450</v>
      </c>
      <c r="H79" s="3"/>
      <c r="I79" s="3"/>
    </row>
    <row r="80" spans="1:9" s="12" customFormat="1" x14ac:dyDescent="0.25">
      <c r="A80" s="177"/>
      <c r="B80" s="22" t="s">
        <v>293</v>
      </c>
      <c r="C80" s="3">
        <f>SUM(D80:I80)</f>
        <v>80</v>
      </c>
      <c r="D80" s="3"/>
      <c r="E80" s="3">
        <v>20</v>
      </c>
      <c r="F80" s="3">
        <v>20</v>
      </c>
      <c r="G80" s="3">
        <v>40</v>
      </c>
      <c r="H80" s="3"/>
      <c r="I80" s="3"/>
    </row>
    <row r="81" spans="1:9" x14ac:dyDescent="0.25">
      <c r="A81" s="177"/>
      <c r="B81" s="21" t="s">
        <v>294</v>
      </c>
      <c r="C81" s="3">
        <f>SUM(D81:I81)</f>
        <v>20</v>
      </c>
      <c r="D81" s="9"/>
      <c r="E81" s="9">
        <v>5</v>
      </c>
      <c r="F81" s="9">
        <v>5</v>
      </c>
      <c r="G81" s="9">
        <v>10</v>
      </c>
      <c r="H81" s="9"/>
      <c r="I81" s="9"/>
    </row>
    <row r="82" spans="1:9" s="12" customFormat="1" x14ac:dyDescent="0.25">
      <c r="A82" s="177"/>
      <c r="B82" s="22" t="s">
        <v>295</v>
      </c>
      <c r="C82" s="3"/>
      <c r="D82" s="3"/>
      <c r="E82" s="3"/>
      <c r="F82" s="3"/>
      <c r="G82" s="3"/>
      <c r="H82" s="3"/>
      <c r="I82" s="3"/>
    </row>
    <row r="83" spans="1:9" s="12" customFormat="1" x14ac:dyDescent="0.25">
      <c r="A83" s="177" t="s">
        <v>54</v>
      </c>
      <c r="B83" s="22" t="s">
        <v>403</v>
      </c>
      <c r="C83" s="3">
        <f>SUM(D83:I83)</f>
        <v>133.38999999999999</v>
      </c>
      <c r="D83" s="3">
        <f t="shared" ref="D83:I83" si="20">D84+D85+D87</f>
        <v>0</v>
      </c>
      <c r="E83" s="3">
        <f t="shared" si="20"/>
        <v>0</v>
      </c>
      <c r="F83" s="3">
        <f t="shared" si="20"/>
        <v>0</v>
      </c>
      <c r="G83" s="3">
        <f>G84+G85+G86+G87</f>
        <v>133.38999999999999</v>
      </c>
      <c r="H83" s="3">
        <f t="shared" si="20"/>
        <v>0</v>
      </c>
      <c r="I83" s="3">
        <f t="shared" si="20"/>
        <v>0</v>
      </c>
    </row>
    <row r="84" spans="1:9" s="12" customFormat="1" x14ac:dyDescent="0.25">
      <c r="A84" s="177"/>
      <c r="B84" s="22" t="s">
        <v>292</v>
      </c>
      <c r="C84" s="3">
        <f>SUM(D84:I84)</f>
        <v>120.05</v>
      </c>
      <c r="D84" s="3"/>
      <c r="E84" s="3"/>
      <c r="F84" s="3"/>
      <c r="G84" s="3">
        <v>120.05</v>
      </c>
      <c r="H84" s="3"/>
      <c r="I84" s="3"/>
    </row>
    <row r="85" spans="1:9" s="12" customFormat="1" x14ac:dyDescent="0.25">
      <c r="A85" s="177"/>
      <c r="B85" s="22" t="s">
        <v>293</v>
      </c>
      <c r="C85" s="3">
        <f>SUM(D85:I85)</f>
        <v>10.67</v>
      </c>
      <c r="D85" s="3"/>
      <c r="E85" s="3"/>
      <c r="F85" s="3"/>
      <c r="G85" s="3">
        <v>10.67</v>
      </c>
      <c r="H85" s="3"/>
      <c r="I85" s="3"/>
    </row>
    <row r="86" spans="1:9" x14ac:dyDescent="0.25">
      <c r="A86" s="177"/>
      <c r="B86" s="21" t="s">
        <v>294</v>
      </c>
      <c r="C86" s="3">
        <f>SUM(D86:I86)</f>
        <v>2.67</v>
      </c>
      <c r="D86" s="9"/>
      <c r="E86" s="9"/>
      <c r="F86" s="9"/>
      <c r="G86" s="9">
        <v>2.67</v>
      </c>
      <c r="H86" s="9"/>
      <c r="I86" s="9"/>
    </row>
    <row r="87" spans="1:9" s="12" customFormat="1" ht="23.25" customHeight="1" x14ac:dyDescent="0.25">
      <c r="A87" s="177"/>
      <c r="B87" s="22" t="s">
        <v>295</v>
      </c>
      <c r="C87" s="9"/>
      <c r="D87" s="3"/>
      <c r="E87" s="3"/>
      <c r="F87" s="3"/>
      <c r="G87" s="3"/>
      <c r="H87" s="3"/>
      <c r="I87" s="3"/>
    </row>
    <row r="88" spans="1:9" s="12" customFormat="1" x14ac:dyDescent="0.25">
      <c r="A88" s="178" t="s">
        <v>57</v>
      </c>
      <c r="B88" s="22" t="s">
        <v>403</v>
      </c>
      <c r="C88" s="3">
        <f>SUM(D88:I88)</f>
        <v>29.81</v>
      </c>
      <c r="D88" s="3">
        <f>D89+D90+D92</f>
        <v>0</v>
      </c>
      <c r="E88" s="3">
        <f>E89+E90+E92</f>
        <v>0</v>
      </c>
      <c r="F88" s="3">
        <f>F89+F90+F91+F92</f>
        <v>29.81</v>
      </c>
      <c r="G88" s="3">
        <v>0</v>
      </c>
      <c r="H88" s="3">
        <f>H89+H90+H92</f>
        <v>0</v>
      </c>
      <c r="I88" s="3">
        <f>I89+I90+I92</f>
        <v>0</v>
      </c>
    </row>
    <row r="89" spans="1:9" s="12" customFormat="1" x14ac:dyDescent="0.25">
      <c r="A89" s="178"/>
      <c r="B89" s="22" t="s">
        <v>292</v>
      </c>
      <c r="C89" s="3">
        <f>SUM(D89:I89)</f>
        <v>26.83</v>
      </c>
      <c r="D89" s="3"/>
      <c r="E89" s="3"/>
      <c r="F89" s="3">
        <v>26.83</v>
      </c>
      <c r="G89" s="3"/>
      <c r="H89" s="3"/>
      <c r="I89" s="3"/>
    </row>
    <row r="90" spans="1:9" s="12" customFormat="1" x14ac:dyDescent="0.25">
      <c r="A90" s="178"/>
      <c r="B90" s="22" t="s">
        <v>293</v>
      </c>
      <c r="C90" s="3">
        <f>SUM(D90:I90)</f>
        <v>2.38</v>
      </c>
      <c r="D90" s="3"/>
      <c r="E90" s="3"/>
      <c r="F90" s="3">
        <v>2.38</v>
      </c>
      <c r="G90" s="3"/>
      <c r="H90" s="3"/>
      <c r="I90" s="3"/>
    </row>
    <row r="91" spans="1:9" x14ac:dyDescent="0.25">
      <c r="A91" s="178"/>
      <c r="B91" s="21" t="s">
        <v>294</v>
      </c>
      <c r="C91" s="3">
        <f>SUM(D91:I91)</f>
        <v>0.6</v>
      </c>
      <c r="D91" s="9"/>
      <c r="E91" s="9"/>
      <c r="F91" s="9">
        <v>0.6</v>
      </c>
      <c r="G91" s="9"/>
      <c r="H91" s="9"/>
      <c r="I91" s="9"/>
    </row>
    <row r="92" spans="1:9" s="12" customFormat="1" ht="38.25" customHeight="1" x14ac:dyDescent="0.25">
      <c r="A92" s="178"/>
      <c r="B92" s="22" t="s">
        <v>295</v>
      </c>
      <c r="C92" s="9"/>
      <c r="D92" s="3"/>
      <c r="E92" s="3"/>
      <c r="F92" s="3"/>
      <c r="G92" s="3"/>
      <c r="H92" s="3"/>
      <c r="I92" s="3"/>
    </row>
    <row r="93" spans="1:9" s="12" customFormat="1" ht="12" customHeight="1" x14ac:dyDescent="0.25">
      <c r="A93" s="177" t="s">
        <v>59</v>
      </c>
      <c r="B93" s="22" t="s">
        <v>403</v>
      </c>
      <c r="C93" s="3">
        <f>SUM(D93:I93)</f>
        <v>162.1</v>
      </c>
      <c r="D93" s="3">
        <v>0</v>
      </c>
      <c r="E93" s="3">
        <v>0</v>
      </c>
      <c r="F93" s="3">
        <f>F94+F95+F97</f>
        <v>0</v>
      </c>
      <c r="G93" s="3">
        <f>G94+G95+G96+G97</f>
        <v>162.1</v>
      </c>
      <c r="H93" s="3">
        <f>H94+H95+H97</f>
        <v>0</v>
      </c>
      <c r="I93" s="3">
        <f>I94+I95+I97</f>
        <v>0</v>
      </c>
    </row>
    <row r="94" spans="1:9" s="12" customFormat="1" x14ac:dyDescent="0.25">
      <c r="A94" s="177"/>
      <c r="B94" s="22" t="s">
        <v>292</v>
      </c>
      <c r="C94" s="3">
        <f>SUM(D94:I94)</f>
        <v>145.88999999999999</v>
      </c>
      <c r="D94" s="3"/>
      <c r="E94" s="3"/>
      <c r="F94" s="3"/>
      <c r="G94" s="3">
        <v>145.88999999999999</v>
      </c>
      <c r="H94" s="3"/>
      <c r="I94" s="3"/>
    </row>
    <row r="95" spans="1:9" s="12" customFormat="1" x14ac:dyDescent="0.25">
      <c r="A95" s="177"/>
      <c r="B95" s="22" t="s">
        <v>293</v>
      </c>
      <c r="C95" s="3">
        <f>SUM(D95:I95)</f>
        <v>12.97</v>
      </c>
      <c r="D95" s="3"/>
      <c r="E95" s="3"/>
      <c r="F95" s="3"/>
      <c r="G95" s="3">
        <v>12.97</v>
      </c>
      <c r="H95" s="3"/>
      <c r="I95" s="3"/>
    </row>
    <row r="96" spans="1:9" x14ac:dyDescent="0.25">
      <c r="A96" s="177"/>
      <c r="B96" s="21" t="s">
        <v>294</v>
      </c>
      <c r="C96" s="3">
        <f>SUM(D96:I96)</f>
        <v>3.24</v>
      </c>
      <c r="D96" s="9"/>
      <c r="E96" s="9"/>
      <c r="F96" s="9"/>
      <c r="G96" s="9">
        <v>3.24</v>
      </c>
      <c r="H96" s="9"/>
      <c r="I96" s="9"/>
    </row>
    <row r="97" spans="1:9" s="12" customFormat="1" x14ac:dyDescent="0.25">
      <c r="A97" s="177"/>
      <c r="B97" s="22" t="s">
        <v>295</v>
      </c>
      <c r="C97" s="9"/>
      <c r="D97" s="3"/>
      <c r="E97" s="3"/>
      <c r="F97" s="3"/>
      <c r="G97" s="3"/>
      <c r="H97" s="3"/>
      <c r="I97" s="3"/>
    </row>
    <row r="98" spans="1:9" s="12" customFormat="1" x14ac:dyDescent="0.25">
      <c r="A98" s="177" t="s">
        <v>60</v>
      </c>
      <c r="B98" s="22" t="s">
        <v>403</v>
      </c>
      <c r="C98" s="3">
        <f>SUM(D98:I98)</f>
        <v>56.25</v>
      </c>
      <c r="D98" s="3">
        <f>D99+D100+D102</f>
        <v>0</v>
      </c>
      <c r="E98" s="3">
        <f>E99+E100+E102</f>
        <v>0</v>
      </c>
      <c r="F98" s="3">
        <f>F99+F100+F101+F102</f>
        <v>56.25</v>
      </c>
      <c r="G98" s="3">
        <v>0</v>
      </c>
      <c r="H98" s="3">
        <f>H99+H100+H102</f>
        <v>0</v>
      </c>
      <c r="I98" s="3">
        <f>I99+I100+I102</f>
        <v>0</v>
      </c>
    </row>
    <row r="99" spans="1:9" s="12" customFormat="1" x14ac:dyDescent="0.25">
      <c r="A99" s="177"/>
      <c r="B99" s="22" t="s">
        <v>292</v>
      </c>
      <c r="C99" s="3">
        <f>SUM(D99:I99)</f>
        <v>50.63</v>
      </c>
      <c r="D99" s="3"/>
      <c r="E99" s="3"/>
      <c r="F99" s="3">
        <v>50.63</v>
      </c>
      <c r="G99" s="3"/>
      <c r="H99" s="3"/>
      <c r="I99" s="3"/>
    </row>
    <row r="100" spans="1:9" s="12" customFormat="1" x14ac:dyDescent="0.25">
      <c r="A100" s="177"/>
      <c r="B100" s="22" t="s">
        <v>293</v>
      </c>
      <c r="C100" s="3">
        <f>SUM(D100:I100)</f>
        <v>4.5</v>
      </c>
      <c r="D100" s="3"/>
      <c r="E100" s="3"/>
      <c r="F100" s="3">
        <v>4.5</v>
      </c>
      <c r="G100" s="3"/>
      <c r="H100" s="3"/>
      <c r="I100" s="3"/>
    </row>
    <row r="101" spans="1:9" x14ac:dyDescent="0.25">
      <c r="A101" s="177"/>
      <c r="B101" s="21" t="s">
        <v>294</v>
      </c>
      <c r="C101" s="3">
        <f>SUM(D101:I101)</f>
        <v>1.1200000000000001</v>
      </c>
      <c r="D101" s="9"/>
      <c r="E101" s="9"/>
      <c r="F101" s="9">
        <v>1.1200000000000001</v>
      </c>
      <c r="G101" s="9"/>
      <c r="H101" s="9"/>
      <c r="I101" s="9"/>
    </row>
    <row r="102" spans="1:9" s="12" customFormat="1" x14ac:dyDescent="0.25">
      <c r="A102" s="177"/>
      <c r="B102" s="22" t="s">
        <v>295</v>
      </c>
      <c r="C102" s="3"/>
      <c r="D102" s="3"/>
      <c r="E102" s="3"/>
      <c r="F102" s="3"/>
      <c r="G102" s="3"/>
      <c r="H102" s="3"/>
      <c r="I102" s="3"/>
    </row>
    <row r="103" spans="1:9" s="12" customFormat="1" x14ac:dyDescent="0.25">
      <c r="A103" s="177" t="s">
        <v>63</v>
      </c>
      <c r="B103" s="22" t="s">
        <v>403</v>
      </c>
      <c r="C103" s="3">
        <f>SUM(D103:I103)</f>
        <v>615.5</v>
      </c>
      <c r="D103" s="3">
        <f t="shared" ref="D103:I103" si="21">D104+D105+D107</f>
        <v>0</v>
      </c>
      <c r="E103" s="3">
        <f t="shared" si="21"/>
        <v>0</v>
      </c>
      <c r="F103" s="3">
        <f t="shared" si="21"/>
        <v>0</v>
      </c>
      <c r="G103" s="3">
        <f>G104+G105+G106+G107</f>
        <v>200</v>
      </c>
      <c r="H103" s="3">
        <f>H104+H105+H106+H107</f>
        <v>415.49999999999994</v>
      </c>
      <c r="I103" s="3">
        <f t="shared" si="21"/>
        <v>0</v>
      </c>
    </row>
    <row r="104" spans="1:9" s="12" customFormat="1" x14ac:dyDescent="0.25">
      <c r="A104" s="177"/>
      <c r="B104" s="22" t="s">
        <v>292</v>
      </c>
      <c r="C104" s="3">
        <f>SUM(D104:I104)</f>
        <v>553.9</v>
      </c>
      <c r="D104" s="3"/>
      <c r="E104" s="3"/>
      <c r="F104" s="3"/>
      <c r="G104" s="3">
        <v>180</v>
      </c>
      <c r="H104" s="3">
        <v>373.9</v>
      </c>
      <c r="I104" s="3">
        <v>0</v>
      </c>
    </row>
    <row r="105" spans="1:9" s="12" customFormat="1" x14ac:dyDescent="0.25">
      <c r="A105" s="177"/>
      <c r="B105" s="22" t="s">
        <v>293</v>
      </c>
      <c r="C105" s="3">
        <f>SUM(D105:I105)</f>
        <v>49.28</v>
      </c>
      <c r="D105" s="3"/>
      <c r="E105" s="3"/>
      <c r="F105" s="3"/>
      <c r="G105" s="3">
        <v>16</v>
      </c>
      <c r="H105" s="3">
        <v>33.28</v>
      </c>
      <c r="I105" s="3"/>
    </row>
    <row r="106" spans="1:9" x14ac:dyDescent="0.25">
      <c r="A106" s="177"/>
      <c r="B106" s="21" t="s">
        <v>294</v>
      </c>
      <c r="C106" s="3">
        <f>SUM(D106:I106)</f>
        <v>12.32</v>
      </c>
      <c r="D106" s="9"/>
      <c r="E106" s="9"/>
      <c r="F106" s="9"/>
      <c r="G106" s="9">
        <v>4</v>
      </c>
      <c r="H106" s="9">
        <v>8.32</v>
      </c>
      <c r="I106" s="9"/>
    </row>
    <row r="107" spans="1:9" s="12" customFormat="1" ht="28.5" customHeight="1" x14ac:dyDescent="0.25">
      <c r="A107" s="177"/>
      <c r="B107" s="22" t="s">
        <v>295</v>
      </c>
      <c r="C107" s="3"/>
      <c r="D107" s="3"/>
      <c r="E107" s="3"/>
      <c r="F107" s="3"/>
      <c r="G107" s="3"/>
      <c r="H107" s="3"/>
      <c r="I107" s="3"/>
    </row>
    <row r="108" spans="1:9" s="12" customFormat="1" x14ac:dyDescent="0.25">
      <c r="A108" s="177" t="s">
        <v>66</v>
      </c>
      <c r="B108" s="22" t="s">
        <v>403</v>
      </c>
      <c r="C108" s="3">
        <f>C109+C110+C111+C112</f>
        <v>307.76000000000005</v>
      </c>
      <c r="D108" s="3">
        <v>0</v>
      </c>
      <c r="E108" s="3">
        <v>0</v>
      </c>
      <c r="F108" s="3">
        <f>F109+F110+F112</f>
        <v>0</v>
      </c>
      <c r="G108" s="3">
        <f>G109+G110+G111+G112</f>
        <v>100</v>
      </c>
      <c r="H108" s="3">
        <f>H109+H110+H111+H112</f>
        <v>207.76</v>
      </c>
      <c r="I108" s="3">
        <f>I109+I110+I112</f>
        <v>0</v>
      </c>
    </row>
    <row r="109" spans="1:9" s="12" customFormat="1" x14ac:dyDescent="0.25">
      <c r="A109" s="177"/>
      <c r="B109" s="22" t="s">
        <v>292</v>
      </c>
      <c r="C109" s="3">
        <f>SUM(D109:I109)</f>
        <v>276.98</v>
      </c>
      <c r="D109" s="3"/>
      <c r="E109" s="3"/>
      <c r="F109" s="3"/>
      <c r="G109" s="3">
        <v>90</v>
      </c>
      <c r="H109" s="3">
        <v>186.98</v>
      </c>
      <c r="I109" s="3"/>
    </row>
    <row r="110" spans="1:9" s="12" customFormat="1" x14ac:dyDescent="0.25">
      <c r="A110" s="177"/>
      <c r="B110" s="22" t="s">
        <v>293</v>
      </c>
      <c r="C110" s="3">
        <f>SUM(D110:I110)</f>
        <v>24.62</v>
      </c>
      <c r="D110" s="3"/>
      <c r="E110" s="3"/>
      <c r="F110" s="3"/>
      <c r="G110" s="3">
        <v>8</v>
      </c>
      <c r="H110" s="3">
        <v>16.62</v>
      </c>
      <c r="I110" s="3"/>
    </row>
    <row r="111" spans="1:9" x14ac:dyDescent="0.25">
      <c r="A111" s="177"/>
      <c r="B111" s="21" t="s">
        <v>294</v>
      </c>
      <c r="C111" s="3">
        <f>SUM(D111:I111)</f>
        <v>6.16</v>
      </c>
      <c r="D111" s="9"/>
      <c r="E111" s="9"/>
      <c r="F111" s="9"/>
      <c r="G111" s="9">
        <v>2</v>
      </c>
      <c r="H111" s="9">
        <v>4.16</v>
      </c>
      <c r="I111" s="9"/>
    </row>
    <row r="112" spans="1:9" s="12" customFormat="1" ht="30" customHeight="1" x14ac:dyDescent="0.25">
      <c r="A112" s="177"/>
      <c r="B112" s="22" t="s">
        <v>295</v>
      </c>
      <c r="C112" s="3"/>
      <c r="D112" s="3"/>
      <c r="E112" s="3"/>
      <c r="F112" s="3"/>
      <c r="G112" s="3"/>
      <c r="H112" s="3"/>
      <c r="I112" s="3"/>
    </row>
    <row r="113" spans="1:9" s="12" customFormat="1" x14ac:dyDescent="0.25">
      <c r="A113" s="177" t="s">
        <v>68</v>
      </c>
      <c r="B113" s="22" t="s">
        <v>403</v>
      </c>
      <c r="C113" s="3">
        <f>C114+C115+C116+C117</f>
        <v>985.50000000000011</v>
      </c>
      <c r="D113" s="3">
        <f>D114+D115+D117</f>
        <v>0</v>
      </c>
      <c r="E113" s="3">
        <f>E114+E115+E117</f>
        <v>0</v>
      </c>
      <c r="F113" s="3">
        <f>F114+F115+F117</f>
        <v>0</v>
      </c>
      <c r="G113" s="3">
        <v>0</v>
      </c>
      <c r="H113" s="3">
        <f>H114+H115+H116+H117</f>
        <v>492.75000000000006</v>
      </c>
      <c r="I113" s="3">
        <f>I114+I115+I116+I117</f>
        <v>492.75000000000006</v>
      </c>
    </row>
    <row r="114" spans="1:9" s="12" customFormat="1" x14ac:dyDescent="0.25">
      <c r="A114" s="177"/>
      <c r="B114" s="22" t="s">
        <v>292</v>
      </c>
      <c r="C114" s="3">
        <f>SUM(D114:I114)</f>
        <v>886.96</v>
      </c>
      <c r="D114" s="3"/>
      <c r="E114" s="3"/>
      <c r="F114" s="3"/>
      <c r="G114" s="3">
        <v>0</v>
      </c>
      <c r="H114" s="3">
        <v>443.48</v>
      </c>
      <c r="I114" s="3">
        <v>443.48</v>
      </c>
    </row>
    <row r="115" spans="1:9" s="12" customFormat="1" x14ac:dyDescent="0.25">
      <c r="A115" s="177"/>
      <c r="B115" s="22" t="s">
        <v>293</v>
      </c>
      <c r="C115" s="3">
        <f>SUM(D115:I115)</f>
        <v>78.84</v>
      </c>
      <c r="D115" s="3"/>
      <c r="E115" s="3"/>
      <c r="F115" s="3"/>
      <c r="G115" s="3"/>
      <c r="H115" s="3">
        <v>39.42</v>
      </c>
      <c r="I115" s="3">
        <v>39.42</v>
      </c>
    </row>
    <row r="116" spans="1:9" x14ac:dyDescent="0.25">
      <c r="A116" s="177"/>
      <c r="B116" s="21" t="s">
        <v>294</v>
      </c>
      <c r="C116" s="3">
        <f>SUM(D116:I116)</f>
        <v>19.7</v>
      </c>
      <c r="D116" s="9"/>
      <c r="E116" s="9"/>
      <c r="F116" s="9"/>
      <c r="G116" s="9"/>
      <c r="H116" s="9">
        <v>9.85</v>
      </c>
      <c r="I116" s="9">
        <v>9.85</v>
      </c>
    </row>
    <row r="117" spans="1:9" s="12" customFormat="1" ht="24.75" customHeight="1" x14ac:dyDescent="0.25">
      <c r="A117" s="177"/>
      <c r="B117" s="22" t="s">
        <v>295</v>
      </c>
      <c r="C117" s="3"/>
      <c r="D117" s="3"/>
      <c r="E117" s="3"/>
      <c r="F117" s="3"/>
      <c r="G117" s="3"/>
      <c r="H117" s="3"/>
      <c r="I117" s="3"/>
    </row>
    <row r="118" spans="1:9" s="12" customFormat="1" x14ac:dyDescent="0.25">
      <c r="A118" s="177" t="s">
        <v>70</v>
      </c>
      <c r="B118" s="22" t="s">
        <v>403</v>
      </c>
      <c r="C118" s="3">
        <f>C119+C120+C121+C122</f>
        <v>631.69999999999993</v>
      </c>
      <c r="D118" s="3">
        <f>D119+D120+D122</f>
        <v>0</v>
      </c>
      <c r="E118" s="3">
        <f>E119+E120+E122</f>
        <v>0</v>
      </c>
      <c r="F118" s="3">
        <f>F119+F120+F122</f>
        <v>0</v>
      </c>
      <c r="G118" s="3">
        <v>0</v>
      </c>
      <c r="H118" s="3">
        <f>H119+H120+H121+H122</f>
        <v>300</v>
      </c>
      <c r="I118" s="3">
        <f>I119+I120+I121+I122</f>
        <v>331.7</v>
      </c>
    </row>
    <row r="119" spans="1:9" s="12" customFormat="1" x14ac:dyDescent="0.25">
      <c r="A119" s="177"/>
      <c r="B119" s="22" t="s">
        <v>292</v>
      </c>
      <c r="C119" s="3">
        <f>SUM(D119:I119)</f>
        <v>568.53</v>
      </c>
      <c r="D119" s="3"/>
      <c r="E119" s="3"/>
      <c r="F119" s="3"/>
      <c r="G119" s="3"/>
      <c r="H119" s="3">
        <v>270</v>
      </c>
      <c r="I119" s="3">
        <v>298.52999999999997</v>
      </c>
    </row>
    <row r="120" spans="1:9" s="12" customFormat="1" x14ac:dyDescent="0.25">
      <c r="A120" s="177"/>
      <c r="B120" s="22" t="s">
        <v>293</v>
      </c>
      <c r="C120" s="3">
        <f>SUM(D120:I120)</f>
        <v>50.54</v>
      </c>
      <c r="D120" s="3"/>
      <c r="E120" s="3"/>
      <c r="F120" s="3"/>
      <c r="G120" s="3"/>
      <c r="H120" s="3">
        <v>24</v>
      </c>
      <c r="I120" s="3">
        <v>26.54</v>
      </c>
    </row>
    <row r="121" spans="1:9" x14ac:dyDescent="0.25">
      <c r="A121" s="177"/>
      <c r="B121" s="21" t="s">
        <v>294</v>
      </c>
      <c r="C121" s="3">
        <f>SUM(D121:I121)</f>
        <v>12.629999999999999</v>
      </c>
      <c r="D121" s="9"/>
      <c r="E121" s="9"/>
      <c r="F121" s="9"/>
      <c r="G121" s="9"/>
      <c r="H121" s="9">
        <v>6</v>
      </c>
      <c r="I121" s="9">
        <v>6.63</v>
      </c>
    </row>
    <row r="122" spans="1:9" s="12" customFormat="1" x14ac:dyDescent="0.25">
      <c r="A122" s="177"/>
      <c r="B122" s="22" t="s">
        <v>295</v>
      </c>
      <c r="C122" s="3"/>
      <c r="D122" s="3"/>
      <c r="E122" s="3"/>
      <c r="F122" s="3"/>
      <c r="G122" s="3"/>
      <c r="H122" s="3"/>
      <c r="I122" s="3"/>
    </row>
    <row r="123" spans="1:9" s="12" customFormat="1" x14ac:dyDescent="0.25">
      <c r="A123" s="177" t="s">
        <v>71</v>
      </c>
      <c r="B123" s="22" t="s">
        <v>403</v>
      </c>
      <c r="C123" s="3">
        <f>SUM(D123:I123)</f>
        <v>30</v>
      </c>
      <c r="D123" s="3">
        <v>0</v>
      </c>
      <c r="E123" s="3">
        <f>SUM(E124:E127)</f>
        <v>30</v>
      </c>
      <c r="F123" s="3">
        <v>0</v>
      </c>
      <c r="G123" s="3">
        <v>0</v>
      </c>
      <c r="H123" s="3">
        <v>0</v>
      </c>
      <c r="I123" s="3">
        <v>0</v>
      </c>
    </row>
    <row r="124" spans="1:9" s="12" customFormat="1" x14ac:dyDescent="0.25">
      <c r="A124" s="177"/>
      <c r="B124" s="22" t="s">
        <v>292</v>
      </c>
      <c r="C124" s="3"/>
      <c r="D124" s="3"/>
      <c r="E124" s="3"/>
      <c r="F124" s="3"/>
      <c r="G124" s="3"/>
      <c r="H124" s="3"/>
      <c r="I124" s="3"/>
    </row>
    <row r="125" spans="1:9" s="12" customFormat="1" x14ac:dyDescent="0.25">
      <c r="A125" s="177"/>
      <c r="B125" s="22" t="s">
        <v>293</v>
      </c>
      <c r="C125" s="3">
        <f>SUM(D125:I125)</f>
        <v>24</v>
      </c>
      <c r="D125" s="3"/>
      <c r="E125" s="3">
        <v>24</v>
      </c>
      <c r="F125" s="3"/>
      <c r="G125" s="3"/>
      <c r="H125" s="3"/>
      <c r="I125" s="3"/>
    </row>
    <row r="126" spans="1:9" x14ac:dyDescent="0.25">
      <c r="A126" s="177"/>
      <c r="B126" s="21" t="s">
        <v>294</v>
      </c>
      <c r="C126" s="3">
        <f>SUM(D126:I126)</f>
        <v>6</v>
      </c>
      <c r="D126" s="9"/>
      <c r="E126" s="9">
        <v>6</v>
      </c>
      <c r="F126" s="9"/>
      <c r="G126" s="9"/>
      <c r="H126" s="9"/>
      <c r="I126" s="9"/>
    </row>
    <row r="127" spans="1:9" s="12" customFormat="1" x14ac:dyDescent="0.25">
      <c r="A127" s="177"/>
      <c r="B127" s="22" t="s">
        <v>295</v>
      </c>
      <c r="C127" s="3"/>
      <c r="D127" s="3"/>
      <c r="E127" s="3"/>
      <c r="F127" s="3"/>
      <c r="G127" s="3"/>
      <c r="H127" s="3"/>
      <c r="I127" s="3"/>
    </row>
    <row r="128" spans="1:9" s="12" customFormat="1" x14ac:dyDescent="0.25">
      <c r="A128" s="177" t="s">
        <v>73</v>
      </c>
      <c r="B128" s="22" t="s">
        <v>403</v>
      </c>
      <c r="C128" s="3">
        <f>SUM(D128:I128)</f>
        <v>326.25</v>
      </c>
      <c r="D128" s="3">
        <f>D129+D130+D132</f>
        <v>0</v>
      </c>
      <c r="E128" s="3">
        <f>E129+E130+E132</f>
        <v>0</v>
      </c>
      <c r="F128" s="3">
        <f>F129+F130+F132</f>
        <v>0</v>
      </c>
      <c r="G128" s="3">
        <v>0</v>
      </c>
      <c r="H128" s="3">
        <f>H129+H130+H132</f>
        <v>0</v>
      </c>
      <c r="I128" s="3">
        <f>I129+I130+I131+I132</f>
        <v>326.25</v>
      </c>
    </row>
    <row r="129" spans="1:9" s="12" customFormat="1" x14ac:dyDescent="0.25">
      <c r="A129" s="177"/>
      <c r="B129" s="22" t="s">
        <v>292</v>
      </c>
      <c r="C129" s="3">
        <f>SUM(D129:I129)</f>
        <v>293.63</v>
      </c>
      <c r="D129" s="3"/>
      <c r="E129" s="3"/>
      <c r="F129" s="3">
        <v>0</v>
      </c>
      <c r="G129" s="3"/>
      <c r="H129" s="3"/>
      <c r="I129" s="3">
        <v>293.63</v>
      </c>
    </row>
    <row r="130" spans="1:9" s="12" customFormat="1" x14ac:dyDescent="0.25">
      <c r="A130" s="177"/>
      <c r="B130" s="22" t="s">
        <v>293</v>
      </c>
      <c r="C130" s="3">
        <f>SUM(D130:I130)</f>
        <v>26.1</v>
      </c>
      <c r="D130" s="3"/>
      <c r="E130" s="3"/>
      <c r="F130" s="3"/>
      <c r="G130" s="3"/>
      <c r="H130" s="3"/>
      <c r="I130" s="3">
        <v>26.1</v>
      </c>
    </row>
    <row r="131" spans="1:9" x14ac:dyDescent="0.25">
      <c r="A131" s="177"/>
      <c r="B131" s="21" t="s">
        <v>294</v>
      </c>
      <c r="C131" s="3">
        <f>SUM(D131:I131)</f>
        <v>6.52</v>
      </c>
      <c r="D131" s="9"/>
      <c r="E131" s="9"/>
      <c r="F131" s="9"/>
      <c r="G131" s="9"/>
      <c r="H131" s="9"/>
      <c r="I131" s="9">
        <v>6.52</v>
      </c>
    </row>
    <row r="132" spans="1:9" s="12" customFormat="1" x14ac:dyDescent="0.25">
      <c r="A132" s="177"/>
      <c r="B132" s="22" t="s">
        <v>295</v>
      </c>
      <c r="C132" s="3"/>
      <c r="D132" s="3"/>
      <c r="E132" s="3"/>
      <c r="F132" s="3"/>
      <c r="G132" s="3"/>
      <c r="H132" s="3"/>
      <c r="I132" s="3"/>
    </row>
    <row r="133" spans="1:9" s="12" customFormat="1" x14ac:dyDescent="0.25">
      <c r="A133" s="177" t="s">
        <v>75</v>
      </c>
      <c r="B133" s="22" t="s">
        <v>403</v>
      </c>
      <c r="C133" s="3">
        <f>SUM(D133:I133)</f>
        <v>50.57</v>
      </c>
      <c r="D133" s="3">
        <v>0</v>
      </c>
      <c r="E133" s="3">
        <v>0</v>
      </c>
      <c r="F133" s="3">
        <f>F134+F135+F137</f>
        <v>0</v>
      </c>
      <c r="G133" s="3">
        <f>G134+G135+G136+G137</f>
        <v>50.57</v>
      </c>
      <c r="H133" s="3">
        <f>H134+H135+H137</f>
        <v>0</v>
      </c>
      <c r="I133" s="3">
        <f>I134+I135+I137</f>
        <v>0</v>
      </c>
    </row>
    <row r="134" spans="1:9" s="12" customFormat="1" x14ac:dyDescent="0.25">
      <c r="A134" s="177"/>
      <c r="B134" s="22" t="s">
        <v>292</v>
      </c>
      <c r="C134" s="3">
        <f>SUM(D134:I134)</f>
        <v>45.51</v>
      </c>
      <c r="D134" s="3"/>
      <c r="E134" s="3"/>
      <c r="F134" s="3"/>
      <c r="G134" s="3">
        <v>45.51</v>
      </c>
      <c r="H134" s="3"/>
      <c r="I134" s="3"/>
    </row>
    <row r="135" spans="1:9" s="12" customFormat="1" x14ac:dyDescent="0.25">
      <c r="A135" s="177"/>
      <c r="B135" s="22" t="s">
        <v>293</v>
      </c>
      <c r="C135" s="3">
        <f>SUM(D135:I135)</f>
        <v>4.0599999999999996</v>
      </c>
      <c r="D135" s="3"/>
      <c r="E135" s="3"/>
      <c r="F135" s="3"/>
      <c r="G135" s="3">
        <v>4.0599999999999996</v>
      </c>
      <c r="H135" s="3"/>
      <c r="I135" s="3"/>
    </row>
    <row r="136" spans="1:9" x14ac:dyDescent="0.25">
      <c r="A136" s="177"/>
      <c r="B136" s="21" t="s">
        <v>294</v>
      </c>
      <c r="C136" s="3">
        <f>SUM(D136:I136)</f>
        <v>1</v>
      </c>
      <c r="D136" s="9"/>
      <c r="E136" s="9"/>
      <c r="F136" s="9"/>
      <c r="G136" s="9">
        <v>1</v>
      </c>
      <c r="H136" s="9"/>
      <c r="I136" s="9"/>
    </row>
    <row r="137" spans="1:9" s="12" customFormat="1" x14ac:dyDescent="0.25">
      <c r="A137" s="177"/>
      <c r="B137" s="22" t="s">
        <v>295</v>
      </c>
      <c r="C137" s="3"/>
      <c r="D137" s="3"/>
      <c r="E137" s="3"/>
      <c r="F137" s="3"/>
      <c r="G137" s="3"/>
      <c r="H137" s="3"/>
      <c r="I137" s="3"/>
    </row>
    <row r="138" spans="1:9" s="12" customFormat="1" x14ac:dyDescent="0.25">
      <c r="A138" s="177" t="s">
        <v>77</v>
      </c>
      <c r="B138" s="22" t="s">
        <v>403</v>
      </c>
      <c r="C138" s="3">
        <f>SUM(D138:I138)</f>
        <v>100</v>
      </c>
      <c r="D138" s="3">
        <f>D139+D140+D142</f>
        <v>0</v>
      </c>
      <c r="E138" s="3">
        <f>E139+E140+E141+E142</f>
        <v>100</v>
      </c>
      <c r="F138" s="3">
        <f>F139+F140+F142</f>
        <v>0</v>
      </c>
      <c r="G138" s="3">
        <v>0</v>
      </c>
      <c r="H138" s="3">
        <f>H139+H140+H142</f>
        <v>0</v>
      </c>
      <c r="I138" s="3">
        <f>I139+I140+I142</f>
        <v>0</v>
      </c>
    </row>
    <row r="139" spans="1:9" s="12" customFormat="1" x14ac:dyDescent="0.25">
      <c r="A139" s="177"/>
      <c r="B139" s="22" t="s">
        <v>292</v>
      </c>
      <c r="C139" s="3">
        <f>SUM(D139:I139)</f>
        <v>90</v>
      </c>
      <c r="D139" s="3"/>
      <c r="E139" s="3">
        <v>90</v>
      </c>
      <c r="F139" s="3"/>
      <c r="G139" s="3"/>
      <c r="H139" s="3"/>
      <c r="I139" s="3"/>
    </row>
    <row r="140" spans="1:9" s="12" customFormat="1" x14ac:dyDescent="0.25">
      <c r="A140" s="177"/>
      <c r="B140" s="22" t="s">
        <v>293</v>
      </c>
      <c r="C140" s="3">
        <f>SUM(D140:I140)</f>
        <v>8</v>
      </c>
      <c r="D140" s="3"/>
      <c r="E140" s="3">
        <v>8</v>
      </c>
      <c r="F140" s="3"/>
      <c r="G140" s="3"/>
      <c r="H140" s="3"/>
      <c r="I140" s="3"/>
    </row>
    <row r="141" spans="1:9" x14ac:dyDescent="0.25">
      <c r="A141" s="177"/>
      <c r="B141" s="21" t="s">
        <v>294</v>
      </c>
      <c r="C141" s="3">
        <f>SUM(D141:I141)</f>
        <v>2</v>
      </c>
      <c r="D141" s="9"/>
      <c r="E141" s="9">
        <v>2</v>
      </c>
      <c r="F141" s="9"/>
      <c r="G141" s="9"/>
      <c r="H141" s="9"/>
      <c r="I141" s="9"/>
    </row>
    <row r="142" spans="1:9" s="12" customFormat="1" ht="21.75" customHeight="1" x14ac:dyDescent="0.25">
      <c r="A142" s="177"/>
      <c r="B142" s="22" t="s">
        <v>295</v>
      </c>
      <c r="C142" s="3"/>
      <c r="D142" s="3"/>
      <c r="E142" s="3"/>
      <c r="F142" s="3"/>
      <c r="G142" s="3"/>
      <c r="H142" s="3"/>
      <c r="I142" s="3"/>
    </row>
    <row r="143" spans="1:9" s="12" customFormat="1" x14ac:dyDescent="0.25">
      <c r="A143" s="177" t="s">
        <v>79</v>
      </c>
      <c r="B143" s="22" t="s">
        <v>403</v>
      </c>
      <c r="C143" s="3">
        <f>SUM(D143:I143)</f>
        <v>848</v>
      </c>
      <c r="D143" s="3">
        <f t="shared" ref="D143:E143" si="22">D144+D145+D146+D147</f>
        <v>200</v>
      </c>
      <c r="E143" s="3">
        <f t="shared" si="22"/>
        <v>300</v>
      </c>
      <c r="F143" s="3">
        <f>F144+F145+F146+F147</f>
        <v>347.99999999999994</v>
      </c>
      <c r="G143" s="3">
        <v>0</v>
      </c>
      <c r="H143" s="3">
        <f>H144+H145+H147</f>
        <v>0</v>
      </c>
      <c r="I143" s="3">
        <f>I144+I145+I147</f>
        <v>0</v>
      </c>
    </row>
    <row r="144" spans="1:9" s="12" customFormat="1" x14ac:dyDescent="0.25">
      <c r="A144" s="177"/>
      <c r="B144" s="22" t="s">
        <v>292</v>
      </c>
      <c r="C144" s="3">
        <f>SUM(D144:I144)</f>
        <v>763.2</v>
      </c>
      <c r="D144" s="3">
        <v>180</v>
      </c>
      <c r="E144" s="3">
        <v>270</v>
      </c>
      <c r="F144" s="3">
        <v>313.2</v>
      </c>
      <c r="G144" s="3"/>
      <c r="H144" s="3"/>
      <c r="I144" s="3"/>
    </row>
    <row r="145" spans="1:9" s="12" customFormat="1" x14ac:dyDescent="0.25">
      <c r="A145" s="177"/>
      <c r="B145" s="22" t="s">
        <v>293</v>
      </c>
      <c r="C145" s="3">
        <f>SUM(D145:I145)</f>
        <v>67.84</v>
      </c>
      <c r="D145" s="3">
        <v>16</v>
      </c>
      <c r="E145" s="3">
        <v>24</v>
      </c>
      <c r="F145" s="3">
        <v>27.84</v>
      </c>
      <c r="G145" s="3"/>
      <c r="H145" s="3"/>
      <c r="I145" s="3"/>
    </row>
    <row r="146" spans="1:9" x14ac:dyDescent="0.25">
      <c r="A146" s="177"/>
      <c r="B146" s="21" t="s">
        <v>294</v>
      </c>
      <c r="C146" s="3">
        <f>SUM(D146:I146)</f>
        <v>16.96</v>
      </c>
      <c r="D146" s="9">
        <v>4</v>
      </c>
      <c r="E146" s="9">
        <v>6</v>
      </c>
      <c r="F146" s="9">
        <v>6.96</v>
      </c>
      <c r="G146" s="9"/>
      <c r="H146" s="9"/>
      <c r="I146" s="9"/>
    </row>
    <row r="147" spans="1:9" s="12" customFormat="1" ht="27" customHeight="1" x14ac:dyDescent="0.25">
      <c r="A147" s="177"/>
      <c r="B147" s="22" t="s">
        <v>295</v>
      </c>
      <c r="C147" s="3"/>
      <c r="D147" s="3"/>
      <c r="E147" s="3"/>
      <c r="F147" s="3"/>
      <c r="G147" s="3"/>
      <c r="H147" s="3"/>
      <c r="I147" s="3"/>
    </row>
    <row r="148" spans="1:9" s="12" customFormat="1" x14ac:dyDescent="0.25">
      <c r="A148" s="177" t="s">
        <v>153</v>
      </c>
      <c r="B148" s="22" t="s">
        <v>403</v>
      </c>
      <c r="C148" s="3">
        <f>SUM(D148:I148)</f>
        <v>700</v>
      </c>
      <c r="D148" s="3"/>
      <c r="E148" s="3">
        <f t="shared" ref="E148:F148" si="23">E149+E150+E151+E152</f>
        <v>100</v>
      </c>
      <c r="F148" s="3">
        <f t="shared" si="23"/>
        <v>300</v>
      </c>
      <c r="G148" s="3">
        <f>G149+G150+G151+G152</f>
        <v>300</v>
      </c>
      <c r="H148" s="3"/>
      <c r="I148" s="3"/>
    </row>
    <row r="149" spans="1:9" s="12" customFormat="1" x14ac:dyDescent="0.25">
      <c r="A149" s="177"/>
      <c r="B149" s="22" t="s">
        <v>292</v>
      </c>
      <c r="C149" s="3">
        <f>SUM(D149:I149)</f>
        <v>630</v>
      </c>
      <c r="D149" s="3"/>
      <c r="E149" s="3">
        <v>90</v>
      </c>
      <c r="F149" s="3">
        <v>270</v>
      </c>
      <c r="G149" s="3">
        <v>270</v>
      </c>
      <c r="H149" s="3"/>
      <c r="I149" s="3"/>
    </row>
    <row r="150" spans="1:9" s="12" customFormat="1" x14ac:dyDescent="0.25">
      <c r="A150" s="177"/>
      <c r="B150" s="22" t="s">
        <v>293</v>
      </c>
      <c r="C150" s="3">
        <f>SUM(D150:I150)</f>
        <v>56</v>
      </c>
      <c r="D150" s="3"/>
      <c r="E150" s="3">
        <v>8</v>
      </c>
      <c r="F150" s="3">
        <v>24</v>
      </c>
      <c r="G150" s="3">
        <v>24</v>
      </c>
      <c r="H150" s="3"/>
      <c r="I150" s="3"/>
    </row>
    <row r="151" spans="1:9" x14ac:dyDescent="0.25">
      <c r="A151" s="177"/>
      <c r="B151" s="21" t="s">
        <v>294</v>
      </c>
      <c r="C151" s="3">
        <f>SUM(D151:I151)</f>
        <v>14</v>
      </c>
      <c r="D151" s="9"/>
      <c r="E151" s="9">
        <v>2</v>
      </c>
      <c r="F151" s="9">
        <v>6</v>
      </c>
      <c r="G151" s="9">
        <v>6</v>
      </c>
      <c r="H151" s="9"/>
      <c r="I151" s="9"/>
    </row>
    <row r="152" spans="1:9" s="12" customFormat="1" ht="27" customHeight="1" x14ac:dyDescent="0.25">
      <c r="A152" s="177"/>
      <c r="B152" s="22" t="s">
        <v>295</v>
      </c>
      <c r="C152" s="3"/>
      <c r="D152" s="3"/>
      <c r="E152" s="3"/>
      <c r="F152" s="3"/>
      <c r="G152" s="3"/>
      <c r="H152" s="3"/>
      <c r="I152" s="3"/>
    </row>
    <row r="153" spans="1:9" s="12" customFormat="1" x14ac:dyDescent="0.25">
      <c r="A153" s="177" t="s">
        <v>80</v>
      </c>
      <c r="B153" s="22" t="s">
        <v>403</v>
      </c>
      <c r="C153" s="3">
        <f>SUM(D153:I153)</f>
        <v>10</v>
      </c>
      <c r="D153" s="3">
        <f>SUM(D154:D157)</f>
        <v>0</v>
      </c>
      <c r="E153" s="3">
        <f t="shared" ref="E153:I153" si="24">SUM(E154:E157)</f>
        <v>10</v>
      </c>
      <c r="F153" s="3">
        <f t="shared" si="24"/>
        <v>0</v>
      </c>
      <c r="G153" s="3">
        <f t="shared" si="24"/>
        <v>0</v>
      </c>
      <c r="H153" s="3">
        <f t="shared" si="24"/>
        <v>0</v>
      </c>
      <c r="I153" s="3">
        <f t="shared" si="24"/>
        <v>0</v>
      </c>
    </row>
    <row r="154" spans="1:9" s="12" customFormat="1" x14ac:dyDescent="0.25">
      <c r="A154" s="177"/>
      <c r="B154" s="22" t="s">
        <v>292</v>
      </c>
      <c r="C154" s="3"/>
      <c r="D154" s="3"/>
      <c r="E154" s="3"/>
      <c r="F154" s="3"/>
      <c r="G154" s="3"/>
      <c r="H154" s="3"/>
      <c r="I154" s="3"/>
    </row>
    <row r="155" spans="1:9" s="12" customFormat="1" x14ac:dyDescent="0.25">
      <c r="A155" s="177"/>
      <c r="B155" s="22" t="s">
        <v>293</v>
      </c>
      <c r="C155" s="3">
        <f>SUM(D155:I155)</f>
        <v>8</v>
      </c>
      <c r="D155" s="3"/>
      <c r="E155" s="3">
        <v>8</v>
      </c>
      <c r="F155" s="3"/>
      <c r="G155" s="3"/>
      <c r="H155" s="3"/>
      <c r="I155" s="3"/>
    </row>
    <row r="156" spans="1:9" x14ac:dyDescent="0.25">
      <c r="A156" s="177"/>
      <c r="B156" s="21" t="s">
        <v>294</v>
      </c>
      <c r="C156" s="3">
        <f>SUM(D156:I156)</f>
        <v>2</v>
      </c>
      <c r="D156" s="9"/>
      <c r="E156" s="9">
        <v>2</v>
      </c>
      <c r="F156" s="9"/>
      <c r="G156" s="9"/>
      <c r="H156" s="9"/>
      <c r="I156" s="9"/>
    </row>
    <row r="157" spans="1:9" s="12" customFormat="1" x14ac:dyDescent="0.25">
      <c r="A157" s="177"/>
      <c r="B157" s="22" t="s">
        <v>295</v>
      </c>
      <c r="C157" s="3"/>
      <c r="D157" s="3"/>
      <c r="E157" s="3"/>
      <c r="F157" s="3"/>
      <c r="G157" s="3"/>
      <c r="H157" s="3"/>
      <c r="I157" s="3"/>
    </row>
    <row r="158" spans="1:9" s="12" customFormat="1" x14ac:dyDescent="0.25">
      <c r="A158" s="177" t="s">
        <v>81</v>
      </c>
      <c r="B158" s="22" t="s">
        <v>403</v>
      </c>
      <c r="C158" s="3">
        <f>SUM(D158:I158)</f>
        <v>10</v>
      </c>
      <c r="D158" s="3">
        <f>SUM(D159:D162)</f>
        <v>0</v>
      </c>
      <c r="E158" s="3">
        <f t="shared" ref="E158:I158" si="25">SUM(E159:E162)</f>
        <v>10</v>
      </c>
      <c r="F158" s="3">
        <f t="shared" si="25"/>
        <v>0</v>
      </c>
      <c r="G158" s="3">
        <f t="shared" si="25"/>
        <v>0</v>
      </c>
      <c r="H158" s="3">
        <f t="shared" si="25"/>
        <v>0</v>
      </c>
      <c r="I158" s="3">
        <f t="shared" si="25"/>
        <v>0</v>
      </c>
    </row>
    <row r="159" spans="1:9" s="12" customFormat="1" x14ac:dyDescent="0.25">
      <c r="A159" s="177"/>
      <c r="B159" s="22" t="s">
        <v>292</v>
      </c>
      <c r="C159" s="3"/>
      <c r="D159" s="3"/>
      <c r="E159" s="3"/>
      <c r="F159" s="3"/>
      <c r="G159" s="3"/>
      <c r="H159" s="3"/>
      <c r="I159" s="3"/>
    </row>
    <row r="160" spans="1:9" s="12" customFormat="1" x14ac:dyDescent="0.25">
      <c r="A160" s="177"/>
      <c r="B160" s="22" t="s">
        <v>293</v>
      </c>
      <c r="C160" s="3">
        <f>SUM(D160:I160)</f>
        <v>8</v>
      </c>
      <c r="D160" s="3"/>
      <c r="E160" s="3">
        <v>8</v>
      </c>
      <c r="F160" s="3"/>
      <c r="G160" s="3"/>
      <c r="H160" s="3"/>
      <c r="I160" s="3"/>
    </row>
    <row r="161" spans="1:10" x14ac:dyDescent="0.25">
      <c r="A161" s="177"/>
      <c r="B161" s="21" t="s">
        <v>294</v>
      </c>
      <c r="C161" s="3">
        <f>SUM(D161:I161)</f>
        <v>2</v>
      </c>
      <c r="D161" s="9"/>
      <c r="E161" s="9">
        <v>2</v>
      </c>
      <c r="F161" s="9"/>
      <c r="G161" s="9"/>
      <c r="H161" s="9"/>
      <c r="I161" s="9"/>
    </row>
    <row r="162" spans="1:10" s="12" customFormat="1" x14ac:dyDescent="0.25">
      <c r="A162" s="177"/>
      <c r="B162" s="22" t="s">
        <v>295</v>
      </c>
      <c r="C162" s="3"/>
      <c r="D162" s="3"/>
      <c r="E162" s="3"/>
      <c r="F162" s="3"/>
      <c r="G162" s="3"/>
      <c r="H162" s="3"/>
      <c r="I162" s="3"/>
    </row>
    <row r="163" spans="1:10" collapsed="1" x14ac:dyDescent="0.25">
      <c r="A163" s="179" t="s">
        <v>29</v>
      </c>
      <c r="B163" s="21" t="s">
        <v>403</v>
      </c>
      <c r="C163" s="10">
        <f>SUMIF($B$43:$B$162,"Всего*",C$43:C$162)</f>
        <v>20318.03</v>
      </c>
      <c r="D163" s="10">
        <f t="shared" ref="D163:I163" si="26">SUMIF($B$43:$B$162,"Всего*",D$43:D$162)</f>
        <v>727</v>
      </c>
      <c r="E163" s="10">
        <f t="shared" si="26"/>
        <v>2175.6999999999998</v>
      </c>
      <c r="F163" s="10">
        <f t="shared" si="26"/>
        <v>2502.56</v>
      </c>
      <c r="G163" s="10">
        <f t="shared" si="26"/>
        <v>3046.06</v>
      </c>
      <c r="H163" s="10">
        <f t="shared" si="26"/>
        <v>6116.01</v>
      </c>
      <c r="I163" s="10">
        <f t="shared" si="26"/>
        <v>5750.7</v>
      </c>
      <c r="J163" s="11"/>
    </row>
    <row r="164" spans="1:10" x14ac:dyDescent="0.25">
      <c r="A164" s="179"/>
      <c r="B164" s="21" t="s">
        <v>292</v>
      </c>
      <c r="C164" s="10">
        <f t="shared" ref="C164:I164" si="27">SUMIF($B$43:$B$162,"фед*",C$43:C$162)</f>
        <v>16417.509999999995</v>
      </c>
      <c r="D164" s="10">
        <f t="shared" si="27"/>
        <v>472.8</v>
      </c>
      <c r="E164" s="10">
        <f t="shared" si="27"/>
        <v>1667.6</v>
      </c>
      <c r="F164" s="10">
        <f t="shared" si="27"/>
        <v>1385.66</v>
      </c>
      <c r="G164" s="10">
        <f t="shared" si="27"/>
        <v>2461.4500000000003</v>
      </c>
      <c r="H164" s="10">
        <f t="shared" si="27"/>
        <v>5334.3599999999988</v>
      </c>
      <c r="I164" s="10">
        <f t="shared" si="27"/>
        <v>5095.6399999999994</v>
      </c>
      <c r="J164" s="11"/>
    </row>
    <row r="165" spans="1:10" x14ac:dyDescent="0.25">
      <c r="A165" s="179"/>
      <c r="B165" s="21" t="s">
        <v>293</v>
      </c>
      <c r="C165" s="10">
        <f>SUMIF($B$43:$B$162,"респ*",C$43:C$162)</f>
        <v>3120.5</v>
      </c>
      <c r="D165" s="10">
        <f t="shared" ref="D165:I165" si="28">SUMIF($B$43:$B$162,"респ*",D$43:D$162)</f>
        <v>203.4</v>
      </c>
      <c r="E165" s="10">
        <f t="shared" si="28"/>
        <v>406.5</v>
      </c>
      <c r="F165" s="10">
        <f t="shared" si="28"/>
        <v>893.52</v>
      </c>
      <c r="G165" s="10">
        <f t="shared" si="28"/>
        <v>467.70000000000005</v>
      </c>
      <c r="H165" s="10">
        <f t="shared" si="28"/>
        <v>625.31999999999994</v>
      </c>
      <c r="I165" s="10">
        <f t="shared" si="28"/>
        <v>524.06000000000006</v>
      </c>
      <c r="J165" s="11"/>
    </row>
    <row r="166" spans="1:10" x14ac:dyDescent="0.25">
      <c r="A166" s="179"/>
      <c r="B166" s="21" t="s">
        <v>294</v>
      </c>
      <c r="C166" s="10">
        <f>SUMIF($B$43:$B$162,"муниц*",C$43:C$162)</f>
        <v>780.02</v>
      </c>
      <c r="D166" s="10">
        <f t="shared" ref="D166:I166" si="29">SUMIF($B$43:$B$162,"муниц*",D$43:D$162)</f>
        <v>50.8</v>
      </c>
      <c r="E166" s="10">
        <f t="shared" si="29"/>
        <v>101.6</v>
      </c>
      <c r="F166" s="10">
        <f t="shared" si="29"/>
        <v>223.38</v>
      </c>
      <c r="G166" s="10">
        <f t="shared" si="29"/>
        <v>116.91</v>
      </c>
      <c r="H166" s="10">
        <f t="shared" si="29"/>
        <v>156.32999999999998</v>
      </c>
      <c r="I166" s="10">
        <f t="shared" si="29"/>
        <v>131</v>
      </c>
    </row>
    <row r="167" spans="1:10" x14ac:dyDescent="0.25">
      <c r="A167" s="179"/>
      <c r="B167" s="21" t="s">
        <v>295</v>
      </c>
      <c r="C167" s="10">
        <f t="shared" ref="C167:I167" si="30">SUMIF($B$43:$B$162,"вне*",C$43:C$162)</f>
        <v>0</v>
      </c>
      <c r="D167" s="10">
        <f t="shared" si="30"/>
        <v>0</v>
      </c>
      <c r="E167" s="10">
        <f t="shared" si="30"/>
        <v>0</v>
      </c>
      <c r="F167" s="10">
        <f t="shared" si="30"/>
        <v>0</v>
      </c>
      <c r="G167" s="10">
        <f t="shared" si="30"/>
        <v>0</v>
      </c>
      <c r="H167" s="10">
        <f t="shared" si="30"/>
        <v>0</v>
      </c>
      <c r="I167" s="10">
        <f t="shared" si="30"/>
        <v>0</v>
      </c>
      <c r="J167" s="11"/>
    </row>
    <row r="168" spans="1:10" x14ac:dyDescent="0.25">
      <c r="A168" s="176" t="s">
        <v>8</v>
      </c>
      <c r="B168" s="176"/>
      <c r="C168" s="176"/>
      <c r="D168" s="176"/>
      <c r="E168" s="176"/>
      <c r="F168" s="176"/>
      <c r="G168" s="176"/>
      <c r="H168" s="176"/>
      <c r="I168" s="176"/>
    </row>
    <row r="169" spans="1:10" x14ac:dyDescent="0.25">
      <c r="A169" s="173" t="s">
        <v>93</v>
      </c>
      <c r="B169" s="21" t="s">
        <v>403</v>
      </c>
      <c r="C169" s="69">
        <f>SUM(D169:I169)</f>
        <v>512.1</v>
      </c>
      <c r="D169" s="69">
        <f>SUM(D170:D173)</f>
        <v>3.6</v>
      </c>
      <c r="E169" s="69">
        <f t="shared" ref="E169:I169" si="31">SUM(E170:E171)</f>
        <v>101.7</v>
      </c>
      <c r="F169" s="69">
        <f t="shared" si="31"/>
        <v>203.4</v>
      </c>
      <c r="G169" s="69">
        <f t="shared" si="31"/>
        <v>203.4</v>
      </c>
      <c r="H169" s="69">
        <f t="shared" si="31"/>
        <v>0</v>
      </c>
      <c r="I169" s="69">
        <f t="shared" si="31"/>
        <v>0</v>
      </c>
    </row>
    <row r="170" spans="1:10" x14ac:dyDescent="0.25">
      <c r="A170" s="173"/>
      <c r="B170" s="21" t="s">
        <v>292</v>
      </c>
      <c r="C170" s="69">
        <f>SUM(D170:I170)</f>
        <v>508.5</v>
      </c>
      <c r="D170" s="69"/>
      <c r="E170" s="69">
        <v>101.7</v>
      </c>
      <c r="F170" s="69">
        <v>203.4</v>
      </c>
      <c r="G170" s="69">
        <v>203.4</v>
      </c>
      <c r="H170" s="69"/>
      <c r="I170" s="69"/>
    </row>
    <row r="171" spans="1:10" x14ac:dyDescent="0.25">
      <c r="A171" s="173"/>
      <c r="B171" s="21" t="s">
        <v>293</v>
      </c>
      <c r="C171" s="71"/>
      <c r="D171" s="71"/>
      <c r="E171" s="71"/>
      <c r="F171" s="71"/>
      <c r="G171" s="71"/>
      <c r="H171" s="69"/>
      <c r="I171" s="69"/>
    </row>
    <row r="172" spans="1:10" x14ac:dyDescent="0.25">
      <c r="A172" s="173"/>
      <c r="B172" s="21" t="s">
        <v>294</v>
      </c>
      <c r="C172" s="69">
        <f>SUM(D172:I172)</f>
        <v>3.6</v>
      </c>
      <c r="D172" s="69">
        <v>3.6</v>
      </c>
      <c r="E172" s="70"/>
      <c r="F172" s="70"/>
      <c r="G172" s="70"/>
      <c r="H172" s="70"/>
      <c r="I172" s="70"/>
    </row>
    <row r="173" spans="1:10" x14ac:dyDescent="0.25">
      <c r="A173" s="173"/>
      <c r="B173" s="21" t="s">
        <v>295</v>
      </c>
      <c r="C173" s="69"/>
      <c r="D173" s="69"/>
      <c r="E173" s="69"/>
      <c r="F173" s="69"/>
      <c r="G173" s="69"/>
      <c r="H173" s="69"/>
      <c r="I173" s="69"/>
    </row>
    <row r="174" spans="1:10" x14ac:dyDescent="0.25">
      <c r="A174" s="173" t="s">
        <v>94</v>
      </c>
      <c r="B174" s="21" t="s">
        <v>403</v>
      </c>
      <c r="C174" s="69">
        <f>SUM(D174:I174)</f>
        <v>1057</v>
      </c>
      <c r="D174" s="69">
        <f t="shared" ref="D174:I174" si="32">SUM(D175:D176)</f>
        <v>161.5</v>
      </c>
      <c r="E174" s="69">
        <f t="shared" si="32"/>
        <v>179.1</v>
      </c>
      <c r="F174" s="69">
        <f t="shared" si="32"/>
        <v>179.1</v>
      </c>
      <c r="G174" s="69">
        <f t="shared" si="32"/>
        <v>179.1</v>
      </c>
      <c r="H174" s="69">
        <f t="shared" si="32"/>
        <v>179.1</v>
      </c>
      <c r="I174" s="69">
        <f t="shared" si="32"/>
        <v>179.1</v>
      </c>
    </row>
    <row r="175" spans="1:10" x14ac:dyDescent="0.25">
      <c r="A175" s="173"/>
      <c r="B175" s="21" t="s">
        <v>292</v>
      </c>
      <c r="C175" s="69">
        <f>SUM(D175:I175)</f>
        <v>538.20000000000005</v>
      </c>
      <c r="D175" s="69">
        <v>81.7</v>
      </c>
      <c r="E175" s="69">
        <v>91.3</v>
      </c>
      <c r="F175" s="69">
        <v>91.3</v>
      </c>
      <c r="G175" s="69">
        <v>91.3</v>
      </c>
      <c r="H175" s="69">
        <v>91.3</v>
      </c>
      <c r="I175" s="69">
        <v>91.3</v>
      </c>
    </row>
    <row r="176" spans="1:10" x14ac:dyDescent="0.25">
      <c r="A176" s="173"/>
      <c r="B176" s="21" t="s">
        <v>293</v>
      </c>
      <c r="C176" s="69">
        <f>SUM(D176:I176)</f>
        <v>518.79999999999995</v>
      </c>
      <c r="D176" s="69">
        <v>79.8</v>
      </c>
      <c r="E176" s="69">
        <v>87.8</v>
      </c>
      <c r="F176" s="69">
        <v>87.8</v>
      </c>
      <c r="G176" s="69">
        <v>87.8</v>
      </c>
      <c r="H176" s="69">
        <v>87.8</v>
      </c>
      <c r="I176" s="69">
        <v>87.8</v>
      </c>
    </row>
    <row r="177" spans="1:9" x14ac:dyDescent="0.25">
      <c r="A177" s="173"/>
      <c r="B177" s="21" t="s">
        <v>294</v>
      </c>
      <c r="C177" s="71"/>
      <c r="D177" s="71"/>
      <c r="E177" s="71"/>
      <c r="F177" s="71"/>
      <c r="G177" s="71"/>
      <c r="H177" s="71"/>
      <c r="I177" s="71"/>
    </row>
    <row r="178" spans="1:9" x14ac:dyDescent="0.25">
      <c r="A178" s="173"/>
      <c r="B178" s="21" t="s">
        <v>295</v>
      </c>
      <c r="C178" s="69"/>
      <c r="D178" s="69"/>
      <c r="E178" s="69"/>
      <c r="F178" s="69"/>
      <c r="G178" s="69"/>
      <c r="H178" s="69"/>
      <c r="I178" s="69"/>
    </row>
    <row r="179" spans="1:9" x14ac:dyDescent="0.25">
      <c r="A179" s="173" t="s">
        <v>95</v>
      </c>
      <c r="B179" s="21" t="s">
        <v>403</v>
      </c>
      <c r="C179" s="69">
        <f t="shared" ref="C179:C186" si="33">SUM(D179:I179)</f>
        <v>2480</v>
      </c>
      <c r="D179" s="69">
        <f t="shared" ref="D179" si="34">SUM(D180:D181)</f>
        <v>0</v>
      </c>
      <c r="E179" s="69">
        <f>SUM(E180:E183)</f>
        <v>549.6</v>
      </c>
      <c r="F179" s="69">
        <f t="shared" ref="F179:I179" si="35">SUM(F180:F183)</f>
        <v>482.6</v>
      </c>
      <c r="G179" s="69">
        <f t="shared" si="35"/>
        <v>482.6</v>
      </c>
      <c r="H179" s="69">
        <f t="shared" si="35"/>
        <v>482.6</v>
      </c>
      <c r="I179" s="69">
        <f t="shared" si="35"/>
        <v>482.6</v>
      </c>
    </row>
    <row r="180" spans="1:9" x14ac:dyDescent="0.25">
      <c r="A180" s="173"/>
      <c r="B180" s="21" t="s">
        <v>292</v>
      </c>
      <c r="C180" s="69">
        <f t="shared" si="33"/>
        <v>0</v>
      </c>
      <c r="D180" s="69"/>
      <c r="E180" s="69"/>
      <c r="F180" s="69"/>
      <c r="G180" s="69"/>
      <c r="H180" s="69"/>
      <c r="I180" s="69"/>
    </row>
    <row r="181" spans="1:9" x14ac:dyDescent="0.25">
      <c r="A181" s="173"/>
      <c r="B181" s="21" t="s">
        <v>293</v>
      </c>
      <c r="C181" s="69">
        <f t="shared" si="33"/>
        <v>1464</v>
      </c>
      <c r="D181" s="69"/>
      <c r="E181" s="69">
        <v>319.68000000000006</v>
      </c>
      <c r="F181" s="69">
        <v>266.08000000000004</v>
      </c>
      <c r="G181" s="69">
        <v>266.08000000000004</v>
      </c>
      <c r="H181" s="69">
        <v>306.08000000000004</v>
      </c>
      <c r="I181" s="69">
        <v>306.08000000000004</v>
      </c>
    </row>
    <row r="182" spans="1:9" x14ac:dyDescent="0.25">
      <c r="A182" s="173"/>
      <c r="B182" s="21" t="s">
        <v>294</v>
      </c>
      <c r="C182" s="69">
        <f t="shared" si="33"/>
        <v>365.99999999999989</v>
      </c>
      <c r="D182" s="70"/>
      <c r="E182" s="70">
        <v>79.919999999999959</v>
      </c>
      <c r="F182" s="70">
        <v>66.519999999999982</v>
      </c>
      <c r="G182" s="70">
        <v>66.519999999999982</v>
      </c>
      <c r="H182" s="70">
        <v>76.519999999999982</v>
      </c>
      <c r="I182" s="70">
        <v>76.519999999999982</v>
      </c>
    </row>
    <row r="183" spans="1:9" ht="26.25" customHeight="1" x14ac:dyDescent="0.25">
      <c r="A183" s="173"/>
      <c r="B183" s="21" t="s">
        <v>295</v>
      </c>
      <c r="C183" s="69">
        <f t="shared" si="33"/>
        <v>650</v>
      </c>
      <c r="D183" s="69"/>
      <c r="E183" s="72">
        <v>150</v>
      </c>
      <c r="F183" s="72">
        <v>150</v>
      </c>
      <c r="G183" s="72">
        <v>150</v>
      </c>
      <c r="H183" s="72">
        <v>100</v>
      </c>
      <c r="I183" s="72">
        <v>100</v>
      </c>
    </row>
    <row r="184" spans="1:9" x14ac:dyDescent="0.25">
      <c r="A184" s="173" t="s">
        <v>96</v>
      </c>
      <c r="B184" s="21" t="s">
        <v>403</v>
      </c>
      <c r="C184" s="69">
        <f t="shared" si="33"/>
        <v>165</v>
      </c>
      <c r="D184" s="69">
        <f t="shared" ref="D184:I184" si="36">SUM(D185:D186)</f>
        <v>0</v>
      </c>
      <c r="E184" s="69">
        <f t="shared" si="36"/>
        <v>45</v>
      </c>
      <c r="F184" s="69">
        <f t="shared" si="36"/>
        <v>30</v>
      </c>
      <c r="G184" s="69">
        <f t="shared" si="36"/>
        <v>30</v>
      </c>
      <c r="H184" s="69">
        <f t="shared" si="36"/>
        <v>30</v>
      </c>
      <c r="I184" s="69">
        <f t="shared" si="36"/>
        <v>30</v>
      </c>
    </row>
    <row r="185" spans="1:9" x14ac:dyDescent="0.25">
      <c r="A185" s="173"/>
      <c r="B185" s="21" t="s">
        <v>292</v>
      </c>
      <c r="C185" s="69">
        <f t="shared" si="33"/>
        <v>0</v>
      </c>
      <c r="D185" s="69"/>
      <c r="E185" s="73"/>
      <c r="F185" s="73"/>
      <c r="G185" s="73"/>
      <c r="H185" s="69"/>
      <c r="I185" s="69"/>
    </row>
    <row r="186" spans="1:9" x14ac:dyDescent="0.25">
      <c r="A186" s="173"/>
      <c r="B186" s="21" t="s">
        <v>293</v>
      </c>
      <c r="C186" s="69">
        <f t="shared" si="33"/>
        <v>165</v>
      </c>
      <c r="D186" s="69"/>
      <c r="E186" s="70">
        <v>45</v>
      </c>
      <c r="F186" s="70">
        <v>30</v>
      </c>
      <c r="G186" s="70">
        <v>30</v>
      </c>
      <c r="H186" s="69">
        <v>30</v>
      </c>
      <c r="I186" s="69">
        <v>30</v>
      </c>
    </row>
    <row r="187" spans="1:9" x14ac:dyDescent="0.25">
      <c r="A187" s="173"/>
      <c r="B187" s="21" t="s">
        <v>294</v>
      </c>
      <c r="C187" s="71"/>
      <c r="D187" s="71"/>
      <c r="E187" s="71"/>
      <c r="F187" s="71"/>
      <c r="G187" s="71"/>
      <c r="H187" s="71"/>
      <c r="I187" s="71"/>
    </row>
    <row r="188" spans="1:9" x14ac:dyDescent="0.25">
      <c r="A188" s="173"/>
      <c r="B188" s="21" t="s">
        <v>295</v>
      </c>
      <c r="C188" s="69"/>
      <c r="D188" s="69"/>
      <c r="E188" s="69"/>
      <c r="F188" s="69"/>
      <c r="G188" s="69"/>
      <c r="H188" s="69"/>
      <c r="I188" s="69"/>
    </row>
    <row r="189" spans="1:9" x14ac:dyDescent="0.25">
      <c r="A189" s="173" t="s">
        <v>98</v>
      </c>
      <c r="B189" s="21" t="s">
        <v>403</v>
      </c>
      <c r="C189" s="69">
        <f>SUM(D189:I189)</f>
        <v>170</v>
      </c>
      <c r="D189" s="69">
        <f t="shared" ref="D189:I189" si="37">SUM(D190:D191)</f>
        <v>0</v>
      </c>
      <c r="E189" s="69">
        <f>SUM(E190:E193)</f>
        <v>60</v>
      </c>
      <c r="F189" s="69">
        <f>SUM(F190:F193)</f>
        <v>110</v>
      </c>
      <c r="G189" s="69">
        <f t="shared" si="37"/>
        <v>0</v>
      </c>
      <c r="H189" s="69">
        <f t="shared" si="37"/>
        <v>0</v>
      </c>
      <c r="I189" s="69">
        <f t="shared" si="37"/>
        <v>0</v>
      </c>
    </row>
    <row r="190" spans="1:9" x14ac:dyDescent="0.25">
      <c r="A190" s="173"/>
      <c r="B190" s="21" t="s">
        <v>292</v>
      </c>
      <c r="C190" s="69">
        <f>SUM(D190:I190)</f>
        <v>0</v>
      </c>
      <c r="D190" s="69"/>
      <c r="E190" s="69"/>
      <c r="F190" s="69"/>
      <c r="G190" s="69"/>
      <c r="H190" s="69"/>
      <c r="I190" s="69"/>
    </row>
    <row r="191" spans="1:9" x14ac:dyDescent="0.25">
      <c r="A191" s="173"/>
      <c r="B191" s="21" t="s">
        <v>293</v>
      </c>
      <c r="C191" s="69">
        <f>SUM(D191:I191)</f>
        <v>161.5</v>
      </c>
      <c r="D191" s="69"/>
      <c r="E191" s="69">
        <v>57</v>
      </c>
      <c r="F191" s="69">
        <v>104.5</v>
      </c>
      <c r="G191" s="69"/>
      <c r="H191" s="69"/>
      <c r="I191" s="69"/>
    </row>
    <row r="192" spans="1:9" x14ac:dyDescent="0.25">
      <c r="A192" s="173"/>
      <c r="B192" s="21" t="s">
        <v>294</v>
      </c>
      <c r="C192" s="69">
        <f>SUM(D192:I192)</f>
        <v>8.5</v>
      </c>
      <c r="D192" s="70"/>
      <c r="E192" s="69">
        <v>3</v>
      </c>
      <c r="F192" s="69">
        <v>5.5</v>
      </c>
      <c r="G192" s="70"/>
      <c r="H192" s="70"/>
      <c r="I192" s="70"/>
    </row>
    <row r="193" spans="1:9" x14ac:dyDescent="0.25">
      <c r="A193" s="173"/>
      <c r="B193" s="21" t="s">
        <v>295</v>
      </c>
      <c r="C193" s="69"/>
      <c r="D193" s="69"/>
      <c r="E193" s="69"/>
      <c r="F193" s="69"/>
      <c r="G193" s="69"/>
      <c r="H193" s="69"/>
      <c r="I193" s="69"/>
    </row>
    <row r="194" spans="1:9" x14ac:dyDescent="0.25">
      <c r="A194" s="173" t="s">
        <v>186</v>
      </c>
      <c r="B194" s="21" t="s">
        <v>403</v>
      </c>
      <c r="C194" s="69">
        <f t="shared" ref="C194:C203" si="38">SUM(D194:I194)</f>
        <v>171.63</v>
      </c>
      <c r="D194" s="13">
        <f t="shared" ref="D194:F194" si="39">D195+D196+D198</f>
        <v>5.16</v>
      </c>
      <c r="E194" s="13">
        <f t="shared" si="39"/>
        <v>127.52000000000001</v>
      </c>
      <c r="F194" s="13">
        <f t="shared" si="39"/>
        <v>38.950000000000003</v>
      </c>
      <c r="G194" s="13"/>
      <c r="H194" s="13"/>
      <c r="I194" s="13"/>
    </row>
    <row r="195" spans="1:9" x14ac:dyDescent="0.25">
      <c r="A195" s="173"/>
      <c r="B195" s="21" t="s">
        <v>292</v>
      </c>
      <c r="C195" s="69">
        <f t="shared" si="38"/>
        <v>102.98</v>
      </c>
      <c r="D195" s="13">
        <v>3.1</v>
      </c>
      <c r="E195" s="13">
        <v>76.510000000000005</v>
      </c>
      <c r="F195" s="13">
        <v>23.37</v>
      </c>
      <c r="G195" s="13"/>
      <c r="H195" s="13"/>
      <c r="I195" s="13"/>
    </row>
    <row r="196" spans="1:9" x14ac:dyDescent="0.25">
      <c r="A196" s="173"/>
      <c r="B196" s="21" t="s">
        <v>293</v>
      </c>
      <c r="C196" s="69">
        <f t="shared" si="38"/>
        <v>32.61</v>
      </c>
      <c r="D196" s="13">
        <v>0.98</v>
      </c>
      <c r="E196" s="13">
        <v>24.23</v>
      </c>
      <c r="F196" s="13">
        <v>7.4</v>
      </c>
      <c r="G196" s="13"/>
      <c r="H196" s="13"/>
      <c r="I196" s="13"/>
    </row>
    <row r="197" spans="1:9" x14ac:dyDescent="0.25">
      <c r="A197" s="173"/>
      <c r="B197" s="21" t="s">
        <v>294</v>
      </c>
      <c r="C197" s="71"/>
      <c r="D197" s="71"/>
      <c r="E197" s="71"/>
      <c r="F197" s="71"/>
      <c r="G197" s="70"/>
      <c r="H197" s="70"/>
      <c r="I197" s="70"/>
    </row>
    <row r="198" spans="1:9" x14ac:dyDescent="0.25">
      <c r="A198" s="173"/>
      <c r="B198" s="21" t="s">
        <v>295</v>
      </c>
      <c r="C198" s="69">
        <f t="shared" si="38"/>
        <v>36.04</v>
      </c>
      <c r="D198" s="13">
        <v>1.08</v>
      </c>
      <c r="E198" s="13">
        <v>26.78</v>
      </c>
      <c r="F198" s="13">
        <v>8.18</v>
      </c>
      <c r="G198" s="13"/>
      <c r="H198" s="13"/>
      <c r="I198" s="13"/>
    </row>
    <row r="199" spans="1:9" x14ac:dyDescent="0.25">
      <c r="A199" s="173" t="s">
        <v>187</v>
      </c>
      <c r="B199" s="21" t="s">
        <v>403</v>
      </c>
      <c r="C199" s="69">
        <f t="shared" si="38"/>
        <v>545.81000000000006</v>
      </c>
      <c r="D199" s="13"/>
      <c r="E199" s="13">
        <f t="shared" ref="E199:F199" si="40">E200+E201+E203</f>
        <v>504.35</v>
      </c>
      <c r="F199" s="13">
        <f t="shared" si="40"/>
        <v>41.459999999999994</v>
      </c>
      <c r="G199" s="13"/>
      <c r="H199" s="13"/>
      <c r="I199" s="13"/>
    </row>
    <row r="200" spans="1:9" x14ac:dyDescent="0.25">
      <c r="A200" s="173"/>
      <c r="B200" s="21" t="s">
        <v>292</v>
      </c>
      <c r="C200" s="69">
        <f t="shared" si="38"/>
        <v>327.49</v>
      </c>
      <c r="D200" s="13"/>
      <c r="E200" s="13">
        <v>302.61</v>
      </c>
      <c r="F200" s="13">
        <v>24.88</v>
      </c>
      <c r="G200" s="14"/>
      <c r="H200" s="13"/>
      <c r="I200" s="13"/>
    </row>
    <row r="201" spans="1:9" x14ac:dyDescent="0.25">
      <c r="A201" s="173"/>
      <c r="B201" s="21" t="s">
        <v>293</v>
      </c>
      <c r="C201" s="69">
        <f t="shared" si="38"/>
        <v>103.71</v>
      </c>
      <c r="D201" s="13"/>
      <c r="E201" s="13">
        <v>95.83</v>
      </c>
      <c r="F201" s="13">
        <v>7.88</v>
      </c>
      <c r="G201" s="14"/>
      <c r="H201" s="13"/>
      <c r="I201" s="13"/>
    </row>
    <row r="202" spans="1:9" x14ac:dyDescent="0.25">
      <c r="A202" s="173"/>
      <c r="B202" s="21" t="s">
        <v>294</v>
      </c>
      <c r="C202" s="71"/>
      <c r="D202" s="71"/>
      <c r="E202" s="71"/>
      <c r="F202" s="71"/>
      <c r="G202" s="70"/>
      <c r="H202" s="70"/>
      <c r="I202" s="70"/>
    </row>
    <row r="203" spans="1:9" ht="30.75" customHeight="1" x14ac:dyDescent="0.25">
      <c r="A203" s="173"/>
      <c r="B203" s="21" t="s">
        <v>295</v>
      </c>
      <c r="C203" s="69">
        <f t="shared" si="38"/>
        <v>114.61</v>
      </c>
      <c r="D203" s="13"/>
      <c r="E203" s="13">
        <v>105.91</v>
      </c>
      <c r="F203" s="13">
        <v>8.6999999999999993</v>
      </c>
      <c r="G203" s="13"/>
      <c r="H203" s="13"/>
      <c r="I203" s="13"/>
    </row>
    <row r="204" spans="1:9" x14ac:dyDescent="0.25">
      <c r="A204" s="173" t="s">
        <v>188</v>
      </c>
      <c r="B204" s="21" t="s">
        <v>403</v>
      </c>
      <c r="C204" s="69">
        <f>SUM(D204:I204)</f>
        <v>104.12</v>
      </c>
      <c r="D204" s="13"/>
      <c r="E204" s="13">
        <f t="shared" ref="E204" si="41">E205+E206+E208</f>
        <v>104.12</v>
      </c>
      <c r="F204" s="13"/>
      <c r="G204" s="13"/>
      <c r="H204" s="13"/>
      <c r="I204" s="13"/>
    </row>
    <row r="205" spans="1:9" x14ac:dyDescent="0.25">
      <c r="A205" s="173"/>
      <c r="B205" s="21" t="s">
        <v>292</v>
      </c>
      <c r="C205" s="69">
        <f>SUM(D205:I205)</f>
        <v>62.47</v>
      </c>
      <c r="D205" s="13"/>
      <c r="E205" s="13">
        <v>62.47</v>
      </c>
      <c r="F205" s="13"/>
      <c r="G205" s="13"/>
      <c r="H205" s="13"/>
      <c r="I205" s="13"/>
    </row>
    <row r="206" spans="1:9" x14ac:dyDescent="0.25">
      <c r="A206" s="173"/>
      <c r="B206" s="21" t="s">
        <v>293</v>
      </c>
      <c r="C206" s="69">
        <f>SUM(D206:I206)</f>
        <v>19.78</v>
      </c>
      <c r="D206" s="13"/>
      <c r="E206" s="13">
        <v>19.78</v>
      </c>
      <c r="F206" s="13"/>
      <c r="G206" s="13"/>
      <c r="H206" s="13"/>
      <c r="I206" s="13"/>
    </row>
    <row r="207" spans="1:9" x14ac:dyDescent="0.25">
      <c r="A207" s="173"/>
      <c r="B207" s="21" t="s">
        <v>294</v>
      </c>
      <c r="C207" s="71"/>
      <c r="D207" s="71"/>
      <c r="E207" s="71"/>
      <c r="F207" s="70"/>
      <c r="G207" s="70"/>
      <c r="H207" s="70"/>
      <c r="I207" s="70"/>
    </row>
    <row r="208" spans="1:9" ht="27" customHeight="1" x14ac:dyDescent="0.25">
      <c r="A208" s="173"/>
      <c r="B208" s="21" t="s">
        <v>295</v>
      </c>
      <c r="C208" s="69">
        <f>SUM(D208:I208)</f>
        <v>21.87</v>
      </c>
      <c r="D208" s="13"/>
      <c r="E208" s="13">
        <v>21.87</v>
      </c>
      <c r="F208" s="13"/>
      <c r="G208" s="13"/>
      <c r="H208" s="13"/>
      <c r="I208" s="13"/>
    </row>
    <row r="209" spans="1:9" x14ac:dyDescent="0.25">
      <c r="A209" s="173" t="s">
        <v>189</v>
      </c>
      <c r="B209" s="21" t="s">
        <v>403</v>
      </c>
      <c r="C209" s="69">
        <f t="shared" ref="C209:C218" si="42">SUM(D209:I209)</f>
        <v>32.92118</v>
      </c>
      <c r="D209" s="69"/>
      <c r="E209" s="69"/>
      <c r="F209" s="69">
        <f t="shared" ref="F209" si="43">F210+F211+F213</f>
        <v>32.92118</v>
      </c>
      <c r="G209" s="69"/>
      <c r="H209" s="69"/>
      <c r="I209" s="69"/>
    </row>
    <row r="210" spans="1:9" x14ac:dyDescent="0.25">
      <c r="A210" s="173"/>
      <c r="B210" s="21" t="s">
        <v>292</v>
      </c>
      <c r="C210" s="69">
        <f t="shared" si="42"/>
        <v>19.752707999999998</v>
      </c>
      <c r="D210" s="69"/>
      <c r="E210" s="69"/>
      <c r="F210" s="69">
        <f>32.92118/100*60</f>
        <v>19.752707999999998</v>
      </c>
      <c r="G210" s="69"/>
      <c r="H210" s="69"/>
      <c r="I210" s="69"/>
    </row>
    <row r="211" spans="1:9" x14ac:dyDescent="0.25">
      <c r="A211" s="173"/>
      <c r="B211" s="21" t="s">
        <v>293</v>
      </c>
      <c r="C211" s="69">
        <f t="shared" si="42"/>
        <v>6.2550242000000003</v>
      </c>
      <c r="D211" s="69"/>
      <c r="E211" s="69"/>
      <c r="F211" s="69">
        <f>32.92118/100*19</f>
        <v>6.2550242000000003</v>
      </c>
      <c r="G211" s="69"/>
      <c r="H211" s="69"/>
      <c r="I211" s="69"/>
    </row>
    <row r="212" spans="1:9" x14ac:dyDescent="0.25">
      <c r="A212" s="173"/>
      <c r="B212" s="21" t="s">
        <v>294</v>
      </c>
      <c r="C212" s="71"/>
      <c r="D212" s="71"/>
      <c r="E212" s="71"/>
      <c r="F212" s="71"/>
      <c r="G212" s="70"/>
      <c r="H212" s="70"/>
      <c r="I212" s="70"/>
    </row>
    <row r="213" spans="1:9" ht="27.75" customHeight="1" x14ac:dyDescent="0.25">
      <c r="A213" s="173"/>
      <c r="B213" s="21" t="s">
        <v>295</v>
      </c>
      <c r="C213" s="69">
        <f t="shared" si="42"/>
        <v>6.9134478000000001</v>
      </c>
      <c r="D213" s="69"/>
      <c r="E213" s="69"/>
      <c r="F213" s="69">
        <f>32.92118/100*21</f>
        <v>6.9134478000000001</v>
      </c>
      <c r="G213" s="69"/>
      <c r="H213" s="69"/>
      <c r="I213" s="69"/>
    </row>
    <row r="214" spans="1:9" x14ac:dyDescent="0.25">
      <c r="A214" s="173" t="s">
        <v>190</v>
      </c>
      <c r="B214" s="21" t="s">
        <v>403</v>
      </c>
      <c r="C214" s="69">
        <f t="shared" si="42"/>
        <v>31.389809999999997</v>
      </c>
      <c r="D214" s="69"/>
      <c r="E214" s="69"/>
      <c r="F214" s="69">
        <f t="shared" ref="F214" si="44">F215+F216+F218</f>
        <v>31.389809999999997</v>
      </c>
      <c r="G214" s="69"/>
      <c r="H214" s="69"/>
      <c r="I214" s="69"/>
    </row>
    <row r="215" spans="1:9" x14ac:dyDescent="0.25">
      <c r="A215" s="173"/>
      <c r="B215" s="21" t="s">
        <v>292</v>
      </c>
      <c r="C215" s="69">
        <f t="shared" si="42"/>
        <v>18.833886</v>
      </c>
      <c r="D215" s="69"/>
      <c r="E215" s="69"/>
      <c r="F215" s="69">
        <f>31.38981/100*60</f>
        <v>18.833886</v>
      </c>
      <c r="G215" s="69"/>
      <c r="H215" s="69"/>
      <c r="I215" s="69"/>
    </row>
    <row r="216" spans="1:9" x14ac:dyDescent="0.25">
      <c r="A216" s="173"/>
      <c r="B216" s="21" t="s">
        <v>293</v>
      </c>
      <c r="C216" s="69">
        <f t="shared" si="42"/>
        <v>5.9640639000000002</v>
      </c>
      <c r="D216" s="69"/>
      <c r="E216" s="69"/>
      <c r="F216" s="69">
        <f>31.38981/100*19</f>
        <v>5.9640639000000002</v>
      </c>
      <c r="G216" s="69"/>
      <c r="H216" s="69"/>
      <c r="I216" s="69"/>
    </row>
    <row r="217" spans="1:9" x14ac:dyDescent="0.25">
      <c r="A217" s="173"/>
      <c r="B217" s="21" t="s">
        <v>294</v>
      </c>
      <c r="C217" s="71"/>
      <c r="D217" s="71"/>
      <c r="E217" s="71"/>
      <c r="F217" s="71"/>
      <c r="G217" s="70"/>
      <c r="H217" s="70"/>
      <c r="I217" s="70"/>
    </row>
    <row r="218" spans="1:9" x14ac:dyDescent="0.25">
      <c r="A218" s="173"/>
      <c r="B218" s="21" t="s">
        <v>295</v>
      </c>
      <c r="C218" s="69">
        <f t="shared" si="42"/>
        <v>6.5918600999999999</v>
      </c>
      <c r="D218" s="69"/>
      <c r="E218" s="69"/>
      <c r="F218" s="69">
        <f>31.38981/100*21</f>
        <v>6.5918600999999999</v>
      </c>
      <c r="G218" s="69"/>
      <c r="H218" s="69"/>
      <c r="I218" s="69"/>
    </row>
    <row r="219" spans="1:9" x14ac:dyDescent="0.25">
      <c r="A219" s="173" t="s">
        <v>191</v>
      </c>
      <c r="B219" s="21" t="s">
        <v>403</v>
      </c>
      <c r="C219" s="69">
        <f t="shared" ref="C219:C238" si="45">SUM(D219:I219)</f>
        <v>54.810870000000001</v>
      </c>
      <c r="D219" s="69"/>
      <c r="E219" s="69"/>
      <c r="F219" s="69">
        <f t="shared" ref="F219" si="46">F220+F221+F223</f>
        <v>54.810870000000001</v>
      </c>
      <c r="G219" s="69"/>
      <c r="H219" s="69"/>
      <c r="I219" s="69"/>
    </row>
    <row r="220" spans="1:9" x14ac:dyDescent="0.25">
      <c r="A220" s="173"/>
      <c r="B220" s="21" t="s">
        <v>292</v>
      </c>
      <c r="C220" s="69">
        <f t="shared" si="45"/>
        <v>32.886521999999999</v>
      </c>
      <c r="D220" s="69"/>
      <c r="E220" s="69"/>
      <c r="F220" s="69">
        <f>54.81087/100*60</f>
        <v>32.886521999999999</v>
      </c>
      <c r="G220" s="69"/>
      <c r="H220" s="69"/>
      <c r="I220" s="69"/>
    </row>
    <row r="221" spans="1:9" x14ac:dyDescent="0.25">
      <c r="A221" s="173"/>
      <c r="B221" s="21" t="s">
        <v>293</v>
      </c>
      <c r="C221" s="69">
        <f t="shared" si="45"/>
        <v>10.414065300000001</v>
      </c>
      <c r="D221" s="69"/>
      <c r="E221" s="69"/>
      <c r="F221" s="69">
        <f>54.81087/100*19</f>
        <v>10.414065300000001</v>
      </c>
      <c r="G221" s="69"/>
      <c r="H221" s="69"/>
      <c r="I221" s="69"/>
    </row>
    <row r="222" spans="1:9" x14ac:dyDescent="0.25">
      <c r="A222" s="173"/>
      <c r="B222" s="21" t="s">
        <v>294</v>
      </c>
      <c r="C222" s="71"/>
      <c r="D222" s="71"/>
      <c r="E222" s="71"/>
      <c r="F222" s="71"/>
      <c r="G222" s="70"/>
      <c r="H222" s="70"/>
      <c r="I222" s="70"/>
    </row>
    <row r="223" spans="1:9" x14ac:dyDescent="0.25">
      <c r="A223" s="173"/>
      <c r="B223" s="21" t="s">
        <v>295</v>
      </c>
      <c r="C223" s="69">
        <f t="shared" si="45"/>
        <v>11.510282699999999</v>
      </c>
      <c r="D223" s="69"/>
      <c r="E223" s="69"/>
      <c r="F223" s="69">
        <f>54.81087/100*21</f>
        <v>11.510282699999999</v>
      </c>
      <c r="G223" s="69"/>
      <c r="H223" s="69"/>
      <c r="I223" s="69"/>
    </row>
    <row r="224" spans="1:9" x14ac:dyDescent="0.25">
      <c r="A224" s="173" t="s">
        <v>192</v>
      </c>
      <c r="B224" s="21" t="s">
        <v>403</v>
      </c>
      <c r="C224" s="69">
        <f t="shared" si="45"/>
        <v>32.834539999999997</v>
      </c>
      <c r="D224" s="69"/>
      <c r="E224" s="69"/>
      <c r="F224" s="69">
        <f t="shared" ref="F224" si="47">F225+F226+F228</f>
        <v>32.834539999999997</v>
      </c>
      <c r="G224" s="69"/>
      <c r="H224" s="69"/>
      <c r="I224" s="69"/>
    </row>
    <row r="225" spans="1:9" x14ac:dyDescent="0.25">
      <c r="A225" s="173"/>
      <c r="B225" s="21" t="s">
        <v>292</v>
      </c>
      <c r="C225" s="69">
        <f t="shared" si="45"/>
        <v>19.700723999999997</v>
      </c>
      <c r="D225" s="69"/>
      <c r="E225" s="69"/>
      <c r="F225" s="69">
        <f>32.83454/100*60</f>
        <v>19.700723999999997</v>
      </c>
      <c r="G225" s="69"/>
      <c r="H225" s="69"/>
      <c r="I225" s="69"/>
    </row>
    <row r="226" spans="1:9" x14ac:dyDescent="0.25">
      <c r="A226" s="173"/>
      <c r="B226" s="21" t="s">
        <v>293</v>
      </c>
      <c r="C226" s="69">
        <f t="shared" si="45"/>
        <v>6.238562599999999</v>
      </c>
      <c r="D226" s="69"/>
      <c r="E226" s="69"/>
      <c r="F226" s="69">
        <f>32.83454/100*19</f>
        <v>6.238562599999999</v>
      </c>
      <c r="G226" s="69"/>
      <c r="H226" s="69"/>
      <c r="I226" s="69"/>
    </row>
    <row r="227" spans="1:9" x14ac:dyDescent="0.25">
      <c r="A227" s="173"/>
      <c r="B227" s="21" t="s">
        <v>294</v>
      </c>
      <c r="C227" s="71"/>
      <c r="D227" s="71"/>
      <c r="E227" s="71"/>
      <c r="F227" s="71"/>
      <c r="G227" s="70"/>
      <c r="H227" s="70"/>
      <c r="I227" s="70"/>
    </row>
    <row r="228" spans="1:9" x14ac:dyDescent="0.25">
      <c r="A228" s="173"/>
      <c r="B228" s="21" t="s">
        <v>295</v>
      </c>
      <c r="C228" s="69">
        <f t="shared" si="45"/>
        <v>6.8952533999999988</v>
      </c>
      <c r="D228" s="69"/>
      <c r="E228" s="69"/>
      <c r="F228" s="69">
        <f>32.83454/100*21</f>
        <v>6.8952533999999988</v>
      </c>
      <c r="G228" s="69"/>
      <c r="H228" s="69"/>
      <c r="I228" s="69"/>
    </row>
    <row r="229" spans="1:9" x14ac:dyDescent="0.25">
      <c r="A229" s="173" t="s">
        <v>193</v>
      </c>
      <c r="B229" s="21" t="s">
        <v>403</v>
      </c>
      <c r="C229" s="69">
        <f t="shared" si="45"/>
        <v>4.3094999999999999</v>
      </c>
      <c r="D229" s="69"/>
      <c r="E229" s="69">
        <f t="shared" ref="E229" si="48">E230+E231+E233</f>
        <v>4.3094999999999999</v>
      </c>
      <c r="F229" s="69"/>
      <c r="G229" s="69"/>
      <c r="H229" s="69"/>
      <c r="I229" s="69"/>
    </row>
    <row r="230" spans="1:9" x14ac:dyDescent="0.25">
      <c r="A230" s="173"/>
      <c r="B230" s="21" t="s">
        <v>292</v>
      </c>
      <c r="C230" s="69">
        <f t="shared" si="45"/>
        <v>2.5857000000000001</v>
      </c>
      <c r="D230" s="69"/>
      <c r="E230" s="69">
        <f>4.3095/100*60</f>
        <v>2.5857000000000001</v>
      </c>
      <c r="F230" s="69"/>
      <c r="G230" s="69"/>
      <c r="H230" s="69"/>
      <c r="I230" s="69"/>
    </row>
    <row r="231" spans="1:9" x14ac:dyDescent="0.25">
      <c r="A231" s="173"/>
      <c r="B231" s="21" t="s">
        <v>293</v>
      </c>
      <c r="C231" s="69">
        <f t="shared" si="45"/>
        <v>0.81880500000000001</v>
      </c>
      <c r="D231" s="69"/>
      <c r="E231" s="69">
        <f>4.3095/100*19</f>
        <v>0.81880500000000001</v>
      </c>
      <c r="F231" s="69"/>
      <c r="G231" s="69"/>
      <c r="H231" s="69"/>
      <c r="I231" s="69"/>
    </row>
    <row r="232" spans="1:9" x14ac:dyDescent="0.25">
      <c r="A232" s="173"/>
      <c r="B232" s="21" t="s">
        <v>294</v>
      </c>
      <c r="C232" s="71"/>
      <c r="D232" s="71"/>
      <c r="E232" s="71"/>
      <c r="F232" s="70"/>
      <c r="G232" s="70"/>
      <c r="H232" s="70"/>
      <c r="I232" s="70"/>
    </row>
    <row r="233" spans="1:9" ht="24" customHeight="1" x14ac:dyDescent="0.25">
      <c r="A233" s="173"/>
      <c r="B233" s="21" t="s">
        <v>295</v>
      </c>
      <c r="C233" s="69">
        <f t="shared" si="45"/>
        <v>0.90499499999999999</v>
      </c>
      <c r="D233" s="69"/>
      <c r="E233" s="69">
        <f>4.3095/100*21</f>
        <v>0.90499499999999999</v>
      </c>
      <c r="F233" s="69"/>
      <c r="G233" s="69"/>
      <c r="H233" s="69"/>
      <c r="I233" s="69"/>
    </row>
    <row r="234" spans="1:9" x14ac:dyDescent="0.25">
      <c r="A234" s="173" t="s">
        <v>195</v>
      </c>
      <c r="B234" s="21" t="s">
        <v>403</v>
      </c>
      <c r="C234" s="69">
        <f t="shared" si="45"/>
        <v>5.3338000000000001</v>
      </c>
      <c r="D234" s="69"/>
      <c r="E234" s="69">
        <f t="shared" ref="E234" si="49">E235+E236+E238</f>
        <v>5.3338000000000001</v>
      </c>
      <c r="F234" s="69"/>
      <c r="G234" s="69"/>
      <c r="H234" s="69"/>
      <c r="I234" s="69"/>
    </row>
    <row r="235" spans="1:9" x14ac:dyDescent="0.25">
      <c r="A235" s="173"/>
      <c r="B235" s="21" t="s">
        <v>292</v>
      </c>
      <c r="C235" s="69">
        <f t="shared" si="45"/>
        <v>3.2002800000000002</v>
      </c>
      <c r="D235" s="69"/>
      <c r="E235" s="69">
        <f>5.3338/100*60</f>
        <v>3.2002800000000002</v>
      </c>
      <c r="F235" s="69"/>
      <c r="G235" s="69"/>
      <c r="H235" s="69"/>
      <c r="I235" s="69"/>
    </row>
    <row r="236" spans="1:9" x14ac:dyDescent="0.25">
      <c r="A236" s="173"/>
      <c r="B236" s="21" t="s">
        <v>293</v>
      </c>
      <c r="C236" s="69">
        <f t="shared" si="45"/>
        <v>1.013422</v>
      </c>
      <c r="D236" s="69"/>
      <c r="E236" s="69">
        <f>5.3338/100*19</f>
        <v>1.013422</v>
      </c>
      <c r="F236" s="69"/>
      <c r="G236" s="69"/>
      <c r="H236" s="69"/>
      <c r="I236" s="69"/>
    </row>
    <row r="237" spans="1:9" x14ac:dyDescent="0.25">
      <c r="A237" s="173"/>
      <c r="B237" s="21" t="s">
        <v>294</v>
      </c>
      <c r="C237" s="71"/>
      <c r="D237" s="71"/>
      <c r="E237" s="71"/>
      <c r="F237" s="70"/>
      <c r="G237" s="70"/>
      <c r="H237" s="70"/>
      <c r="I237" s="70"/>
    </row>
    <row r="238" spans="1:9" ht="24.75" customHeight="1" x14ac:dyDescent="0.25">
      <c r="A238" s="173"/>
      <c r="B238" s="21" t="s">
        <v>295</v>
      </c>
      <c r="C238" s="69">
        <f t="shared" si="45"/>
        <v>1.120098</v>
      </c>
      <c r="D238" s="69"/>
      <c r="E238" s="69">
        <f>5.3338/100*21</f>
        <v>1.120098</v>
      </c>
      <c r="F238" s="69"/>
      <c r="G238" s="69"/>
      <c r="H238" s="69"/>
      <c r="I238" s="69"/>
    </row>
    <row r="239" spans="1:9" x14ac:dyDescent="0.25">
      <c r="A239" s="173" t="s">
        <v>197</v>
      </c>
      <c r="B239" s="21" t="s">
        <v>403</v>
      </c>
      <c r="C239" s="69">
        <f>SUM(D239:I239)</f>
        <v>6.6139299999999999</v>
      </c>
      <c r="D239" s="69"/>
      <c r="E239" s="69">
        <f t="shared" ref="E239" si="50">E240+E241+E243</f>
        <v>6.6139299999999999</v>
      </c>
      <c r="F239" s="69"/>
      <c r="G239" s="69"/>
      <c r="H239" s="69"/>
      <c r="I239" s="69"/>
    </row>
    <row r="240" spans="1:9" x14ac:dyDescent="0.25">
      <c r="A240" s="173"/>
      <c r="B240" s="21" t="s">
        <v>292</v>
      </c>
      <c r="C240" s="69">
        <f>SUM(D240:I240)</f>
        <v>3.9683579999999998</v>
      </c>
      <c r="D240" s="69"/>
      <c r="E240" s="69">
        <f>6.61393/100*60</f>
        <v>3.9683579999999998</v>
      </c>
      <c r="F240" s="69"/>
      <c r="G240" s="69"/>
      <c r="H240" s="69"/>
      <c r="I240" s="69"/>
    </row>
    <row r="241" spans="1:9" x14ac:dyDescent="0.25">
      <c r="A241" s="173"/>
      <c r="B241" s="21" t="s">
        <v>293</v>
      </c>
      <c r="C241" s="69">
        <f>SUM(D241:I241)</f>
        <v>1.2566466999999999</v>
      </c>
      <c r="D241" s="69"/>
      <c r="E241" s="69">
        <f>6.61393/100*19</f>
        <v>1.2566466999999999</v>
      </c>
      <c r="F241" s="69"/>
      <c r="G241" s="69"/>
      <c r="H241" s="69"/>
      <c r="I241" s="69"/>
    </row>
    <row r="242" spans="1:9" x14ac:dyDescent="0.25">
      <c r="A242" s="173"/>
      <c r="B242" s="21" t="s">
        <v>294</v>
      </c>
      <c r="C242" s="71"/>
      <c r="D242" s="71"/>
      <c r="E242" s="71"/>
      <c r="F242" s="70"/>
      <c r="G242" s="70"/>
      <c r="H242" s="70"/>
      <c r="I242" s="70"/>
    </row>
    <row r="243" spans="1:9" ht="28.5" customHeight="1" x14ac:dyDescent="0.25">
      <c r="A243" s="173"/>
      <c r="B243" s="21" t="s">
        <v>295</v>
      </c>
      <c r="C243" s="69">
        <f>SUM(D243:I243)</f>
        <v>1.3889252999999999</v>
      </c>
      <c r="D243" s="69"/>
      <c r="E243" s="69">
        <f>6.61393/100*21</f>
        <v>1.3889252999999999</v>
      </c>
      <c r="F243" s="69"/>
      <c r="G243" s="69"/>
      <c r="H243" s="69"/>
      <c r="I243" s="69"/>
    </row>
    <row r="244" spans="1:9" x14ac:dyDescent="0.25">
      <c r="A244" s="173" t="s">
        <v>199</v>
      </c>
      <c r="B244" s="21" t="s">
        <v>403</v>
      </c>
      <c r="C244" s="69">
        <f t="shared" ref="C244:C253" si="51">SUM(D244:I244)</f>
        <v>74.204300000000003</v>
      </c>
      <c r="D244" s="69"/>
      <c r="E244" s="69"/>
      <c r="F244" s="69">
        <f t="shared" ref="F244:G244" si="52">F245+F246+F248</f>
        <v>74.204300000000003</v>
      </c>
      <c r="G244" s="69">
        <f t="shared" si="52"/>
        <v>0</v>
      </c>
      <c r="H244" s="69"/>
      <c r="I244" s="69"/>
    </row>
    <row r="245" spans="1:9" x14ac:dyDescent="0.25">
      <c r="A245" s="173"/>
      <c r="B245" s="21" t="s">
        <v>292</v>
      </c>
      <c r="C245" s="69">
        <f t="shared" si="51"/>
        <v>44.522579999999998</v>
      </c>
      <c r="D245" s="69"/>
      <c r="E245" s="69"/>
      <c r="F245" s="69">
        <f>74.2043/100*60</f>
        <v>44.522579999999998</v>
      </c>
      <c r="G245" s="69"/>
      <c r="H245" s="69"/>
      <c r="I245" s="69"/>
    </row>
    <row r="246" spans="1:9" x14ac:dyDescent="0.25">
      <c r="A246" s="173"/>
      <c r="B246" s="21" t="s">
        <v>293</v>
      </c>
      <c r="C246" s="69">
        <f t="shared" si="51"/>
        <v>14.098817</v>
      </c>
      <c r="D246" s="69"/>
      <c r="E246" s="69"/>
      <c r="F246" s="69">
        <f>74.2043/100*19</f>
        <v>14.098817</v>
      </c>
      <c r="G246" s="69"/>
      <c r="H246" s="69"/>
      <c r="I246" s="69"/>
    </row>
    <row r="247" spans="1:9" x14ac:dyDescent="0.25">
      <c r="A247" s="173"/>
      <c r="B247" s="21" t="s">
        <v>294</v>
      </c>
      <c r="C247" s="71"/>
      <c r="D247" s="71"/>
      <c r="E247" s="71"/>
      <c r="F247" s="71"/>
      <c r="G247" s="70"/>
      <c r="H247" s="70"/>
      <c r="I247" s="70"/>
    </row>
    <row r="248" spans="1:9" x14ac:dyDescent="0.25">
      <c r="A248" s="173"/>
      <c r="B248" s="21" t="s">
        <v>295</v>
      </c>
      <c r="C248" s="69">
        <f t="shared" si="51"/>
        <v>15.582903</v>
      </c>
      <c r="D248" s="69"/>
      <c r="E248" s="69"/>
      <c r="F248" s="69">
        <f>74.2043/100*21</f>
        <v>15.582903</v>
      </c>
      <c r="G248" s="69"/>
      <c r="H248" s="69"/>
      <c r="I248" s="69"/>
    </row>
    <row r="249" spans="1:9" x14ac:dyDescent="0.25">
      <c r="A249" s="173" t="s">
        <v>201</v>
      </c>
      <c r="B249" s="21" t="s">
        <v>403</v>
      </c>
      <c r="C249" s="69">
        <f t="shared" si="51"/>
        <v>100.12007</v>
      </c>
      <c r="D249" s="69"/>
      <c r="E249" s="69"/>
      <c r="F249" s="69"/>
      <c r="G249" s="69">
        <f t="shared" ref="G249" si="53">G250+G251+G253</f>
        <v>100.12007</v>
      </c>
      <c r="H249" s="69"/>
      <c r="I249" s="69"/>
    </row>
    <row r="250" spans="1:9" x14ac:dyDescent="0.25">
      <c r="A250" s="173"/>
      <c r="B250" s="21" t="s">
        <v>292</v>
      </c>
      <c r="C250" s="69">
        <f t="shared" si="51"/>
        <v>60.072042000000003</v>
      </c>
      <c r="D250" s="69"/>
      <c r="E250" s="69"/>
      <c r="F250" s="69"/>
      <c r="G250" s="69">
        <f>100.12007/100*60</f>
        <v>60.072042000000003</v>
      </c>
      <c r="H250" s="69"/>
      <c r="I250" s="69"/>
    </row>
    <row r="251" spans="1:9" x14ac:dyDescent="0.25">
      <c r="A251" s="173"/>
      <c r="B251" s="21" t="s">
        <v>293</v>
      </c>
      <c r="C251" s="69">
        <f t="shared" si="51"/>
        <v>19.022813300000003</v>
      </c>
      <c r="D251" s="69"/>
      <c r="E251" s="69"/>
      <c r="F251" s="69"/>
      <c r="G251" s="69">
        <f>100.12007/100*19</f>
        <v>19.022813300000003</v>
      </c>
      <c r="H251" s="69"/>
      <c r="I251" s="69"/>
    </row>
    <row r="252" spans="1:9" x14ac:dyDescent="0.25">
      <c r="A252" s="173"/>
      <c r="B252" s="21" t="s">
        <v>294</v>
      </c>
      <c r="C252" s="71"/>
      <c r="D252" s="70"/>
      <c r="E252" s="70"/>
      <c r="F252" s="70"/>
      <c r="G252" s="71"/>
      <c r="H252" s="70"/>
      <c r="I252" s="70"/>
    </row>
    <row r="253" spans="1:9" x14ac:dyDescent="0.25">
      <c r="A253" s="173"/>
      <c r="B253" s="21" t="s">
        <v>295</v>
      </c>
      <c r="C253" s="69">
        <f t="shared" si="51"/>
        <v>21.025214699999999</v>
      </c>
      <c r="D253" s="69"/>
      <c r="E253" s="69"/>
      <c r="F253" s="69"/>
      <c r="G253" s="69">
        <f>100.12007/100*21</f>
        <v>21.025214699999999</v>
      </c>
      <c r="H253" s="69"/>
      <c r="I253" s="69"/>
    </row>
    <row r="254" spans="1:9" x14ac:dyDescent="0.25">
      <c r="A254" s="173" t="s">
        <v>203</v>
      </c>
      <c r="B254" s="21" t="s">
        <v>403</v>
      </c>
      <c r="C254" s="69">
        <f>SUM(D254:I254)</f>
        <v>195.55025000000001</v>
      </c>
      <c r="D254" s="69"/>
      <c r="E254" s="69"/>
      <c r="F254" s="69">
        <f t="shared" ref="F254:G254" si="54">F255+F256+F258</f>
        <v>195.55025000000001</v>
      </c>
      <c r="G254" s="69">
        <f t="shared" si="54"/>
        <v>0</v>
      </c>
      <c r="H254" s="69"/>
      <c r="I254" s="69"/>
    </row>
    <row r="255" spans="1:9" x14ac:dyDescent="0.25">
      <c r="A255" s="173"/>
      <c r="B255" s="21" t="s">
        <v>292</v>
      </c>
      <c r="C255" s="69">
        <f>SUM(D255:I255)</f>
        <v>117.33015</v>
      </c>
      <c r="D255" s="69"/>
      <c r="E255" s="69"/>
      <c r="F255" s="69">
        <f>195.55025/100*60</f>
        <v>117.33015</v>
      </c>
      <c r="G255" s="69"/>
      <c r="H255" s="69"/>
      <c r="I255" s="69"/>
    </row>
    <row r="256" spans="1:9" x14ac:dyDescent="0.25">
      <c r="A256" s="173"/>
      <c r="B256" s="21" t="s">
        <v>293</v>
      </c>
      <c r="C256" s="69">
        <f>SUM(D256:I256)</f>
        <v>37.1545475</v>
      </c>
      <c r="D256" s="69"/>
      <c r="E256" s="69"/>
      <c r="F256" s="69">
        <f>195.55025/100*19</f>
        <v>37.1545475</v>
      </c>
      <c r="G256" s="69"/>
      <c r="H256" s="69"/>
      <c r="I256" s="69"/>
    </row>
    <row r="257" spans="1:9" x14ac:dyDescent="0.25">
      <c r="A257" s="173"/>
      <c r="B257" s="21" t="s">
        <v>294</v>
      </c>
      <c r="C257" s="71"/>
      <c r="D257" s="71"/>
      <c r="E257" s="71"/>
      <c r="F257" s="71"/>
      <c r="G257" s="70"/>
      <c r="H257" s="70"/>
      <c r="I257" s="70"/>
    </row>
    <row r="258" spans="1:9" x14ac:dyDescent="0.25">
      <c r="A258" s="173"/>
      <c r="B258" s="21" t="s">
        <v>295</v>
      </c>
      <c r="C258" s="69">
        <f>SUM(D258:I258)</f>
        <v>41.065552500000003</v>
      </c>
      <c r="D258" s="69"/>
      <c r="E258" s="69"/>
      <c r="F258" s="69">
        <f>195.55025/100*21</f>
        <v>41.065552500000003</v>
      </c>
      <c r="G258" s="69"/>
      <c r="H258" s="69"/>
      <c r="I258" s="69"/>
    </row>
    <row r="259" spans="1:9" x14ac:dyDescent="0.25">
      <c r="A259" s="173" t="s">
        <v>205</v>
      </c>
      <c r="B259" s="21" t="s">
        <v>403</v>
      </c>
      <c r="C259" s="69">
        <f t="shared" ref="C259:C273" si="55">SUM(D259:I259)</f>
        <v>133.19999999999999</v>
      </c>
      <c r="D259" s="69"/>
      <c r="E259" s="69"/>
      <c r="F259" s="69"/>
      <c r="G259" s="69">
        <f t="shared" ref="G259" si="56">G260+G261+G263</f>
        <v>133.19999999999999</v>
      </c>
      <c r="H259" s="69"/>
      <c r="I259" s="69"/>
    </row>
    <row r="260" spans="1:9" x14ac:dyDescent="0.25">
      <c r="A260" s="173"/>
      <c r="B260" s="21" t="s">
        <v>292</v>
      </c>
      <c r="C260" s="69">
        <f t="shared" si="55"/>
        <v>79.919999999999987</v>
      </c>
      <c r="D260" s="69"/>
      <c r="E260" s="69"/>
      <c r="F260" s="69"/>
      <c r="G260" s="69">
        <f>133.2/100*60</f>
        <v>79.919999999999987</v>
      </c>
      <c r="H260" s="69"/>
      <c r="I260" s="69"/>
    </row>
    <row r="261" spans="1:9" x14ac:dyDescent="0.25">
      <c r="A261" s="173"/>
      <c r="B261" s="21" t="s">
        <v>293</v>
      </c>
      <c r="C261" s="69">
        <f t="shared" si="55"/>
        <v>27.971999999999998</v>
      </c>
      <c r="D261" s="69"/>
      <c r="E261" s="69"/>
      <c r="F261" s="69"/>
      <c r="G261" s="69">
        <f>133.2/100*21</f>
        <v>27.971999999999998</v>
      </c>
      <c r="H261" s="69"/>
      <c r="I261" s="69"/>
    </row>
    <row r="262" spans="1:9" x14ac:dyDescent="0.25">
      <c r="A262" s="173"/>
      <c r="B262" s="21" t="s">
        <v>294</v>
      </c>
      <c r="C262" s="71"/>
      <c r="D262" s="70"/>
      <c r="E262" s="70"/>
      <c r="F262" s="70"/>
      <c r="G262" s="71"/>
      <c r="H262" s="70"/>
      <c r="I262" s="70"/>
    </row>
    <row r="263" spans="1:9" ht="29.25" customHeight="1" x14ac:dyDescent="0.25">
      <c r="A263" s="173"/>
      <c r="B263" s="21" t="s">
        <v>295</v>
      </c>
      <c r="C263" s="69">
        <f t="shared" si="55"/>
        <v>25.307999999999996</v>
      </c>
      <c r="D263" s="69"/>
      <c r="E263" s="69"/>
      <c r="F263" s="69"/>
      <c r="G263" s="69">
        <f>133.2/100*19</f>
        <v>25.307999999999996</v>
      </c>
      <c r="H263" s="69"/>
      <c r="I263" s="69"/>
    </row>
    <row r="264" spans="1:9" x14ac:dyDescent="0.25">
      <c r="A264" s="173" t="s">
        <v>207</v>
      </c>
      <c r="B264" s="21" t="s">
        <v>403</v>
      </c>
      <c r="C264" s="69">
        <f t="shared" si="55"/>
        <v>35.790120000000002</v>
      </c>
      <c r="D264" s="69"/>
      <c r="E264" s="69"/>
      <c r="F264" s="69"/>
      <c r="G264" s="69">
        <f t="shared" ref="G264" si="57">G265+G266+G268</f>
        <v>35.790120000000002</v>
      </c>
      <c r="H264" s="69"/>
      <c r="I264" s="69"/>
    </row>
    <row r="265" spans="1:9" x14ac:dyDescent="0.25">
      <c r="A265" s="173"/>
      <c r="B265" s="21" t="s">
        <v>292</v>
      </c>
      <c r="C265" s="69">
        <f t="shared" si="55"/>
        <v>21.474072000000003</v>
      </c>
      <c r="D265" s="69"/>
      <c r="E265" s="69"/>
      <c r="F265" s="69"/>
      <c r="G265" s="69">
        <f>35.79012/100*60</f>
        <v>21.474072000000003</v>
      </c>
      <c r="H265" s="69"/>
      <c r="I265" s="69"/>
    </row>
    <row r="266" spans="1:9" x14ac:dyDescent="0.25">
      <c r="A266" s="173"/>
      <c r="B266" s="21" t="s">
        <v>293</v>
      </c>
      <c r="C266" s="69">
        <f t="shared" si="55"/>
        <v>6.8001228000000005</v>
      </c>
      <c r="D266" s="69"/>
      <c r="E266" s="69"/>
      <c r="F266" s="69"/>
      <c r="G266" s="69">
        <f>35.79012/100*19</f>
        <v>6.8001228000000005</v>
      </c>
      <c r="H266" s="69"/>
      <c r="I266" s="69"/>
    </row>
    <row r="267" spans="1:9" x14ac:dyDescent="0.25">
      <c r="A267" s="173"/>
      <c r="B267" s="21" t="s">
        <v>294</v>
      </c>
      <c r="C267" s="71"/>
      <c r="D267" s="70"/>
      <c r="E267" s="70"/>
      <c r="F267" s="70"/>
      <c r="G267" s="71"/>
      <c r="H267" s="70"/>
      <c r="I267" s="70"/>
    </row>
    <row r="268" spans="1:9" ht="27" customHeight="1" x14ac:dyDescent="0.25">
      <c r="A268" s="173"/>
      <c r="B268" s="21" t="s">
        <v>295</v>
      </c>
      <c r="C268" s="69">
        <f t="shared" si="55"/>
        <v>7.5159252000000007</v>
      </c>
      <c r="D268" s="69"/>
      <c r="E268" s="69"/>
      <c r="F268" s="69"/>
      <c r="G268" s="69">
        <f>35.79012/100*21</f>
        <v>7.5159252000000007</v>
      </c>
      <c r="H268" s="69"/>
      <c r="I268" s="69"/>
    </row>
    <row r="269" spans="1:9" x14ac:dyDescent="0.25">
      <c r="A269" s="173" t="s">
        <v>209</v>
      </c>
      <c r="B269" s="21" t="s">
        <v>403</v>
      </c>
      <c r="C269" s="69">
        <f t="shared" si="55"/>
        <v>19.820660000000004</v>
      </c>
      <c r="D269" s="69"/>
      <c r="E269" s="69">
        <f t="shared" ref="E269" si="58">E270+E271+E273</f>
        <v>19.820660000000004</v>
      </c>
      <c r="F269" s="69"/>
      <c r="G269" s="69"/>
      <c r="H269" s="69"/>
      <c r="I269" s="69"/>
    </row>
    <row r="270" spans="1:9" x14ac:dyDescent="0.25">
      <c r="A270" s="173"/>
      <c r="B270" s="21" t="s">
        <v>292</v>
      </c>
      <c r="C270" s="69">
        <f t="shared" si="55"/>
        <v>11.892396000000002</v>
      </c>
      <c r="D270" s="69"/>
      <c r="E270" s="69">
        <f>19.82066/100*60</f>
        <v>11.892396000000002</v>
      </c>
      <c r="F270" s="69"/>
      <c r="G270" s="69"/>
      <c r="H270" s="69"/>
      <c r="I270" s="69"/>
    </row>
    <row r="271" spans="1:9" x14ac:dyDescent="0.25">
      <c r="A271" s="173"/>
      <c r="B271" s="21" t="s">
        <v>293</v>
      </c>
      <c r="C271" s="69">
        <f t="shared" si="55"/>
        <v>4.1623386</v>
      </c>
      <c r="D271" s="69"/>
      <c r="E271" s="69">
        <f>19.82066/100*21</f>
        <v>4.1623386</v>
      </c>
      <c r="F271" s="69"/>
      <c r="G271" s="69"/>
      <c r="H271" s="69"/>
      <c r="I271" s="69"/>
    </row>
    <row r="272" spans="1:9" x14ac:dyDescent="0.25">
      <c r="A272" s="173"/>
      <c r="B272" s="21" t="s">
        <v>294</v>
      </c>
      <c r="C272" s="71"/>
      <c r="D272" s="71"/>
      <c r="E272" s="71"/>
      <c r="F272" s="70"/>
      <c r="G272" s="70"/>
      <c r="H272" s="70"/>
      <c r="I272" s="70"/>
    </row>
    <row r="273" spans="1:9" ht="22.5" customHeight="1" x14ac:dyDescent="0.25">
      <c r="A273" s="173"/>
      <c r="B273" s="21" t="s">
        <v>295</v>
      </c>
      <c r="C273" s="69">
        <f t="shared" si="55"/>
        <v>3.7659254000000004</v>
      </c>
      <c r="D273" s="69"/>
      <c r="E273" s="69">
        <f>19.82066/100*19</f>
        <v>3.7659254000000004</v>
      </c>
      <c r="F273" s="69"/>
      <c r="G273" s="69"/>
      <c r="H273" s="69"/>
      <c r="I273" s="69"/>
    </row>
    <row r="274" spans="1:9" x14ac:dyDescent="0.25">
      <c r="A274" s="173" t="s">
        <v>211</v>
      </c>
      <c r="B274" s="21" t="s">
        <v>403</v>
      </c>
      <c r="C274" s="69">
        <f>SUM(D274:I274)</f>
        <v>39.988019999999992</v>
      </c>
      <c r="D274" s="69"/>
      <c r="E274" s="69">
        <f t="shared" ref="E274" si="59">E275+E276+E278</f>
        <v>39.988019999999992</v>
      </c>
      <c r="F274" s="69"/>
      <c r="G274" s="69"/>
      <c r="H274" s="69"/>
      <c r="I274" s="69"/>
    </row>
    <row r="275" spans="1:9" x14ac:dyDescent="0.25">
      <c r="A275" s="173"/>
      <c r="B275" s="21" t="s">
        <v>292</v>
      </c>
      <c r="C275" s="69">
        <f>SUM(D275:I275)</f>
        <v>23.992811999999997</v>
      </c>
      <c r="D275" s="69"/>
      <c r="E275" s="69">
        <f>39.98802/100*60</f>
        <v>23.992811999999997</v>
      </c>
      <c r="F275" s="69"/>
      <c r="G275" s="69"/>
      <c r="H275" s="69"/>
      <c r="I275" s="69"/>
    </row>
    <row r="276" spans="1:9" x14ac:dyDescent="0.25">
      <c r="A276" s="173"/>
      <c r="B276" s="21" t="s">
        <v>293</v>
      </c>
      <c r="C276" s="69">
        <f>SUM(D276:I276)</f>
        <v>8.3974841999999992</v>
      </c>
      <c r="D276" s="69"/>
      <c r="E276" s="69">
        <f>39.98802/100*21</f>
        <v>8.3974841999999992</v>
      </c>
      <c r="F276" s="69"/>
      <c r="G276" s="69"/>
      <c r="H276" s="69"/>
      <c r="I276" s="69"/>
    </row>
    <row r="277" spans="1:9" x14ac:dyDescent="0.25">
      <c r="A277" s="173"/>
      <c r="B277" s="21" t="s">
        <v>294</v>
      </c>
      <c r="C277" s="71"/>
      <c r="D277" s="71"/>
      <c r="E277" s="71"/>
      <c r="F277" s="70"/>
      <c r="G277" s="70"/>
      <c r="H277" s="70"/>
      <c r="I277" s="70"/>
    </row>
    <row r="278" spans="1:9" x14ac:dyDescent="0.25">
      <c r="A278" s="173"/>
      <c r="B278" s="21" t="s">
        <v>295</v>
      </c>
      <c r="C278" s="69">
        <f>SUM(D278:I278)</f>
        <v>7.5977237999999989</v>
      </c>
      <c r="D278" s="69"/>
      <c r="E278" s="69">
        <f>39.98802/100*19</f>
        <v>7.5977237999999989</v>
      </c>
      <c r="F278" s="69"/>
      <c r="G278" s="69"/>
      <c r="H278" s="69"/>
      <c r="I278" s="69"/>
    </row>
    <row r="279" spans="1:9" x14ac:dyDescent="0.25">
      <c r="A279" s="173" t="s">
        <v>213</v>
      </c>
      <c r="B279" s="21" t="s">
        <v>403</v>
      </c>
      <c r="C279" s="69">
        <f t="shared" ref="C279:C288" si="60">SUM(D279:I279)</f>
        <v>20.605489999999996</v>
      </c>
      <c r="D279" s="69"/>
      <c r="E279" s="69">
        <f t="shared" ref="E279" si="61">E280+E281+E283</f>
        <v>20.605489999999996</v>
      </c>
      <c r="F279" s="69"/>
      <c r="G279" s="69"/>
      <c r="H279" s="69"/>
      <c r="I279" s="69"/>
    </row>
    <row r="280" spans="1:9" x14ac:dyDescent="0.25">
      <c r="A280" s="173"/>
      <c r="B280" s="21" t="s">
        <v>292</v>
      </c>
      <c r="C280" s="69">
        <f t="shared" si="60"/>
        <v>12.363294</v>
      </c>
      <c r="D280" s="69"/>
      <c r="E280" s="69">
        <f>20.60549/100*60</f>
        <v>12.363294</v>
      </c>
      <c r="F280" s="69"/>
      <c r="G280" s="69"/>
      <c r="H280" s="69"/>
      <c r="I280" s="69"/>
    </row>
    <row r="281" spans="1:9" x14ac:dyDescent="0.25">
      <c r="A281" s="173"/>
      <c r="B281" s="21" t="s">
        <v>293</v>
      </c>
      <c r="C281" s="69">
        <f t="shared" si="60"/>
        <v>4.3271528999999997</v>
      </c>
      <c r="D281" s="69"/>
      <c r="E281" s="69">
        <f>20.60549/100*21</f>
        <v>4.3271528999999997</v>
      </c>
      <c r="F281" s="69"/>
      <c r="G281" s="69"/>
      <c r="H281" s="69"/>
      <c r="I281" s="69"/>
    </row>
    <row r="282" spans="1:9" x14ac:dyDescent="0.25">
      <c r="A282" s="173"/>
      <c r="B282" s="21" t="s">
        <v>294</v>
      </c>
      <c r="C282" s="71"/>
      <c r="D282" s="71"/>
      <c r="E282" s="71"/>
      <c r="F282" s="70"/>
      <c r="G282" s="70"/>
      <c r="H282" s="70"/>
      <c r="I282" s="70"/>
    </row>
    <row r="283" spans="1:9" x14ac:dyDescent="0.25">
      <c r="A283" s="173"/>
      <c r="B283" s="21" t="s">
        <v>295</v>
      </c>
      <c r="C283" s="69">
        <f t="shared" si="60"/>
        <v>3.9150430999999997</v>
      </c>
      <c r="D283" s="69"/>
      <c r="E283" s="69">
        <f>20.60549/100*19</f>
        <v>3.9150430999999997</v>
      </c>
      <c r="F283" s="69"/>
      <c r="G283" s="69"/>
      <c r="H283" s="69"/>
      <c r="I283" s="69"/>
    </row>
    <row r="284" spans="1:9" x14ac:dyDescent="0.25">
      <c r="A284" s="173" t="s">
        <v>214</v>
      </c>
      <c r="B284" s="21" t="s">
        <v>403</v>
      </c>
      <c r="C284" s="69">
        <f t="shared" si="60"/>
        <v>7.9792100000000001</v>
      </c>
      <c r="D284" s="69"/>
      <c r="E284" s="69"/>
      <c r="F284" s="69">
        <f t="shared" ref="F284" si="62">F285+F286+F288</f>
        <v>7.9792100000000001</v>
      </c>
      <c r="G284" s="69"/>
      <c r="H284" s="69"/>
      <c r="I284" s="69"/>
    </row>
    <row r="285" spans="1:9" x14ac:dyDescent="0.25">
      <c r="A285" s="173"/>
      <c r="B285" s="21" t="s">
        <v>292</v>
      </c>
      <c r="C285" s="69">
        <f t="shared" si="60"/>
        <v>4.7875260000000006</v>
      </c>
      <c r="D285" s="69"/>
      <c r="E285" s="69"/>
      <c r="F285" s="69">
        <f>7.97921/100*60</f>
        <v>4.7875260000000006</v>
      </c>
      <c r="G285" s="69"/>
      <c r="H285" s="69"/>
      <c r="I285" s="69"/>
    </row>
    <row r="286" spans="1:9" x14ac:dyDescent="0.25">
      <c r="A286" s="173"/>
      <c r="B286" s="21" t="s">
        <v>293</v>
      </c>
      <c r="C286" s="69">
        <f t="shared" si="60"/>
        <v>1.5160499000000001</v>
      </c>
      <c r="D286" s="69"/>
      <c r="E286" s="69"/>
      <c r="F286" s="69">
        <f>7.97921/100*19</f>
        <v>1.5160499000000001</v>
      </c>
      <c r="G286" s="69"/>
      <c r="H286" s="69"/>
      <c r="I286" s="69"/>
    </row>
    <row r="287" spans="1:9" x14ac:dyDescent="0.25">
      <c r="A287" s="173"/>
      <c r="B287" s="21" t="s">
        <v>294</v>
      </c>
      <c r="C287" s="71"/>
      <c r="D287" s="71"/>
      <c r="E287" s="71"/>
      <c r="F287" s="71"/>
      <c r="G287" s="70"/>
      <c r="H287" s="70"/>
      <c r="I287" s="70"/>
    </row>
    <row r="288" spans="1:9" x14ac:dyDescent="0.25">
      <c r="A288" s="173"/>
      <c r="B288" s="21" t="s">
        <v>295</v>
      </c>
      <c r="C288" s="69">
        <f t="shared" si="60"/>
        <v>1.6756341000000001</v>
      </c>
      <c r="D288" s="69"/>
      <c r="E288" s="69"/>
      <c r="F288" s="69">
        <f>7.97921/100*21</f>
        <v>1.6756341000000001</v>
      </c>
      <c r="G288" s="69"/>
      <c r="H288" s="69"/>
      <c r="I288" s="69"/>
    </row>
    <row r="289" spans="1:9" x14ac:dyDescent="0.25">
      <c r="A289" s="173" t="s">
        <v>216</v>
      </c>
      <c r="B289" s="21" t="s">
        <v>403</v>
      </c>
      <c r="C289" s="69">
        <f>SUM(D289:I289)</f>
        <v>12.375999999999999</v>
      </c>
      <c r="D289" s="69"/>
      <c r="E289" s="69"/>
      <c r="F289" s="69">
        <f t="shared" ref="F289" si="63">F290+F291+F293</f>
        <v>12.375999999999999</v>
      </c>
      <c r="G289" s="69"/>
      <c r="H289" s="69"/>
      <c r="I289" s="69"/>
    </row>
    <row r="290" spans="1:9" x14ac:dyDescent="0.25">
      <c r="A290" s="173"/>
      <c r="B290" s="21" t="s">
        <v>292</v>
      </c>
      <c r="C290" s="69">
        <f>SUM(D290:I290)</f>
        <v>7.4255999999999993</v>
      </c>
      <c r="D290" s="69"/>
      <c r="E290" s="69"/>
      <c r="F290" s="69">
        <f>12.376/100*60</f>
        <v>7.4255999999999993</v>
      </c>
      <c r="G290" s="69"/>
      <c r="H290" s="69"/>
      <c r="I290" s="69"/>
    </row>
    <row r="291" spans="1:9" x14ac:dyDescent="0.25">
      <c r="A291" s="173"/>
      <c r="B291" s="21" t="s">
        <v>293</v>
      </c>
      <c r="C291" s="69">
        <f>SUM(D291:I291)</f>
        <v>2.3514399999999998</v>
      </c>
      <c r="D291" s="69"/>
      <c r="E291" s="69"/>
      <c r="F291" s="69">
        <f>12.376/100*19</f>
        <v>2.3514399999999998</v>
      </c>
      <c r="G291" s="69"/>
      <c r="H291" s="69"/>
      <c r="I291" s="69"/>
    </row>
    <row r="292" spans="1:9" x14ac:dyDescent="0.25">
      <c r="A292" s="173"/>
      <c r="B292" s="21" t="s">
        <v>294</v>
      </c>
      <c r="C292" s="71"/>
      <c r="D292" s="71"/>
      <c r="E292" s="71"/>
      <c r="F292" s="71"/>
      <c r="G292" s="70"/>
      <c r="H292" s="70"/>
      <c r="I292" s="70"/>
    </row>
    <row r="293" spans="1:9" ht="23.25" customHeight="1" x14ac:dyDescent="0.25">
      <c r="A293" s="173"/>
      <c r="B293" s="21" t="s">
        <v>295</v>
      </c>
      <c r="C293" s="69">
        <f>SUM(D293:I293)</f>
        <v>2.5989599999999999</v>
      </c>
      <c r="D293" s="69"/>
      <c r="E293" s="69"/>
      <c r="F293" s="69">
        <f>12.376/100*21</f>
        <v>2.5989599999999999</v>
      </c>
      <c r="G293" s="69"/>
      <c r="H293" s="69"/>
      <c r="I293" s="69"/>
    </row>
    <row r="294" spans="1:9" x14ac:dyDescent="0.25">
      <c r="A294" s="173" t="s">
        <v>218</v>
      </c>
      <c r="B294" s="21" t="s">
        <v>403</v>
      </c>
      <c r="C294" s="69">
        <f t="shared" ref="C294:C303" si="64">SUM(D294:I294)</f>
        <v>22.04411</v>
      </c>
      <c r="D294" s="69"/>
      <c r="E294" s="69"/>
      <c r="F294" s="69">
        <f t="shared" ref="F294:G294" si="65">F295+F296+F298</f>
        <v>0</v>
      </c>
      <c r="G294" s="69">
        <f t="shared" si="65"/>
        <v>22.04411</v>
      </c>
      <c r="H294" s="69"/>
      <c r="I294" s="69"/>
    </row>
    <row r="295" spans="1:9" x14ac:dyDescent="0.25">
      <c r="A295" s="173"/>
      <c r="B295" s="21" t="s">
        <v>292</v>
      </c>
      <c r="C295" s="69">
        <f t="shared" si="64"/>
        <v>13.226466</v>
      </c>
      <c r="D295" s="69"/>
      <c r="E295" s="69"/>
      <c r="F295" s="69"/>
      <c r="G295" s="69">
        <f>22.04411/100*60</f>
        <v>13.226466</v>
      </c>
      <c r="H295" s="69"/>
      <c r="I295" s="69"/>
    </row>
    <row r="296" spans="1:9" x14ac:dyDescent="0.25">
      <c r="A296" s="173"/>
      <c r="B296" s="21" t="s">
        <v>293</v>
      </c>
      <c r="C296" s="69">
        <f t="shared" si="64"/>
        <v>4.1883809000000003</v>
      </c>
      <c r="D296" s="69"/>
      <c r="E296" s="69"/>
      <c r="F296" s="69"/>
      <c r="G296" s="69">
        <f>22.04411/100*19</f>
        <v>4.1883809000000003</v>
      </c>
      <c r="H296" s="69"/>
      <c r="I296" s="69"/>
    </row>
    <row r="297" spans="1:9" x14ac:dyDescent="0.25">
      <c r="A297" s="173"/>
      <c r="B297" s="21" t="s">
        <v>294</v>
      </c>
      <c r="C297" s="71"/>
      <c r="D297" s="70"/>
      <c r="E297" s="70"/>
      <c r="F297" s="70"/>
      <c r="G297" s="71"/>
      <c r="H297" s="70"/>
      <c r="I297" s="70"/>
    </row>
    <row r="298" spans="1:9" ht="22.5" customHeight="1" x14ac:dyDescent="0.25">
      <c r="A298" s="173"/>
      <c r="B298" s="21" t="s">
        <v>295</v>
      </c>
      <c r="C298" s="69">
        <f t="shared" si="64"/>
        <v>4.6292631000000002</v>
      </c>
      <c r="D298" s="69"/>
      <c r="E298" s="69"/>
      <c r="F298" s="69"/>
      <c r="G298" s="69">
        <f>22.04411/100*21</f>
        <v>4.6292631000000002</v>
      </c>
      <c r="H298" s="69"/>
      <c r="I298" s="69"/>
    </row>
    <row r="299" spans="1:9" x14ac:dyDescent="0.25">
      <c r="A299" s="173" t="s">
        <v>220</v>
      </c>
      <c r="B299" s="21" t="s">
        <v>403</v>
      </c>
      <c r="C299" s="69">
        <f t="shared" si="64"/>
        <v>91.031999999999996</v>
      </c>
      <c r="D299" s="69"/>
      <c r="E299" s="69"/>
      <c r="F299" s="69">
        <f t="shared" ref="F299" si="66">F300+F301+F303</f>
        <v>91.031999999999996</v>
      </c>
      <c r="G299" s="69"/>
      <c r="H299" s="69"/>
      <c r="I299" s="69"/>
    </row>
    <row r="300" spans="1:9" x14ac:dyDescent="0.25">
      <c r="A300" s="173"/>
      <c r="B300" s="21" t="s">
        <v>292</v>
      </c>
      <c r="C300" s="69">
        <f t="shared" si="64"/>
        <v>54.619199999999999</v>
      </c>
      <c r="D300" s="69"/>
      <c r="E300" s="69"/>
      <c r="F300" s="69">
        <f>91.032/100*60</f>
        <v>54.619199999999999</v>
      </c>
      <c r="G300" s="69"/>
      <c r="H300" s="69"/>
      <c r="I300" s="69"/>
    </row>
    <row r="301" spans="1:9" x14ac:dyDescent="0.25">
      <c r="A301" s="173"/>
      <c r="B301" s="21" t="s">
        <v>293</v>
      </c>
      <c r="C301" s="69">
        <f t="shared" si="64"/>
        <v>17.29608</v>
      </c>
      <c r="D301" s="69"/>
      <c r="E301" s="69"/>
      <c r="F301" s="69">
        <f>91.032/100*19</f>
        <v>17.29608</v>
      </c>
      <c r="G301" s="69"/>
      <c r="H301" s="69"/>
      <c r="I301" s="69"/>
    </row>
    <row r="302" spans="1:9" x14ac:dyDescent="0.25">
      <c r="A302" s="173"/>
      <c r="B302" s="21" t="s">
        <v>294</v>
      </c>
      <c r="C302" s="71"/>
      <c r="D302" s="71"/>
      <c r="E302" s="71"/>
      <c r="F302" s="71"/>
      <c r="G302" s="70"/>
      <c r="H302" s="70"/>
      <c r="I302" s="70"/>
    </row>
    <row r="303" spans="1:9" ht="29.25" customHeight="1" x14ac:dyDescent="0.25">
      <c r="A303" s="173"/>
      <c r="B303" s="21" t="s">
        <v>295</v>
      </c>
      <c r="C303" s="69">
        <f t="shared" si="64"/>
        <v>19.116720000000001</v>
      </c>
      <c r="D303" s="69"/>
      <c r="E303" s="69"/>
      <c r="F303" s="69">
        <f>91.032/100*21</f>
        <v>19.116720000000001</v>
      </c>
      <c r="G303" s="69"/>
      <c r="H303" s="69"/>
      <c r="I303" s="69"/>
    </row>
    <row r="304" spans="1:9" x14ac:dyDescent="0.25">
      <c r="A304" s="173" t="s">
        <v>221</v>
      </c>
      <c r="B304" s="21" t="s">
        <v>403</v>
      </c>
      <c r="C304" s="69">
        <f>SUM(D304:I304)</f>
        <v>5.84354</v>
      </c>
      <c r="D304" s="69"/>
      <c r="E304" s="69"/>
      <c r="F304" s="69">
        <f t="shared" ref="F304" si="67">F305+F306+F308</f>
        <v>5.84354</v>
      </c>
      <c r="G304" s="69"/>
      <c r="H304" s="69"/>
      <c r="I304" s="69"/>
    </row>
    <row r="305" spans="1:9" x14ac:dyDescent="0.25">
      <c r="A305" s="173"/>
      <c r="B305" s="21" t="s">
        <v>292</v>
      </c>
      <c r="C305" s="69">
        <f>SUM(D305:I305)</f>
        <v>3.5061239999999998</v>
      </c>
      <c r="D305" s="69"/>
      <c r="E305" s="69"/>
      <c r="F305" s="69">
        <f>5.84354/100*60</f>
        <v>3.5061239999999998</v>
      </c>
      <c r="G305" s="69"/>
      <c r="H305" s="69"/>
      <c r="I305" s="69"/>
    </row>
    <row r="306" spans="1:9" x14ac:dyDescent="0.25">
      <c r="A306" s="173"/>
      <c r="B306" s="21" t="s">
        <v>293</v>
      </c>
      <c r="C306" s="69">
        <f>SUM(D306:I306)</f>
        <v>1.1102726000000001</v>
      </c>
      <c r="D306" s="69"/>
      <c r="E306" s="69"/>
      <c r="F306" s="69">
        <f>5.84354/100*19</f>
        <v>1.1102726000000001</v>
      </c>
      <c r="G306" s="69"/>
      <c r="H306" s="69"/>
      <c r="I306" s="69"/>
    </row>
    <row r="307" spans="1:9" x14ac:dyDescent="0.25">
      <c r="A307" s="173"/>
      <c r="B307" s="21" t="s">
        <v>294</v>
      </c>
      <c r="C307" s="71"/>
      <c r="D307" s="71"/>
      <c r="E307" s="71"/>
      <c r="F307" s="71"/>
      <c r="G307" s="70"/>
      <c r="H307" s="70"/>
      <c r="I307" s="70"/>
    </row>
    <row r="308" spans="1:9" ht="31.5" customHeight="1" x14ac:dyDescent="0.25">
      <c r="A308" s="173"/>
      <c r="B308" s="21" t="s">
        <v>295</v>
      </c>
      <c r="C308" s="69">
        <f>SUM(D308:I308)</f>
        <v>1.2271433999999999</v>
      </c>
      <c r="D308" s="69"/>
      <c r="E308" s="69"/>
      <c r="F308" s="69">
        <f>5.84354/100*21</f>
        <v>1.2271433999999999</v>
      </c>
      <c r="G308" s="69"/>
      <c r="H308" s="69"/>
      <c r="I308" s="69"/>
    </row>
    <row r="309" spans="1:9" x14ac:dyDescent="0.25">
      <c r="A309" s="173" t="s">
        <v>222</v>
      </c>
      <c r="B309" s="21" t="s">
        <v>403</v>
      </c>
      <c r="C309" s="69">
        <f t="shared" ref="C309:C323" si="68">SUM(D309:I309)</f>
        <v>3.6560700000000002</v>
      </c>
      <c r="D309" s="69"/>
      <c r="E309" s="69"/>
      <c r="F309" s="69">
        <f t="shared" ref="F309" si="69">F310+F311+F313</f>
        <v>3.6560700000000002</v>
      </c>
      <c r="G309" s="69"/>
      <c r="H309" s="69"/>
      <c r="I309" s="69"/>
    </row>
    <row r="310" spans="1:9" x14ac:dyDescent="0.25">
      <c r="A310" s="173"/>
      <c r="B310" s="21" t="s">
        <v>292</v>
      </c>
      <c r="C310" s="69">
        <f t="shared" si="68"/>
        <v>2.1936420000000001</v>
      </c>
      <c r="D310" s="69"/>
      <c r="E310" s="69"/>
      <c r="F310" s="69">
        <f>3.65607/100*60</f>
        <v>2.1936420000000001</v>
      </c>
      <c r="G310" s="69"/>
      <c r="H310" s="69"/>
      <c r="I310" s="69"/>
    </row>
    <row r="311" spans="1:9" x14ac:dyDescent="0.25">
      <c r="A311" s="173"/>
      <c r="B311" s="21" t="s">
        <v>293</v>
      </c>
      <c r="C311" s="69">
        <f t="shared" si="68"/>
        <v>0.69465330000000003</v>
      </c>
      <c r="D311" s="69"/>
      <c r="E311" s="69"/>
      <c r="F311" s="69">
        <f>3.65607/100*19</f>
        <v>0.69465330000000003</v>
      </c>
      <c r="G311" s="69"/>
      <c r="H311" s="69"/>
      <c r="I311" s="69"/>
    </row>
    <row r="312" spans="1:9" x14ac:dyDescent="0.25">
      <c r="A312" s="173"/>
      <c r="B312" s="21" t="s">
        <v>294</v>
      </c>
      <c r="C312" s="71"/>
      <c r="D312" s="71"/>
      <c r="E312" s="71"/>
      <c r="F312" s="71"/>
      <c r="G312" s="70"/>
      <c r="H312" s="70"/>
      <c r="I312" s="70"/>
    </row>
    <row r="313" spans="1:9" ht="24" customHeight="1" x14ac:dyDescent="0.25">
      <c r="A313" s="173"/>
      <c r="B313" s="21" t="s">
        <v>295</v>
      </c>
      <c r="C313" s="69">
        <f t="shared" si="68"/>
        <v>0.76777470000000003</v>
      </c>
      <c r="D313" s="69"/>
      <c r="E313" s="69"/>
      <c r="F313" s="69">
        <f>3.65607/100*21</f>
        <v>0.76777470000000003</v>
      </c>
      <c r="G313" s="69"/>
      <c r="H313" s="69"/>
      <c r="I313" s="69"/>
    </row>
    <row r="314" spans="1:9" x14ac:dyDescent="0.25">
      <c r="A314" s="173" t="s">
        <v>223</v>
      </c>
      <c r="B314" s="21" t="s">
        <v>403</v>
      </c>
      <c r="C314" s="69">
        <f t="shared" si="68"/>
        <v>3.76376</v>
      </c>
      <c r="D314" s="69"/>
      <c r="E314" s="69"/>
      <c r="F314" s="69">
        <f t="shared" ref="F314" si="70">F315+F316+F318</f>
        <v>3.76376</v>
      </c>
      <c r="G314" s="69"/>
      <c r="H314" s="69"/>
      <c r="I314" s="69"/>
    </row>
    <row r="315" spans="1:9" x14ac:dyDescent="0.25">
      <c r="A315" s="173"/>
      <c r="B315" s="21" t="s">
        <v>292</v>
      </c>
      <c r="C315" s="69">
        <f t="shared" si="68"/>
        <v>2.2582559999999998</v>
      </c>
      <c r="D315" s="69"/>
      <c r="E315" s="69"/>
      <c r="F315" s="69">
        <f>3.76376/100*60</f>
        <v>2.2582559999999998</v>
      </c>
      <c r="G315" s="69"/>
      <c r="H315" s="69"/>
      <c r="I315" s="69"/>
    </row>
    <row r="316" spans="1:9" x14ac:dyDescent="0.25">
      <c r="A316" s="173"/>
      <c r="B316" s="21" t="s">
        <v>293</v>
      </c>
      <c r="C316" s="69">
        <f t="shared" si="68"/>
        <v>0.71511440000000004</v>
      </c>
      <c r="D316" s="69"/>
      <c r="E316" s="69"/>
      <c r="F316" s="69">
        <f>3.76376/100*19</f>
        <v>0.71511440000000004</v>
      </c>
      <c r="G316" s="69"/>
      <c r="H316" s="69"/>
      <c r="I316" s="69"/>
    </row>
    <row r="317" spans="1:9" x14ac:dyDescent="0.25">
      <c r="A317" s="173"/>
      <c r="B317" s="21" t="s">
        <v>294</v>
      </c>
      <c r="C317" s="71"/>
      <c r="D317" s="71"/>
      <c r="E317" s="71"/>
      <c r="F317" s="71"/>
      <c r="G317" s="70"/>
      <c r="H317" s="70"/>
      <c r="I317" s="70"/>
    </row>
    <row r="318" spans="1:9" ht="27.75" customHeight="1" x14ac:dyDescent="0.25">
      <c r="A318" s="173"/>
      <c r="B318" s="21" t="s">
        <v>295</v>
      </c>
      <c r="C318" s="69">
        <f t="shared" si="68"/>
        <v>0.79038960000000003</v>
      </c>
      <c r="D318" s="69"/>
      <c r="E318" s="69"/>
      <c r="F318" s="69">
        <f>3.76376/100*21</f>
        <v>0.79038960000000003</v>
      </c>
      <c r="G318" s="69"/>
      <c r="H318" s="69"/>
      <c r="I318" s="69"/>
    </row>
    <row r="319" spans="1:9" x14ac:dyDescent="0.25">
      <c r="A319" s="173" t="s">
        <v>224</v>
      </c>
      <c r="B319" s="21" t="s">
        <v>403</v>
      </c>
      <c r="C319" s="69">
        <f t="shared" si="68"/>
        <v>7.8031600000000001</v>
      </c>
      <c r="D319" s="69"/>
      <c r="E319" s="69"/>
      <c r="F319" s="69">
        <f t="shared" ref="F319" si="71">F320+F321+F323</f>
        <v>7.8031600000000001</v>
      </c>
      <c r="G319" s="69"/>
      <c r="H319" s="69"/>
      <c r="I319" s="69"/>
    </row>
    <row r="320" spans="1:9" x14ac:dyDescent="0.25">
      <c r="A320" s="173"/>
      <c r="B320" s="21" t="s">
        <v>292</v>
      </c>
      <c r="C320" s="69">
        <f t="shared" si="68"/>
        <v>4.6818960000000001</v>
      </c>
      <c r="D320" s="69"/>
      <c r="E320" s="69"/>
      <c r="F320" s="69">
        <f>7.80316/100*60</f>
        <v>4.6818960000000001</v>
      </c>
      <c r="G320" s="69"/>
      <c r="H320" s="69"/>
      <c r="I320" s="69"/>
    </row>
    <row r="321" spans="1:9" x14ac:dyDescent="0.25">
      <c r="A321" s="173"/>
      <c r="B321" s="21" t="s">
        <v>293</v>
      </c>
      <c r="C321" s="69">
        <f t="shared" si="68"/>
        <v>1.4826004000000002</v>
      </c>
      <c r="D321" s="69"/>
      <c r="E321" s="69"/>
      <c r="F321" s="69">
        <f>7.80316/100*19</f>
        <v>1.4826004000000002</v>
      </c>
      <c r="G321" s="69"/>
      <c r="H321" s="69"/>
      <c r="I321" s="69"/>
    </row>
    <row r="322" spans="1:9" x14ac:dyDescent="0.25">
      <c r="A322" s="173"/>
      <c r="B322" s="21" t="s">
        <v>294</v>
      </c>
      <c r="C322" s="71"/>
      <c r="D322" s="71"/>
      <c r="E322" s="71"/>
      <c r="F322" s="71"/>
      <c r="G322" s="70"/>
      <c r="H322" s="70"/>
      <c r="I322" s="70"/>
    </row>
    <row r="323" spans="1:9" ht="27" customHeight="1" x14ac:dyDescent="0.25">
      <c r="A323" s="173"/>
      <c r="B323" s="21" t="s">
        <v>295</v>
      </c>
      <c r="C323" s="69">
        <f t="shared" si="68"/>
        <v>1.6386636000000001</v>
      </c>
      <c r="D323" s="69"/>
      <c r="E323" s="69"/>
      <c r="F323" s="69">
        <f>7.80316/100*21</f>
        <v>1.6386636000000001</v>
      </c>
      <c r="G323" s="69"/>
      <c r="H323" s="69"/>
      <c r="I323" s="69"/>
    </row>
    <row r="324" spans="1:9" x14ac:dyDescent="0.25">
      <c r="A324" s="173" t="s">
        <v>225</v>
      </c>
      <c r="B324" s="21" t="s">
        <v>403</v>
      </c>
      <c r="C324" s="69">
        <f>SUM(D324:I324)</f>
        <v>7000</v>
      </c>
      <c r="D324" s="69"/>
      <c r="E324" s="69"/>
      <c r="F324" s="69"/>
      <c r="G324" s="69">
        <f>SUM(G325:G328)</f>
        <v>2000</v>
      </c>
      <c r="H324" s="69">
        <f t="shared" ref="H324:I324" si="72">SUM(H325:H328)</f>
        <v>2500</v>
      </c>
      <c r="I324" s="69">
        <f t="shared" si="72"/>
        <v>2500</v>
      </c>
    </row>
    <row r="325" spans="1:9" x14ac:dyDescent="0.25">
      <c r="A325" s="173"/>
      <c r="B325" s="21" t="s">
        <v>292</v>
      </c>
      <c r="C325" s="69">
        <f>SUM(D325:I325)</f>
        <v>4200</v>
      </c>
      <c r="D325" s="69"/>
      <c r="E325" s="69"/>
      <c r="F325" s="69"/>
      <c r="G325" s="69">
        <f>2000/100*60</f>
        <v>1200</v>
      </c>
      <c r="H325" s="69">
        <f t="shared" ref="H325" si="73">2500/100*60</f>
        <v>1500</v>
      </c>
      <c r="I325" s="69">
        <f>2500/100*60</f>
        <v>1500</v>
      </c>
    </row>
    <row r="326" spans="1:9" x14ac:dyDescent="0.25">
      <c r="A326" s="173"/>
      <c r="B326" s="21" t="s">
        <v>293</v>
      </c>
      <c r="C326" s="69">
        <f>SUM(D326:I326)</f>
        <v>1330</v>
      </c>
      <c r="D326" s="69"/>
      <c r="E326" s="69"/>
      <c r="F326" s="69"/>
      <c r="G326" s="69">
        <f>2000/100*19</f>
        <v>380</v>
      </c>
      <c r="H326" s="69">
        <f t="shared" ref="H326" si="74">2500/100*19</f>
        <v>475</v>
      </c>
      <c r="I326" s="69">
        <f>2500/100*19</f>
        <v>475</v>
      </c>
    </row>
    <row r="327" spans="1:9" x14ac:dyDescent="0.25">
      <c r="A327" s="173"/>
      <c r="B327" s="21" t="s">
        <v>294</v>
      </c>
      <c r="C327" s="71"/>
      <c r="D327" s="71"/>
      <c r="E327" s="71"/>
      <c r="F327" s="71"/>
      <c r="G327" s="71"/>
      <c r="H327" s="71"/>
      <c r="I327" s="71"/>
    </row>
    <row r="328" spans="1:9" ht="72.75" customHeight="1" x14ac:dyDescent="0.25">
      <c r="A328" s="173"/>
      <c r="B328" s="21" t="s">
        <v>295</v>
      </c>
      <c r="C328" s="69">
        <f>SUM(D328:I328)</f>
        <v>1470</v>
      </c>
      <c r="D328" s="69"/>
      <c r="E328" s="69"/>
      <c r="F328" s="69"/>
      <c r="G328" s="69">
        <f>2000/100*21</f>
        <v>420</v>
      </c>
      <c r="H328" s="69">
        <f t="shared" ref="H328" si="75">2500/100*21</f>
        <v>525</v>
      </c>
      <c r="I328" s="69">
        <f>2500/100*21</f>
        <v>525</v>
      </c>
    </row>
    <row r="329" spans="1:9" x14ac:dyDescent="0.25">
      <c r="A329" s="173" t="s">
        <v>227</v>
      </c>
      <c r="B329" s="21" t="s">
        <v>403</v>
      </c>
      <c r="C329" s="69">
        <f t="shared" ref="C329:C338" si="76">SUM(D329:I329)</f>
        <v>50</v>
      </c>
      <c r="D329" s="69"/>
      <c r="E329" s="69"/>
      <c r="F329" s="69">
        <f>SUM(F330:F333)</f>
        <v>20</v>
      </c>
      <c r="G329" s="69">
        <v>30</v>
      </c>
      <c r="H329" s="69"/>
      <c r="I329" s="69"/>
    </row>
    <row r="330" spans="1:9" x14ac:dyDescent="0.25">
      <c r="A330" s="173"/>
      <c r="B330" s="21" t="s">
        <v>292</v>
      </c>
      <c r="C330" s="69">
        <f t="shared" si="76"/>
        <v>30</v>
      </c>
      <c r="D330" s="69"/>
      <c r="E330" s="69"/>
      <c r="F330" s="69">
        <f>20/100*60</f>
        <v>12</v>
      </c>
      <c r="G330" s="69">
        <f>30/100*60</f>
        <v>18</v>
      </c>
      <c r="H330" s="69"/>
      <c r="I330" s="69"/>
    </row>
    <row r="331" spans="1:9" x14ac:dyDescent="0.25">
      <c r="A331" s="173"/>
      <c r="B331" s="21" t="s">
        <v>293</v>
      </c>
      <c r="C331" s="69">
        <f t="shared" si="76"/>
        <v>9.5</v>
      </c>
      <c r="D331" s="69"/>
      <c r="E331" s="69"/>
      <c r="F331" s="69">
        <f>20/100*19</f>
        <v>3.8000000000000003</v>
      </c>
      <c r="G331" s="69">
        <f>30/100*19</f>
        <v>5.7</v>
      </c>
      <c r="H331" s="69"/>
      <c r="I331" s="69"/>
    </row>
    <row r="332" spans="1:9" x14ac:dyDescent="0.25">
      <c r="A332" s="173"/>
      <c r="B332" s="21" t="s">
        <v>294</v>
      </c>
      <c r="C332" s="71"/>
      <c r="D332" s="71"/>
      <c r="E332" s="70"/>
      <c r="F332" s="71"/>
      <c r="G332" s="71"/>
      <c r="H332" s="70"/>
      <c r="I332" s="70"/>
    </row>
    <row r="333" spans="1:9" x14ac:dyDescent="0.25">
      <c r="A333" s="173"/>
      <c r="B333" s="21" t="s">
        <v>295</v>
      </c>
      <c r="C333" s="69">
        <f t="shared" si="76"/>
        <v>10.5</v>
      </c>
      <c r="D333" s="69"/>
      <c r="E333" s="69"/>
      <c r="F333" s="69">
        <f>20/100*21</f>
        <v>4.2</v>
      </c>
      <c r="G333" s="69">
        <f>30/100*21</f>
        <v>6.3</v>
      </c>
      <c r="H333" s="69"/>
      <c r="I333" s="69"/>
    </row>
    <row r="334" spans="1:9" x14ac:dyDescent="0.25">
      <c r="A334" s="173" t="s">
        <v>228</v>
      </c>
      <c r="B334" s="21" t="s">
        <v>403</v>
      </c>
      <c r="C334" s="69">
        <f t="shared" si="76"/>
        <v>60.499999999999993</v>
      </c>
      <c r="D334" s="69"/>
      <c r="E334" s="69">
        <f>SUM(E335:E338)</f>
        <v>60.499999999999993</v>
      </c>
      <c r="F334" s="69"/>
      <c r="G334" s="69"/>
      <c r="H334" s="69"/>
      <c r="I334" s="69"/>
    </row>
    <row r="335" spans="1:9" x14ac:dyDescent="0.25">
      <c r="A335" s="173"/>
      <c r="B335" s="21" t="s">
        <v>292</v>
      </c>
      <c r="C335" s="69">
        <f t="shared" si="76"/>
        <v>36.299999999999997</v>
      </c>
      <c r="D335" s="69"/>
      <c r="E335" s="69">
        <f>60.5/100*60</f>
        <v>36.299999999999997</v>
      </c>
      <c r="F335" s="69"/>
      <c r="G335" s="69"/>
      <c r="H335" s="69"/>
      <c r="I335" s="69"/>
    </row>
    <row r="336" spans="1:9" x14ac:dyDescent="0.25">
      <c r="A336" s="173"/>
      <c r="B336" s="21" t="s">
        <v>293</v>
      </c>
      <c r="C336" s="69">
        <f t="shared" si="76"/>
        <v>11.494999999999999</v>
      </c>
      <c r="D336" s="69"/>
      <c r="E336" s="69">
        <f>60.5/100*19</f>
        <v>11.494999999999999</v>
      </c>
      <c r="F336" s="69"/>
      <c r="G336" s="69"/>
      <c r="H336" s="69"/>
      <c r="I336" s="69"/>
    </row>
    <row r="337" spans="1:9" x14ac:dyDescent="0.25">
      <c r="A337" s="173"/>
      <c r="B337" s="21" t="s">
        <v>294</v>
      </c>
      <c r="C337" s="71"/>
      <c r="D337" s="71"/>
      <c r="E337" s="71"/>
      <c r="F337" s="70"/>
      <c r="G337" s="70"/>
      <c r="H337" s="70"/>
      <c r="I337" s="70"/>
    </row>
    <row r="338" spans="1:9" x14ac:dyDescent="0.25">
      <c r="A338" s="173"/>
      <c r="B338" s="21" t="s">
        <v>295</v>
      </c>
      <c r="C338" s="69">
        <f t="shared" si="76"/>
        <v>12.705</v>
      </c>
      <c r="D338" s="69"/>
      <c r="E338" s="69">
        <f>60.5/100*21</f>
        <v>12.705</v>
      </c>
      <c r="F338" s="69"/>
      <c r="G338" s="69"/>
      <c r="H338" s="69"/>
      <c r="I338" s="69"/>
    </row>
    <row r="339" spans="1:9" x14ac:dyDescent="0.25">
      <c r="A339" s="173" t="s">
        <v>231</v>
      </c>
      <c r="B339" s="21" t="s">
        <v>403</v>
      </c>
      <c r="C339" s="69">
        <f>SUM(D339:I339)</f>
        <v>251.11999999999998</v>
      </c>
      <c r="D339" s="69"/>
      <c r="E339" s="69"/>
      <c r="F339" s="69">
        <f>SUM(F340:F343)</f>
        <v>125.55999999999999</v>
      </c>
      <c r="G339" s="69">
        <f>SUM(G340:G343)</f>
        <v>125.55999999999999</v>
      </c>
      <c r="H339" s="69"/>
      <c r="I339" s="69"/>
    </row>
    <row r="340" spans="1:9" x14ac:dyDescent="0.25">
      <c r="A340" s="173"/>
      <c r="B340" s="21" t="s">
        <v>292</v>
      </c>
      <c r="C340" s="69">
        <f>SUM(D340:I340)</f>
        <v>150.672</v>
      </c>
      <c r="D340" s="69"/>
      <c r="E340" s="69"/>
      <c r="F340" s="69">
        <f>125.56/100*60</f>
        <v>75.335999999999999</v>
      </c>
      <c r="G340" s="69">
        <f>125.56/100*60</f>
        <v>75.335999999999999</v>
      </c>
      <c r="H340" s="69"/>
      <c r="I340" s="69"/>
    </row>
    <row r="341" spans="1:9" x14ac:dyDescent="0.25">
      <c r="A341" s="173"/>
      <c r="B341" s="21" t="s">
        <v>293</v>
      </c>
      <c r="C341" s="69">
        <f>SUM(D341:I341)</f>
        <v>47.712800000000001</v>
      </c>
      <c r="D341" s="69"/>
      <c r="E341" s="69"/>
      <c r="F341" s="69">
        <f>125.56/100*19</f>
        <v>23.856400000000001</v>
      </c>
      <c r="G341" s="69">
        <f>125.56/100*19</f>
        <v>23.856400000000001</v>
      </c>
      <c r="H341" s="69"/>
      <c r="I341" s="69"/>
    </row>
    <row r="342" spans="1:9" x14ac:dyDescent="0.25">
      <c r="A342" s="173"/>
      <c r="B342" s="21" t="s">
        <v>294</v>
      </c>
      <c r="C342" s="71"/>
      <c r="D342" s="70"/>
      <c r="E342" s="70"/>
      <c r="F342" s="71"/>
      <c r="G342" s="71"/>
      <c r="H342" s="70"/>
      <c r="I342" s="70"/>
    </row>
    <row r="343" spans="1:9" x14ac:dyDescent="0.25">
      <c r="A343" s="173"/>
      <c r="B343" s="21" t="s">
        <v>295</v>
      </c>
      <c r="C343" s="69">
        <f>SUM(D343:I343)</f>
        <v>52.735199999999999</v>
      </c>
      <c r="D343" s="69"/>
      <c r="E343" s="69"/>
      <c r="F343" s="69">
        <f>125.56/100*21</f>
        <v>26.367599999999999</v>
      </c>
      <c r="G343" s="69">
        <f>125.56/100*21</f>
        <v>26.367599999999999</v>
      </c>
      <c r="H343" s="69"/>
      <c r="I343" s="69"/>
    </row>
    <row r="344" spans="1:9" x14ac:dyDescent="0.25">
      <c r="A344" s="173" t="s">
        <v>233</v>
      </c>
      <c r="B344" s="21" t="s">
        <v>403</v>
      </c>
      <c r="C344" s="69">
        <f t="shared" ref="C344:C353" si="77">SUM(D344:I344)</f>
        <v>44.33</v>
      </c>
      <c r="D344" s="69"/>
      <c r="E344" s="69"/>
      <c r="F344" s="69">
        <f>SUM(F345:F348)</f>
        <v>44.33</v>
      </c>
      <c r="G344" s="69"/>
      <c r="H344" s="69"/>
      <c r="I344" s="69"/>
    </row>
    <row r="345" spans="1:9" x14ac:dyDescent="0.25">
      <c r="A345" s="173"/>
      <c r="B345" s="21" t="s">
        <v>292</v>
      </c>
      <c r="C345" s="69">
        <f t="shared" si="77"/>
        <v>26.597999999999999</v>
      </c>
      <c r="D345" s="69"/>
      <c r="E345" s="69"/>
      <c r="F345" s="69">
        <f>44.33/100*60</f>
        <v>26.597999999999999</v>
      </c>
      <c r="G345" s="69"/>
      <c r="H345" s="69"/>
      <c r="I345" s="69"/>
    </row>
    <row r="346" spans="1:9" x14ac:dyDescent="0.25">
      <c r="A346" s="173"/>
      <c r="B346" s="21" t="s">
        <v>293</v>
      </c>
      <c r="C346" s="69">
        <f t="shared" si="77"/>
        <v>8.422699999999999</v>
      </c>
      <c r="D346" s="69"/>
      <c r="E346" s="69"/>
      <c r="F346" s="69">
        <f>44.33/100*19</f>
        <v>8.422699999999999</v>
      </c>
      <c r="G346" s="69"/>
      <c r="H346" s="69"/>
      <c r="I346" s="69"/>
    </row>
    <row r="347" spans="1:9" x14ac:dyDescent="0.25">
      <c r="A347" s="173"/>
      <c r="B347" s="21" t="s">
        <v>294</v>
      </c>
      <c r="C347" s="71"/>
      <c r="D347" s="71"/>
      <c r="E347" s="71"/>
      <c r="F347" s="71"/>
      <c r="G347" s="70"/>
      <c r="H347" s="70"/>
      <c r="I347" s="70"/>
    </row>
    <row r="348" spans="1:9" x14ac:dyDescent="0.25">
      <c r="A348" s="173"/>
      <c r="B348" s="21" t="s">
        <v>295</v>
      </c>
      <c r="C348" s="69">
        <f t="shared" si="77"/>
        <v>9.3092999999999986</v>
      </c>
      <c r="D348" s="69"/>
      <c r="E348" s="69"/>
      <c r="F348" s="69">
        <f>44.33/100*21</f>
        <v>9.3092999999999986</v>
      </c>
      <c r="G348" s="69"/>
      <c r="H348" s="69"/>
      <c r="I348" s="69"/>
    </row>
    <row r="349" spans="1:9" x14ac:dyDescent="0.25">
      <c r="A349" s="173" t="s">
        <v>235</v>
      </c>
      <c r="B349" s="21" t="s">
        <v>403</v>
      </c>
      <c r="C349" s="69">
        <f t="shared" si="77"/>
        <v>75.98</v>
      </c>
      <c r="D349" s="69"/>
      <c r="E349" s="69">
        <f>SUM(E350:E353)</f>
        <v>75.98</v>
      </c>
      <c r="F349" s="69"/>
      <c r="G349" s="69"/>
      <c r="H349" s="69"/>
      <c r="I349" s="69"/>
    </row>
    <row r="350" spans="1:9" x14ac:dyDescent="0.25">
      <c r="A350" s="173"/>
      <c r="B350" s="21" t="s">
        <v>292</v>
      </c>
      <c r="C350" s="69">
        <f t="shared" si="77"/>
        <v>45.588000000000001</v>
      </c>
      <c r="D350" s="69"/>
      <c r="E350" s="69">
        <f>75.98/100*60</f>
        <v>45.588000000000001</v>
      </c>
      <c r="F350" s="69"/>
      <c r="G350" s="69"/>
      <c r="H350" s="69"/>
      <c r="I350" s="69"/>
    </row>
    <row r="351" spans="1:9" x14ac:dyDescent="0.25">
      <c r="A351" s="173"/>
      <c r="B351" s="21" t="s">
        <v>293</v>
      </c>
      <c r="C351" s="69">
        <f t="shared" si="77"/>
        <v>14.436200000000001</v>
      </c>
      <c r="D351" s="69"/>
      <c r="E351" s="69">
        <f>75.98/100*19</f>
        <v>14.436200000000001</v>
      </c>
      <c r="F351" s="69"/>
      <c r="G351" s="69"/>
      <c r="H351" s="69"/>
      <c r="I351" s="69"/>
    </row>
    <row r="352" spans="1:9" x14ac:dyDescent="0.25">
      <c r="A352" s="173"/>
      <c r="B352" s="21" t="s">
        <v>294</v>
      </c>
      <c r="C352" s="71"/>
      <c r="D352" s="71"/>
      <c r="E352" s="71"/>
      <c r="F352" s="70"/>
      <c r="G352" s="70"/>
      <c r="H352" s="70"/>
      <c r="I352" s="70"/>
    </row>
    <row r="353" spans="1:9" ht="29.25" customHeight="1" x14ac:dyDescent="0.25">
      <c r="A353" s="173"/>
      <c r="B353" s="21" t="s">
        <v>295</v>
      </c>
      <c r="C353" s="69">
        <f t="shared" si="77"/>
        <v>15.9558</v>
      </c>
      <c r="D353" s="69"/>
      <c r="E353" s="69">
        <f>75.98/100*21</f>
        <v>15.9558</v>
      </c>
      <c r="F353" s="69"/>
      <c r="G353" s="69"/>
      <c r="H353" s="69"/>
      <c r="I353" s="69"/>
    </row>
    <row r="354" spans="1:9" x14ac:dyDescent="0.25">
      <c r="A354" s="173" t="s">
        <v>236</v>
      </c>
      <c r="B354" s="21" t="s">
        <v>403</v>
      </c>
      <c r="C354" s="69">
        <f>SUM(D354:I354)</f>
        <v>138.79999999999998</v>
      </c>
      <c r="D354" s="69">
        <f t="shared" ref="D354:H354" si="78">D355+D356+D358</f>
        <v>2.7</v>
      </c>
      <c r="E354" s="69">
        <f t="shared" si="78"/>
        <v>3.0999999999999996</v>
      </c>
      <c r="F354" s="69">
        <f t="shared" si="78"/>
        <v>73.099999999999994</v>
      </c>
      <c r="G354" s="69">
        <f t="shared" si="78"/>
        <v>33.200000000000003</v>
      </c>
      <c r="H354" s="69">
        <f t="shared" si="78"/>
        <v>13.3</v>
      </c>
      <c r="I354" s="69">
        <f>I355+I356+I358</f>
        <v>13.400000000000002</v>
      </c>
    </row>
    <row r="355" spans="1:9" x14ac:dyDescent="0.25">
      <c r="A355" s="173"/>
      <c r="B355" s="21" t="s">
        <v>292</v>
      </c>
      <c r="C355" s="69">
        <f>SUM(D355:I355)</f>
        <v>83.28</v>
      </c>
      <c r="D355" s="69">
        <f>2.7/100*60</f>
        <v>1.62</v>
      </c>
      <c r="E355" s="69">
        <f>3.1/100*60</f>
        <v>1.8599999999999999</v>
      </c>
      <c r="F355" s="69">
        <f>73.1/100*60</f>
        <v>43.86</v>
      </c>
      <c r="G355" s="69">
        <f>33.2/100*60</f>
        <v>19.920000000000002</v>
      </c>
      <c r="H355" s="69">
        <f>13.3/100*60</f>
        <v>7.98</v>
      </c>
      <c r="I355" s="69">
        <f>13.4/100*60</f>
        <v>8.0400000000000009</v>
      </c>
    </row>
    <row r="356" spans="1:9" x14ac:dyDescent="0.25">
      <c r="A356" s="173"/>
      <c r="B356" s="21" t="s">
        <v>293</v>
      </c>
      <c r="C356" s="69">
        <f>SUM(D356:I356)</f>
        <v>26.372</v>
      </c>
      <c r="D356" s="69">
        <f>2.7/100*19</f>
        <v>0.51300000000000001</v>
      </c>
      <c r="E356" s="69">
        <f>3.1/100*19</f>
        <v>0.58899999999999997</v>
      </c>
      <c r="F356" s="69">
        <f>73.1/100*19</f>
        <v>13.888999999999999</v>
      </c>
      <c r="G356" s="69">
        <f>33.2/100*19</f>
        <v>6.3080000000000007</v>
      </c>
      <c r="H356" s="69">
        <f>13.3/100*19</f>
        <v>2.5270000000000001</v>
      </c>
      <c r="I356" s="69">
        <f>13.4/100*19</f>
        <v>2.5460000000000003</v>
      </c>
    </row>
    <row r="357" spans="1:9" x14ac:dyDescent="0.25">
      <c r="A357" s="173"/>
      <c r="B357" s="21" t="s">
        <v>294</v>
      </c>
      <c r="C357" s="71"/>
      <c r="D357" s="71"/>
      <c r="E357" s="71"/>
      <c r="F357" s="71"/>
      <c r="G357" s="71"/>
      <c r="H357" s="71"/>
      <c r="I357" s="71"/>
    </row>
    <row r="358" spans="1:9" ht="28.5" customHeight="1" x14ac:dyDescent="0.25">
      <c r="A358" s="173"/>
      <c r="B358" s="21" t="s">
        <v>295</v>
      </c>
      <c r="C358" s="69">
        <f>SUM(D358:I358)</f>
        <v>29.148</v>
      </c>
      <c r="D358" s="69">
        <f>2.7/100*21</f>
        <v>0.56700000000000006</v>
      </c>
      <c r="E358" s="69">
        <f>3.1/100*21</f>
        <v>0.65100000000000002</v>
      </c>
      <c r="F358" s="69">
        <f>73.1/100*21</f>
        <v>15.350999999999999</v>
      </c>
      <c r="G358" s="69">
        <f>33.2/100*21</f>
        <v>6.9720000000000004</v>
      </c>
      <c r="H358" s="69">
        <f>13.3/100*21</f>
        <v>2.7930000000000001</v>
      </c>
      <c r="I358" s="69">
        <f>13.4/100*21</f>
        <v>2.8140000000000001</v>
      </c>
    </row>
    <row r="359" spans="1:9" x14ac:dyDescent="0.25">
      <c r="A359" s="173" t="s">
        <v>238</v>
      </c>
      <c r="B359" s="21" t="s">
        <v>403</v>
      </c>
      <c r="C359" s="69">
        <f t="shared" ref="C359:C373" si="79">SUM(D359:I359)</f>
        <v>212.00000000000003</v>
      </c>
      <c r="D359" s="69"/>
      <c r="E359" s="69">
        <f>SUM(E360:E363)</f>
        <v>212.00000000000003</v>
      </c>
      <c r="F359" s="69"/>
      <c r="G359" s="69"/>
      <c r="H359" s="69"/>
      <c r="I359" s="69"/>
    </row>
    <row r="360" spans="1:9" x14ac:dyDescent="0.25">
      <c r="A360" s="173"/>
      <c r="B360" s="21" t="s">
        <v>292</v>
      </c>
      <c r="C360" s="69">
        <f t="shared" si="79"/>
        <v>127.2</v>
      </c>
      <c r="D360" s="69"/>
      <c r="E360" s="69">
        <f>212/100*60</f>
        <v>127.2</v>
      </c>
      <c r="F360" s="69"/>
      <c r="G360" s="69"/>
      <c r="H360" s="69"/>
      <c r="I360" s="69"/>
    </row>
    <row r="361" spans="1:9" x14ac:dyDescent="0.25">
      <c r="A361" s="173"/>
      <c r="B361" s="21" t="s">
        <v>293</v>
      </c>
      <c r="C361" s="69">
        <f t="shared" si="79"/>
        <v>40.28</v>
      </c>
      <c r="D361" s="69"/>
      <c r="E361" s="69">
        <f>212/100*19</f>
        <v>40.28</v>
      </c>
      <c r="F361" s="69"/>
      <c r="G361" s="69"/>
      <c r="H361" s="69"/>
      <c r="I361" s="69"/>
    </row>
    <row r="362" spans="1:9" x14ac:dyDescent="0.25">
      <c r="A362" s="173"/>
      <c r="B362" s="21" t="s">
        <v>294</v>
      </c>
      <c r="C362" s="71"/>
      <c r="D362" s="71"/>
      <c r="E362" s="71"/>
      <c r="F362" s="70"/>
      <c r="G362" s="70"/>
      <c r="H362" s="70"/>
      <c r="I362" s="70"/>
    </row>
    <row r="363" spans="1:9" x14ac:dyDescent="0.25">
      <c r="A363" s="173"/>
      <c r="B363" s="21" t="s">
        <v>295</v>
      </c>
      <c r="C363" s="69">
        <f t="shared" si="79"/>
        <v>44.52</v>
      </c>
      <c r="D363" s="69"/>
      <c r="E363" s="69">
        <f>212/100*21</f>
        <v>44.52</v>
      </c>
      <c r="F363" s="69"/>
      <c r="G363" s="69"/>
      <c r="H363" s="69"/>
      <c r="I363" s="69"/>
    </row>
    <row r="364" spans="1:9" x14ac:dyDescent="0.25">
      <c r="A364" s="173" t="s">
        <v>240</v>
      </c>
      <c r="B364" s="21" t="s">
        <v>403</v>
      </c>
      <c r="C364" s="69">
        <f t="shared" si="79"/>
        <v>350.99999999999994</v>
      </c>
      <c r="D364" s="69"/>
      <c r="E364" s="69"/>
      <c r="F364" s="69"/>
      <c r="G364" s="69">
        <f>SUM(G365:G368)</f>
        <v>175.49999999999997</v>
      </c>
      <c r="H364" s="69">
        <f>SUM(H365:H368)</f>
        <v>175.49999999999997</v>
      </c>
      <c r="I364" s="69"/>
    </row>
    <row r="365" spans="1:9" x14ac:dyDescent="0.25">
      <c r="A365" s="173"/>
      <c r="B365" s="21" t="s">
        <v>292</v>
      </c>
      <c r="C365" s="69">
        <f t="shared" si="79"/>
        <v>210.6</v>
      </c>
      <c r="D365" s="69"/>
      <c r="E365" s="69"/>
      <c r="F365" s="69"/>
      <c r="G365" s="69">
        <f>175.5/100*60</f>
        <v>105.3</v>
      </c>
      <c r="H365" s="69">
        <f>175.5/100*60</f>
        <v>105.3</v>
      </c>
      <c r="I365" s="69"/>
    </row>
    <row r="366" spans="1:9" x14ac:dyDescent="0.25">
      <c r="A366" s="173"/>
      <c r="B366" s="21" t="s">
        <v>293</v>
      </c>
      <c r="C366" s="69">
        <f t="shared" si="79"/>
        <v>66.69</v>
      </c>
      <c r="D366" s="69"/>
      <c r="E366" s="69"/>
      <c r="F366" s="69"/>
      <c r="G366" s="69">
        <f>175.5/100*19</f>
        <v>33.344999999999999</v>
      </c>
      <c r="H366" s="69">
        <f>175.5/100*19</f>
        <v>33.344999999999999</v>
      </c>
      <c r="I366" s="69"/>
    </row>
    <row r="367" spans="1:9" x14ac:dyDescent="0.25">
      <c r="A367" s="173"/>
      <c r="B367" s="21" t="s">
        <v>294</v>
      </c>
      <c r="C367" s="71"/>
      <c r="D367" s="71"/>
      <c r="E367" s="71"/>
      <c r="F367" s="71"/>
      <c r="G367" s="71"/>
      <c r="H367" s="71"/>
      <c r="I367" s="70"/>
    </row>
    <row r="368" spans="1:9" x14ac:dyDescent="0.25">
      <c r="A368" s="173"/>
      <c r="B368" s="21" t="s">
        <v>295</v>
      </c>
      <c r="C368" s="69">
        <f t="shared" si="79"/>
        <v>73.709999999999994</v>
      </c>
      <c r="D368" s="69"/>
      <c r="E368" s="69"/>
      <c r="F368" s="69"/>
      <c r="G368" s="69">
        <f>175.5/100*21</f>
        <v>36.854999999999997</v>
      </c>
      <c r="H368" s="69">
        <f>175.5/100*21</f>
        <v>36.854999999999997</v>
      </c>
      <c r="I368" s="69"/>
    </row>
    <row r="369" spans="1:11" x14ac:dyDescent="0.25">
      <c r="A369" s="173" t="s">
        <v>241</v>
      </c>
      <c r="B369" s="21" t="s">
        <v>403</v>
      </c>
      <c r="C369" s="69">
        <f t="shared" si="79"/>
        <v>1000</v>
      </c>
      <c r="D369" s="69"/>
      <c r="E369" s="69">
        <f>SUM(E370:E373)</f>
        <v>200</v>
      </c>
      <c r="F369" s="69">
        <f>SUM(F370:F373)</f>
        <v>200</v>
      </c>
      <c r="G369" s="69">
        <f>SUM(G370:G373)</f>
        <v>200</v>
      </c>
      <c r="H369" s="69">
        <f>SUM(H370:H373)</f>
        <v>200</v>
      </c>
      <c r="I369" s="69">
        <f>SUM(I370:I373)</f>
        <v>200</v>
      </c>
    </row>
    <row r="370" spans="1:11" x14ac:dyDescent="0.25">
      <c r="A370" s="173"/>
      <c r="B370" s="21" t="s">
        <v>292</v>
      </c>
      <c r="C370" s="69">
        <f t="shared" si="79"/>
        <v>600</v>
      </c>
      <c r="D370" s="69"/>
      <c r="E370" s="69">
        <f t="shared" ref="E370:H370" si="80">200/100*60</f>
        <v>120</v>
      </c>
      <c r="F370" s="69">
        <f t="shared" si="80"/>
        <v>120</v>
      </c>
      <c r="G370" s="69">
        <f t="shared" si="80"/>
        <v>120</v>
      </c>
      <c r="H370" s="69">
        <f t="shared" si="80"/>
        <v>120</v>
      </c>
      <c r="I370" s="69">
        <f>200/100*60</f>
        <v>120</v>
      </c>
    </row>
    <row r="371" spans="1:11" x14ac:dyDescent="0.25">
      <c r="A371" s="173"/>
      <c r="B371" s="21" t="s">
        <v>293</v>
      </c>
      <c r="C371" s="69">
        <f t="shared" si="79"/>
        <v>190</v>
      </c>
      <c r="D371" s="69"/>
      <c r="E371" s="69">
        <f t="shared" ref="E371:H371" si="81">200/100*19</f>
        <v>38</v>
      </c>
      <c r="F371" s="69">
        <f t="shared" si="81"/>
        <v>38</v>
      </c>
      <c r="G371" s="69">
        <f t="shared" si="81"/>
        <v>38</v>
      </c>
      <c r="H371" s="69">
        <f t="shared" si="81"/>
        <v>38</v>
      </c>
      <c r="I371" s="69">
        <f>200/100*19</f>
        <v>38</v>
      </c>
    </row>
    <row r="372" spans="1:11" x14ac:dyDescent="0.25">
      <c r="A372" s="173"/>
      <c r="B372" s="21" t="s">
        <v>294</v>
      </c>
      <c r="C372" s="71"/>
      <c r="D372" s="74"/>
      <c r="E372" s="74"/>
      <c r="F372" s="74"/>
      <c r="G372" s="74"/>
      <c r="H372" s="74"/>
      <c r="I372" s="74"/>
    </row>
    <row r="373" spans="1:11" x14ac:dyDescent="0.25">
      <c r="A373" s="173"/>
      <c r="B373" s="21" t="s">
        <v>295</v>
      </c>
      <c r="C373" s="69">
        <f t="shared" si="79"/>
        <v>210</v>
      </c>
      <c r="D373" s="69"/>
      <c r="E373" s="69">
        <f t="shared" ref="E373:H373" si="82">200/100*21</f>
        <v>42</v>
      </c>
      <c r="F373" s="69">
        <f t="shared" si="82"/>
        <v>42</v>
      </c>
      <c r="G373" s="69">
        <f t="shared" si="82"/>
        <v>42</v>
      </c>
      <c r="H373" s="69">
        <f t="shared" si="82"/>
        <v>42</v>
      </c>
      <c r="I373" s="69">
        <f>200/100*21</f>
        <v>42</v>
      </c>
    </row>
    <row r="374" spans="1:11" x14ac:dyDescent="0.25">
      <c r="A374" s="173" t="s">
        <v>243</v>
      </c>
      <c r="B374" s="21" t="s">
        <v>403</v>
      </c>
      <c r="C374" s="69">
        <f t="shared" ref="C374:C378" si="83">SUM(D374:I374)</f>
        <v>246</v>
      </c>
      <c r="D374" s="69">
        <f t="shared" ref="D374:H374" si="84">D375+D376+D378</f>
        <v>0</v>
      </c>
      <c r="E374" s="69">
        <f t="shared" si="84"/>
        <v>47.999999999999993</v>
      </c>
      <c r="F374" s="69">
        <f t="shared" si="84"/>
        <v>47.999999999999993</v>
      </c>
      <c r="G374" s="69">
        <f t="shared" si="84"/>
        <v>50</v>
      </c>
      <c r="H374" s="69">
        <f t="shared" si="84"/>
        <v>50</v>
      </c>
      <c r="I374" s="69">
        <f>I375+I376+I378</f>
        <v>50</v>
      </c>
    </row>
    <row r="375" spans="1:11" x14ac:dyDescent="0.25">
      <c r="A375" s="173"/>
      <c r="B375" s="21" t="s">
        <v>292</v>
      </c>
      <c r="C375" s="69">
        <f t="shared" si="83"/>
        <v>147.6</v>
      </c>
      <c r="D375" s="69"/>
      <c r="E375" s="69">
        <f>48/100*60</f>
        <v>28.799999999999997</v>
      </c>
      <c r="F375" s="69">
        <f>48/100*60</f>
        <v>28.799999999999997</v>
      </c>
      <c r="G375" s="69">
        <f t="shared" ref="G375:H375" si="85">50/100*60</f>
        <v>30</v>
      </c>
      <c r="H375" s="69">
        <f t="shared" si="85"/>
        <v>30</v>
      </c>
      <c r="I375" s="69">
        <f>50/100*60</f>
        <v>30</v>
      </c>
    </row>
    <row r="376" spans="1:11" x14ac:dyDescent="0.25">
      <c r="A376" s="173"/>
      <c r="B376" s="21" t="s">
        <v>293</v>
      </c>
      <c r="C376" s="69">
        <f t="shared" si="83"/>
        <v>46.739999999999995</v>
      </c>
      <c r="D376" s="69"/>
      <c r="E376" s="69">
        <f>48/100*19</f>
        <v>9.1199999999999992</v>
      </c>
      <c r="F376" s="69">
        <f>48/100*19</f>
        <v>9.1199999999999992</v>
      </c>
      <c r="G376" s="69">
        <f t="shared" ref="G376:H376" si="86">50/100*19</f>
        <v>9.5</v>
      </c>
      <c r="H376" s="69">
        <f t="shared" si="86"/>
        <v>9.5</v>
      </c>
      <c r="I376" s="69">
        <f>50/100*19</f>
        <v>9.5</v>
      </c>
    </row>
    <row r="377" spans="1:11" x14ac:dyDescent="0.25">
      <c r="A377" s="173"/>
      <c r="B377" s="21" t="s">
        <v>294</v>
      </c>
      <c r="C377" s="71"/>
      <c r="D377" s="71"/>
      <c r="E377" s="71"/>
      <c r="F377" s="71"/>
      <c r="G377" s="71"/>
      <c r="H377" s="71"/>
      <c r="I377" s="71"/>
    </row>
    <row r="378" spans="1:11" ht="22.5" customHeight="1" x14ac:dyDescent="0.25">
      <c r="A378" s="173"/>
      <c r="B378" s="21" t="s">
        <v>295</v>
      </c>
      <c r="C378" s="69">
        <f t="shared" si="83"/>
        <v>51.66</v>
      </c>
      <c r="D378" s="69"/>
      <c r="E378" s="69">
        <f>48/100*21</f>
        <v>10.08</v>
      </c>
      <c r="F378" s="69">
        <f>48/100*21</f>
        <v>10.08</v>
      </c>
      <c r="G378" s="69">
        <f t="shared" ref="G378:H378" si="87">50/100*21</f>
        <v>10.5</v>
      </c>
      <c r="H378" s="69">
        <f t="shared" si="87"/>
        <v>10.5</v>
      </c>
      <c r="I378" s="69">
        <f>50/100*21</f>
        <v>10.5</v>
      </c>
    </row>
    <row r="379" spans="1:11" x14ac:dyDescent="0.25">
      <c r="A379" s="173" t="s">
        <v>244</v>
      </c>
      <c r="B379" s="21" t="s">
        <v>403</v>
      </c>
      <c r="C379" s="69">
        <f>SUM(D379:I379)</f>
        <v>800</v>
      </c>
      <c r="D379" s="69"/>
      <c r="E379" s="69">
        <f>SUM(E380:E383)</f>
        <v>160</v>
      </c>
      <c r="F379" s="69">
        <f>SUM(F380:F383)</f>
        <v>160</v>
      </c>
      <c r="G379" s="69">
        <f>SUM(G380:G383)</f>
        <v>160</v>
      </c>
      <c r="H379" s="69">
        <f>SUM(H380:H383)</f>
        <v>160</v>
      </c>
      <c r="I379" s="69">
        <f>SUM(I380:I383)</f>
        <v>160</v>
      </c>
    </row>
    <row r="380" spans="1:11" x14ac:dyDescent="0.25">
      <c r="A380" s="173"/>
      <c r="B380" s="21" t="s">
        <v>292</v>
      </c>
      <c r="C380" s="69">
        <f>SUM(D380:I380)</f>
        <v>480</v>
      </c>
      <c r="D380" s="70"/>
      <c r="E380" s="69">
        <f t="shared" ref="E380:H380" si="88">160/100*60</f>
        <v>96</v>
      </c>
      <c r="F380" s="69">
        <f t="shared" si="88"/>
        <v>96</v>
      </c>
      <c r="G380" s="69">
        <f t="shared" si="88"/>
        <v>96</v>
      </c>
      <c r="H380" s="69">
        <f t="shared" si="88"/>
        <v>96</v>
      </c>
      <c r="I380" s="69">
        <f>160/100*60</f>
        <v>96</v>
      </c>
    </row>
    <row r="381" spans="1:11" x14ac:dyDescent="0.25">
      <c r="A381" s="173"/>
      <c r="B381" s="21" t="s">
        <v>293</v>
      </c>
      <c r="C381" s="69">
        <f>SUM(D381:I381)</f>
        <v>152</v>
      </c>
      <c r="D381" s="70"/>
      <c r="E381" s="69">
        <f t="shared" ref="E381:H381" si="89">160/100*19</f>
        <v>30.400000000000002</v>
      </c>
      <c r="F381" s="69">
        <f t="shared" si="89"/>
        <v>30.400000000000002</v>
      </c>
      <c r="G381" s="69">
        <f t="shared" si="89"/>
        <v>30.400000000000002</v>
      </c>
      <c r="H381" s="69">
        <f t="shared" si="89"/>
        <v>30.400000000000002</v>
      </c>
      <c r="I381" s="69">
        <f>160/100*19</f>
        <v>30.400000000000002</v>
      </c>
    </row>
    <row r="382" spans="1:11" x14ac:dyDescent="0.25">
      <c r="A382" s="173"/>
      <c r="B382" s="21" t="s">
        <v>294</v>
      </c>
      <c r="C382" s="71"/>
      <c r="D382" s="71"/>
      <c r="E382" s="71"/>
      <c r="F382" s="71"/>
      <c r="G382" s="71"/>
      <c r="H382" s="71"/>
      <c r="I382" s="71"/>
    </row>
    <row r="383" spans="1:11" ht="26.25" customHeight="1" x14ac:dyDescent="0.25">
      <c r="A383" s="173"/>
      <c r="B383" s="21" t="s">
        <v>295</v>
      </c>
      <c r="C383" s="69">
        <f>SUM(D383:I383)</f>
        <v>168</v>
      </c>
      <c r="D383" s="69"/>
      <c r="E383" s="69">
        <f t="shared" ref="E383:H383" si="90">160/100*21</f>
        <v>33.6</v>
      </c>
      <c r="F383" s="69">
        <f t="shared" si="90"/>
        <v>33.6</v>
      </c>
      <c r="G383" s="69">
        <f t="shared" si="90"/>
        <v>33.6</v>
      </c>
      <c r="H383" s="69">
        <f t="shared" si="90"/>
        <v>33.6</v>
      </c>
      <c r="I383" s="69">
        <f>160/100*21</f>
        <v>33.6</v>
      </c>
    </row>
    <row r="384" spans="1:11" collapsed="1" x14ac:dyDescent="0.25">
      <c r="A384" s="179" t="s">
        <v>30</v>
      </c>
      <c r="B384" s="21" t="s">
        <v>403</v>
      </c>
      <c r="C384" s="10">
        <f>SUMIF($B$169:$B$383,"Всего*",C$169:C$383)</f>
        <v>16377.380390000002</v>
      </c>
      <c r="D384" s="10">
        <f t="shared" ref="D384:I384" si="91">SUMIF($B$169:$B$383,"Всего*",D$169:D$383)</f>
        <v>172.95999999999998</v>
      </c>
      <c r="E384" s="10">
        <f t="shared" si="91"/>
        <v>2527.6414</v>
      </c>
      <c r="F384" s="10">
        <f t="shared" si="91"/>
        <v>2310.6646899999996</v>
      </c>
      <c r="G384" s="10">
        <f t="shared" si="91"/>
        <v>3960.5143000000003</v>
      </c>
      <c r="H384" s="10">
        <f t="shared" si="91"/>
        <v>3790.5</v>
      </c>
      <c r="I384" s="10">
        <f t="shared" si="91"/>
        <v>3615.1</v>
      </c>
      <c r="J384" s="11"/>
      <c r="K384" s="11"/>
    </row>
    <row r="385" spans="1:11" x14ac:dyDescent="0.25">
      <c r="A385" s="179"/>
      <c r="B385" s="21" t="s">
        <v>292</v>
      </c>
      <c r="C385" s="10">
        <f>SUMIF($B$169:$B$383,"фед*",C$169:C$383)</f>
        <v>8242.6722340000015</v>
      </c>
      <c r="D385" s="10">
        <f t="shared" ref="D385:I385" si="92">SUMIF($B$169:$B$383,"фед*",D$169:D$383)</f>
        <v>86.42</v>
      </c>
      <c r="E385" s="10">
        <f t="shared" si="92"/>
        <v>1148.3408399999998</v>
      </c>
      <c r="F385" s="10">
        <f t="shared" si="92"/>
        <v>1078.0428139999999</v>
      </c>
      <c r="G385" s="10">
        <f t="shared" si="92"/>
        <v>2133.9485800000002</v>
      </c>
      <c r="H385" s="10">
        <f t="shared" si="92"/>
        <v>1950.58</v>
      </c>
      <c r="I385" s="10">
        <f t="shared" si="92"/>
        <v>1845.34</v>
      </c>
      <c r="J385" s="11"/>
    </row>
    <row r="386" spans="1:11" x14ac:dyDescent="0.25">
      <c r="A386" s="179"/>
      <c r="B386" s="21" t="s">
        <v>293</v>
      </c>
      <c r="C386" s="10">
        <f>SUMIF($B$169:$B$383,"респ*",C$169:C$383)</f>
        <v>4592.2991574999996</v>
      </c>
      <c r="D386" s="10">
        <f t="shared" ref="D386:I386" si="93">SUMIF($B$169:$B$383,"респ*",D$169:D$383)</f>
        <v>81.293000000000006</v>
      </c>
      <c r="E386" s="10">
        <f t="shared" si="93"/>
        <v>813.61604940000007</v>
      </c>
      <c r="F386" s="10">
        <f t="shared" si="93"/>
        <v>736.43939109999997</v>
      </c>
      <c r="G386" s="10">
        <f t="shared" si="93"/>
        <v>968.9727170000001</v>
      </c>
      <c r="H386" s="10">
        <f t="shared" si="93"/>
        <v>1012.6520000000002</v>
      </c>
      <c r="I386" s="10">
        <f t="shared" si="93"/>
        <v>979.32600000000014</v>
      </c>
      <c r="J386" s="11"/>
    </row>
    <row r="387" spans="1:11" x14ac:dyDescent="0.25">
      <c r="A387" s="179"/>
      <c r="B387" s="21" t="s">
        <v>294</v>
      </c>
      <c r="C387" s="10">
        <f>SUMIF($B$169:$B$383,"муниц*",C$169:C$383)</f>
        <v>378.09999999999991</v>
      </c>
      <c r="D387" s="10">
        <f t="shared" ref="D387:I387" si="94">SUMIF($B$169:$B$383,"муниц*",D$169:D$383)</f>
        <v>3.6</v>
      </c>
      <c r="E387" s="10">
        <f t="shared" si="94"/>
        <v>82.919999999999959</v>
      </c>
      <c r="F387" s="10">
        <f t="shared" si="94"/>
        <v>72.019999999999982</v>
      </c>
      <c r="G387" s="10">
        <f t="shared" si="94"/>
        <v>66.519999999999982</v>
      </c>
      <c r="H387" s="10">
        <f t="shared" si="94"/>
        <v>76.519999999999982</v>
      </c>
      <c r="I387" s="10">
        <f t="shared" si="94"/>
        <v>76.519999999999982</v>
      </c>
    </row>
    <row r="388" spans="1:11" ht="24.75" customHeight="1" x14ac:dyDescent="0.25">
      <c r="A388" s="179"/>
      <c r="B388" s="21" t="s">
        <v>295</v>
      </c>
      <c r="C388" s="10">
        <f>SUMIF($B$169:$B$383,"вне*",C$169:C$383)</f>
        <v>3164.3089985000001</v>
      </c>
      <c r="D388" s="10">
        <f t="shared" ref="D388:I388" si="95">SUMIF($B$169:$B$383,"вне*",D$169:D$383)</f>
        <v>1.6470000000000002</v>
      </c>
      <c r="E388" s="10">
        <f t="shared" si="95"/>
        <v>482.76451059999994</v>
      </c>
      <c r="F388" s="10">
        <f t="shared" si="95"/>
        <v>424.16248489999992</v>
      </c>
      <c r="G388" s="10">
        <f t="shared" si="95"/>
        <v>791.07300299999997</v>
      </c>
      <c r="H388" s="10">
        <f t="shared" si="95"/>
        <v>750.74800000000005</v>
      </c>
      <c r="I388" s="10">
        <f t="shared" si="95"/>
        <v>713.91399999999999</v>
      </c>
      <c r="J388" s="11"/>
    </row>
    <row r="389" spans="1:11" x14ac:dyDescent="0.25">
      <c r="A389" s="176" t="s">
        <v>9</v>
      </c>
      <c r="B389" s="176"/>
      <c r="C389" s="176"/>
      <c r="D389" s="176"/>
      <c r="E389" s="176"/>
      <c r="F389" s="176"/>
      <c r="G389" s="176"/>
      <c r="H389" s="176"/>
      <c r="I389" s="176"/>
    </row>
    <row r="390" spans="1:11" x14ac:dyDescent="0.25">
      <c r="A390" s="173" t="s">
        <v>245</v>
      </c>
      <c r="B390" s="21" t="s">
        <v>403</v>
      </c>
      <c r="C390" s="3">
        <f>SUM(D390:I390)</f>
        <v>144</v>
      </c>
      <c r="D390" s="3">
        <f t="shared" ref="D390:I390" si="96">SUM(D391:D394)</f>
        <v>0</v>
      </c>
      <c r="E390" s="3">
        <f t="shared" si="96"/>
        <v>0</v>
      </c>
      <c r="F390" s="3">
        <f t="shared" si="96"/>
        <v>144</v>
      </c>
      <c r="G390" s="3">
        <f t="shared" si="96"/>
        <v>0</v>
      </c>
      <c r="H390" s="3">
        <f t="shared" si="96"/>
        <v>0</v>
      </c>
      <c r="I390" s="3">
        <f t="shared" si="96"/>
        <v>0</v>
      </c>
      <c r="J390" s="18"/>
    </row>
    <row r="391" spans="1:11" x14ac:dyDescent="0.25">
      <c r="A391" s="173"/>
      <c r="B391" s="21" t="s">
        <v>292</v>
      </c>
      <c r="C391" s="3">
        <f>SUM(D391:I391)</f>
        <v>115.2</v>
      </c>
      <c r="D391" s="9"/>
      <c r="E391" s="9"/>
      <c r="F391" s="9">
        <v>115.2</v>
      </c>
      <c r="G391" s="9"/>
      <c r="H391" s="9"/>
      <c r="I391" s="9"/>
      <c r="J391" s="18"/>
    </row>
    <row r="392" spans="1:11" x14ac:dyDescent="0.25">
      <c r="A392" s="173"/>
      <c r="B392" s="21" t="s">
        <v>293</v>
      </c>
      <c r="C392" s="3">
        <f>SUM(D392:I392)</f>
        <v>28.8</v>
      </c>
      <c r="D392" s="9"/>
      <c r="E392" s="9"/>
      <c r="F392" s="9">
        <v>28.8</v>
      </c>
      <c r="G392" s="9"/>
      <c r="H392" s="9"/>
      <c r="I392" s="9"/>
      <c r="J392" s="18"/>
    </row>
    <row r="393" spans="1:11" x14ac:dyDescent="0.25">
      <c r="A393" s="173"/>
      <c r="B393" s="21" t="s">
        <v>294</v>
      </c>
      <c r="C393" s="3"/>
      <c r="D393" s="9"/>
      <c r="E393" s="9"/>
      <c r="F393" s="9"/>
      <c r="G393" s="9"/>
      <c r="H393" s="9"/>
      <c r="I393" s="9"/>
      <c r="J393" s="18"/>
    </row>
    <row r="394" spans="1:11" x14ac:dyDescent="0.25">
      <c r="A394" s="173"/>
      <c r="B394" s="21" t="s">
        <v>295</v>
      </c>
      <c r="C394" s="9"/>
      <c r="D394" s="9"/>
      <c r="E394" s="9"/>
      <c r="F394" s="9"/>
      <c r="G394" s="9"/>
      <c r="H394" s="9"/>
      <c r="I394" s="9"/>
      <c r="J394" s="18"/>
    </row>
    <row r="395" spans="1:11" x14ac:dyDescent="0.25">
      <c r="A395" s="173" t="s">
        <v>247</v>
      </c>
      <c r="B395" s="21" t="s">
        <v>403</v>
      </c>
      <c r="C395" s="3">
        <f>SUM(D395:I395)</f>
        <v>362</v>
      </c>
      <c r="D395" s="3">
        <f t="shared" ref="D395:I395" si="97">SUM(D396:D399)</f>
        <v>0</v>
      </c>
      <c r="E395" s="3">
        <f t="shared" si="97"/>
        <v>0</v>
      </c>
      <c r="F395" s="3">
        <f t="shared" si="97"/>
        <v>0</v>
      </c>
      <c r="G395" s="3">
        <f t="shared" si="97"/>
        <v>100</v>
      </c>
      <c r="H395" s="3">
        <f t="shared" si="97"/>
        <v>262</v>
      </c>
      <c r="I395" s="3">
        <f t="shared" si="97"/>
        <v>0</v>
      </c>
      <c r="J395" s="18"/>
    </row>
    <row r="396" spans="1:11" x14ac:dyDescent="0.25">
      <c r="A396" s="173"/>
      <c r="B396" s="21" t="s">
        <v>292</v>
      </c>
      <c r="C396" s="3">
        <f>SUM(D396:I396)</f>
        <v>289.60000000000002</v>
      </c>
      <c r="D396" s="9"/>
      <c r="E396" s="9"/>
      <c r="F396" s="9"/>
      <c r="G396" s="9">
        <v>80</v>
      </c>
      <c r="H396" s="9">
        <v>209.6</v>
      </c>
      <c r="I396" s="9"/>
    </row>
    <row r="397" spans="1:11" x14ac:dyDescent="0.25">
      <c r="A397" s="173"/>
      <c r="B397" s="21" t="s">
        <v>293</v>
      </c>
      <c r="C397" s="3">
        <f>SUM(D397:I397)</f>
        <v>72.400000000000006</v>
      </c>
      <c r="D397" s="9"/>
      <c r="E397" s="9"/>
      <c r="F397" s="9"/>
      <c r="G397" s="9">
        <v>20</v>
      </c>
      <c r="H397" s="9">
        <v>52.4</v>
      </c>
      <c r="I397" s="9"/>
    </row>
    <row r="398" spans="1:11" x14ac:dyDescent="0.25">
      <c r="A398" s="173"/>
      <c r="B398" s="21" t="s">
        <v>294</v>
      </c>
      <c r="C398" s="3"/>
      <c r="D398" s="9"/>
      <c r="E398" s="9"/>
      <c r="F398" s="9"/>
      <c r="G398" s="9"/>
      <c r="H398" s="9"/>
      <c r="I398" s="9"/>
    </row>
    <row r="399" spans="1:11" x14ac:dyDescent="0.25">
      <c r="A399" s="173"/>
      <c r="B399" s="21" t="s">
        <v>295</v>
      </c>
      <c r="C399" s="9"/>
      <c r="D399" s="9"/>
      <c r="E399" s="9"/>
      <c r="F399" s="9"/>
      <c r="G399" s="9"/>
      <c r="H399" s="9"/>
      <c r="I399" s="9"/>
    </row>
    <row r="400" spans="1:11" x14ac:dyDescent="0.25">
      <c r="A400" s="173" t="s">
        <v>678</v>
      </c>
      <c r="B400" s="62" t="s">
        <v>403</v>
      </c>
      <c r="C400" s="3">
        <f>SUM(D400:I400)</f>
        <v>362</v>
      </c>
      <c r="D400" s="3">
        <f t="shared" ref="D400:I400" si="98">SUM(D401:D404)</f>
        <v>0</v>
      </c>
      <c r="E400" s="3">
        <f t="shared" si="98"/>
        <v>0</v>
      </c>
      <c r="F400" s="3">
        <f t="shared" si="98"/>
        <v>100</v>
      </c>
      <c r="G400" s="3"/>
      <c r="H400" s="3">
        <f t="shared" si="98"/>
        <v>262</v>
      </c>
      <c r="I400" s="3">
        <f t="shared" si="98"/>
        <v>0</v>
      </c>
      <c r="K400" s="64"/>
    </row>
    <row r="401" spans="1:10" x14ac:dyDescent="0.25">
      <c r="A401" s="173"/>
      <c r="B401" s="62" t="s">
        <v>292</v>
      </c>
      <c r="C401" s="3">
        <f>SUM(D401:I401)</f>
        <v>289.60000000000002</v>
      </c>
      <c r="D401" s="9"/>
      <c r="E401" s="9"/>
      <c r="F401" s="9">
        <v>80</v>
      </c>
      <c r="G401" s="9">
        <v>0</v>
      </c>
      <c r="H401" s="9">
        <v>209.6</v>
      </c>
      <c r="I401" s="9"/>
    </row>
    <row r="402" spans="1:10" x14ac:dyDescent="0.25">
      <c r="A402" s="173"/>
      <c r="B402" s="62" t="s">
        <v>293</v>
      </c>
      <c r="C402" s="3">
        <f>SUM(D402:I402)</f>
        <v>72.400000000000006</v>
      </c>
      <c r="D402" s="9"/>
      <c r="E402" s="9"/>
      <c r="F402" s="9">
        <v>20</v>
      </c>
      <c r="G402" s="9">
        <v>0</v>
      </c>
      <c r="H402" s="9">
        <v>52.4</v>
      </c>
      <c r="I402" s="9"/>
    </row>
    <row r="403" spans="1:10" x14ac:dyDescent="0.25">
      <c r="A403" s="173"/>
      <c r="B403" s="62" t="s">
        <v>294</v>
      </c>
      <c r="C403" s="3"/>
      <c r="D403" s="9"/>
      <c r="E403" s="9"/>
      <c r="F403" s="9"/>
      <c r="G403" s="9"/>
      <c r="H403" s="9"/>
      <c r="I403" s="9"/>
    </row>
    <row r="404" spans="1:10" x14ac:dyDescent="0.25">
      <c r="A404" s="173"/>
      <c r="B404" s="62" t="s">
        <v>295</v>
      </c>
      <c r="C404" s="9"/>
      <c r="D404" s="9"/>
      <c r="E404" s="9"/>
      <c r="F404" s="9"/>
      <c r="G404" s="9"/>
      <c r="H404" s="9"/>
      <c r="I404" s="9"/>
    </row>
    <row r="405" spans="1:10" x14ac:dyDescent="0.25">
      <c r="A405" s="178" t="s">
        <v>85</v>
      </c>
      <c r="B405" s="15" t="s">
        <v>403</v>
      </c>
      <c r="C405" s="3">
        <f>SUM(D405:I405)</f>
        <v>121</v>
      </c>
      <c r="D405" s="3">
        <f t="shared" ref="D405:I405" si="99">SUM(D406:D409)</f>
        <v>0</v>
      </c>
      <c r="E405" s="3">
        <f t="shared" si="99"/>
        <v>0</v>
      </c>
      <c r="F405" s="3">
        <f t="shared" si="99"/>
        <v>0</v>
      </c>
      <c r="G405" s="3">
        <f t="shared" si="99"/>
        <v>121</v>
      </c>
      <c r="H405" s="3">
        <f t="shared" si="99"/>
        <v>0</v>
      </c>
      <c r="I405" s="3">
        <f t="shared" si="99"/>
        <v>0</v>
      </c>
    </row>
    <row r="406" spans="1:10" x14ac:dyDescent="0.25">
      <c r="A406" s="178"/>
      <c r="B406" s="15" t="s">
        <v>292</v>
      </c>
      <c r="C406" s="3">
        <f>SUM(D406:I406)</f>
        <v>0</v>
      </c>
      <c r="D406" s="9"/>
      <c r="E406" s="9"/>
      <c r="F406" s="9"/>
      <c r="G406" s="9"/>
      <c r="H406" s="9"/>
      <c r="I406" s="9"/>
    </row>
    <row r="407" spans="1:10" x14ac:dyDescent="0.25">
      <c r="A407" s="178"/>
      <c r="B407" s="15" t="s">
        <v>293</v>
      </c>
      <c r="C407" s="3">
        <f>SUM(D407:I407)</f>
        <v>121</v>
      </c>
      <c r="D407" s="9"/>
      <c r="E407" s="9"/>
      <c r="F407" s="9"/>
      <c r="G407" s="9">
        <v>121</v>
      </c>
      <c r="H407" s="9"/>
      <c r="I407" s="9"/>
    </row>
    <row r="408" spans="1:10" x14ac:dyDescent="0.25">
      <c r="A408" s="178"/>
      <c r="B408" s="15" t="s">
        <v>294</v>
      </c>
      <c r="C408" s="3"/>
      <c r="D408" s="9"/>
      <c r="E408" s="9"/>
      <c r="F408" s="9"/>
      <c r="G408" s="9"/>
      <c r="H408" s="9"/>
      <c r="I408" s="9"/>
    </row>
    <row r="409" spans="1:10" ht="30.75" customHeight="1" x14ac:dyDescent="0.25">
      <c r="A409" s="178"/>
      <c r="B409" s="15" t="s">
        <v>295</v>
      </c>
      <c r="C409" s="9"/>
      <c r="D409" s="9"/>
      <c r="E409" s="9"/>
      <c r="F409" s="9"/>
      <c r="G409" s="9"/>
      <c r="H409" s="9"/>
      <c r="I409" s="9"/>
    </row>
    <row r="410" spans="1:10" x14ac:dyDescent="0.25">
      <c r="A410" s="178" t="s">
        <v>84</v>
      </c>
      <c r="B410" s="15" t="s">
        <v>403</v>
      </c>
      <c r="C410" s="3">
        <f>SUM(D410:I410)</f>
        <v>121</v>
      </c>
      <c r="D410" s="3">
        <f t="shared" ref="D410:I410" si="100">SUM(D411:D414)</f>
        <v>0</v>
      </c>
      <c r="E410" s="3">
        <f t="shared" si="100"/>
        <v>0</v>
      </c>
      <c r="F410" s="3">
        <f t="shared" si="100"/>
        <v>0</v>
      </c>
      <c r="G410" s="3">
        <f t="shared" si="100"/>
        <v>0</v>
      </c>
      <c r="H410" s="3">
        <f t="shared" si="100"/>
        <v>121</v>
      </c>
      <c r="I410" s="3">
        <f t="shared" si="100"/>
        <v>0</v>
      </c>
    </row>
    <row r="411" spans="1:10" x14ac:dyDescent="0.25">
      <c r="A411" s="178"/>
      <c r="B411" s="15" t="s">
        <v>292</v>
      </c>
      <c r="C411" s="3"/>
      <c r="D411" s="9"/>
      <c r="E411" s="9"/>
      <c r="F411" s="9"/>
      <c r="G411" s="9"/>
      <c r="H411" s="9"/>
      <c r="I411" s="9"/>
    </row>
    <row r="412" spans="1:10" x14ac:dyDescent="0.25">
      <c r="A412" s="178"/>
      <c r="B412" s="15" t="s">
        <v>293</v>
      </c>
      <c r="C412" s="3">
        <f>SUM(D412:I412)</f>
        <v>121</v>
      </c>
      <c r="D412" s="9"/>
      <c r="E412" s="9"/>
      <c r="F412" s="9"/>
      <c r="G412" s="9"/>
      <c r="H412" s="9">
        <v>121</v>
      </c>
      <c r="I412" s="9"/>
    </row>
    <row r="413" spans="1:10" x14ac:dyDescent="0.25">
      <c r="A413" s="178"/>
      <c r="B413" s="15" t="s">
        <v>294</v>
      </c>
      <c r="C413" s="3"/>
      <c r="D413" s="9"/>
      <c r="E413" s="9"/>
      <c r="F413" s="9"/>
      <c r="G413" s="9"/>
      <c r="H413" s="9"/>
      <c r="I413" s="9"/>
    </row>
    <row r="414" spans="1:10" ht="36" customHeight="1" x14ac:dyDescent="0.25">
      <c r="A414" s="178"/>
      <c r="B414" s="15" t="s">
        <v>295</v>
      </c>
      <c r="C414" s="9"/>
      <c r="D414" s="9"/>
      <c r="E414" s="9"/>
      <c r="F414" s="9"/>
      <c r="G414" s="9"/>
      <c r="H414" s="9"/>
      <c r="I414" s="9"/>
    </row>
    <row r="415" spans="1:10" x14ac:dyDescent="0.25">
      <c r="A415" s="173" t="s">
        <v>251</v>
      </c>
      <c r="B415" s="21" t="s">
        <v>403</v>
      </c>
      <c r="C415" s="3">
        <f>SUM(D415:I415)</f>
        <v>801.5</v>
      </c>
      <c r="D415" s="3">
        <f t="shared" ref="D415:I415" si="101">SUM(D416:D419)</f>
        <v>0</v>
      </c>
      <c r="E415" s="3">
        <f t="shared" si="101"/>
        <v>0</v>
      </c>
      <c r="F415" s="3">
        <f t="shared" si="101"/>
        <v>0</v>
      </c>
      <c r="G415" s="3">
        <f t="shared" si="101"/>
        <v>201.5</v>
      </c>
      <c r="H415" s="3">
        <f t="shared" si="101"/>
        <v>300</v>
      </c>
      <c r="I415" s="3">
        <f t="shared" si="101"/>
        <v>300</v>
      </c>
      <c r="J415" s="18"/>
    </row>
    <row r="416" spans="1:10" x14ac:dyDescent="0.25">
      <c r="A416" s="173"/>
      <c r="B416" s="21" t="s">
        <v>292</v>
      </c>
      <c r="C416" s="3">
        <f>SUM(D416:I416)</f>
        <v>641.20000000000005</v>
      </c>
      <c r="D416" s="9"/>
      <c r="E416" s="9"/>
      <c r="F416" s="9"/>
      <c r="G416" s="9">
        <v>161.19999999999999</v>
      </c>
      <c r="H416" s="9">
        <v>240</v>
      </c>
      <c r="I416" s="9">
        <v>240</v>
      </c>
    </row>
    <row r="417" spans="1:10" x14ac:dyDescent="0.25">
      <c r="A417" s="173"/>
      <c r="B417" s="21" t="s">
        <v>293</v>
      </c>
      <c r="C417" s="3">
        <f>SUM(D417:I417)</f>
        <v>160.30000000000001</v>
      </c>
      <c r="D417" s="9"/>
      <c r="E417" s="9"/>
      <c r="F417" s="3"/>
      <c r="G417" s="3">
        <v>40.299999999999997</v>
      </c>
      <c r="H417" s="3">
        <v>60</v>
      </c>
      <c r="I417" s="3">
        <v>60</v>
      </c>
    </row>
    <row r="418" spans="1:10" x14ac:dyDescent="0.25">
      <c r="A418" s="173"/>
      <c r="B418" s="21" t="s">
        <v>294</v>
      </c>
      <c r="C418" s="3"/>
      <c r="D418" s="9"/>
      <c r="E418" s="9"/>
      <c r="F418" s="9"/>
      <c r="G418" s="9"/>
      <c r="H418" s="9"/>
      <c r="I418" s="9"/>
    </row>
    <row r="419" spans="1:10" x14ac:dyDescent="0.25">
      <c r="A419" s="173"/>
      <c r="B419" s="21" t="s">
        <v>295</v>
      </c>
      <c r="C419" s="9"/>
      <c r="D419" s="9"/>
      <c r="E419" s="9"/>
      <c r="F419" s="9"/>
      <c r="G419" s="9"/>
      <c r="H419" s="9"/>
      <c r="I419" s="9"/>
    </row>
    <row r="420" spans="1:10" x14ac:dyDescent="0.25">
      <c r="A420" s="173" t="s">
        <v>677</v>
      </c>
      <c r="B420" s="62" t="s">
        <v>403</v>
      </c>
      <c r="C420" s="3">
        <f>SUM(D420:I420)</f>
        <v>621.12</v>
      </c>
      <c r="D420" s="3">
        <f t="shared" ref="D420:I420" si="102">SUM(D421:D424)</f>
        <v>0</v>
      </c>
      <c r="E420" s="3">
        <f t="shared" si="102"/>
        <v>0</v>
      </c>
      <c r="F420" s="3">
        <f t="shared" si="102"/>
        <v>358.55</v>
      </c>
      <c r="G420" s="3">
        <f t="shared" si="102"/>
        <v>85.55</v>
      </c>
      <c r="H420" s="3">
        <f t="shared" si="102"/>
        <v>105.52</v>
      </c>
      <c r="I420" s="3">
        <f t="shared" si="102"/>
        <v>71.5</v>
      </c>
      <c r="J420" s="18"/>
    </row>
    <row r="421" spans="1:10" x14ac:dyDescent="0.25">
      <c r="A421" s="173"/>
      <c r="B421" s="62" t="s">
        <v>292</v>
      </c>
      <c r="C421" s="3">
        <f>SUM(D421:I421)</f>
        <v>40</v>
      </c>
      <c r="D421" s="9"/>
      <c r="E421" s="9">
        <v>0</v>
      </c>
      <c r="F421" s="9">
        <v>10</v>
      </c>
      <c r="G421" s="9">
        <v>10</v>
      </c>
      <c r="H421" s="9">
        <v>10</v>
      </c>
      <c r="I421" s="9">
        <v>10</v>
      </c>
    </row>
    <row r="422" spans="1:10" x14ac:dyDescent="0.25">
      <c r="A422" s="173"/>
      <c r="B422" s="62" t="s">
        <v>293</v>
      </c>
      <c r="C422" s="3">
        <f>SUM(D422:I422)</f>
        <v>581.12</v>
      </c>
      <c r="D422" s="9"/>
      <c r="E422" s="9">
        <v>0</v>
      </c>
      <c r="F422" s="3">
        <v>348.55</v>
      </c>
      <c r="G422" s="3">
        <v>75.55</v>
      </c>
      <c r="H422" s="3">
        <v>95.52</v>
      </c>
      <c r="I422" s="3">
        <v>61.5</v>
      </c>
    </row>
    <row r="423" spans="1:10" x14ac:dyDescent="0.25">
      <c r="A423" s="173"/>
      <c r="B423" s="62" t="s">
        <v>294</v>
      </c>
      <c r="C423" s="3"/>
      <c r="D423" s="9"/>
      <c r="E423" s="9"/>
      <c r="F423" s="9"/>
      <c r="G423" s="9"/>
      <c r="H423" s="9"/>
      <c r="I423" s="9"/>
    </row>
    <row r="424" spans="1:10" x14ac:dyDescent="0.25">
      <c r="A424" s="173"/>
      <c r="B424" s="62" t="s">
        <v>295</v>
      </c>
      <c r="C424" s="9"/>
      <c r="D424" s="9"/>
      <c r="E424" s="9"/>
      <c r="F424" s="9"/>
      <c r="G424" s="9"/>
      <c r="H424" s="9"/>
      <c r="I424" s="9"/>
    </row>
    <row r="425" spans="1:10" x14ac:dyDescent="0.25">
      <c r="A425" s="178" t="s">
        <v>254</v>
      </c>
      <c r="B425" s="15" t="s">
        <v>403</v>
      </c>
      <c r="C425" s="3">
        <f>SUM(D425:I425)</f>
        <v>122.49</v>
      </c>
      <c r="D425" s="3">
        <f t="shared" ref="D425:I425" si="103">SUM(D426:D429)</f>
        <v>0</v>
      </c>
      <c r="E425" s="3">
        <f t="shared" si="103"/>
        <v>71.5</v>
      </c>
      <c r="F425" s="3">
        <f t="shared" si="103"/>
        <v>13.16</v>
      </c>
      <c r="G425" s="3">
        <f t="shared" si="103"/>
        <v>37.83</v>
      </c>
      <c r="H425" s="3">
        <f t="shared" si="103"/>
        <v>0</v>
      </c>
      <c r="I425" s="3">
        <f t="shared" si="103"/>
        <v>0</v>
      </c>
    </row>
    <row r="426" spans="1:10" x14ac:dyDescent="0.25">
      <c r="A426" s="178"/>
      <c r="B426" s="15" t="s">
        <v>292</v>
      </c>
      <c r="C426" s="3">
        <f>SUM(D426:I426)</f>
        <v>0</v>
      </c>
      <c r="D426" s="9"/>
      <c r="E426" s="9">
        <v>0</v>
      </c>
      <c r="F426" s="9">
        <v>0</v>
      </c>
      <c r="G426" s="9">
        <v>0</v>
      </c>
      <c r="H426" s="9">
        <v>0</v>
      </c>
      <c r="I426" s="9">
        <v>0</v>
      </c>
    </row>
    <row r="427" spans="1:10" x14ac:dyDescent="0.25">
      <c r="A427" s="178"/>
      <c r="B427" s="15" t="s">
        <v>293</v>
      </c>
      <c r="C427" s="3">
        <f>SUM(D427:I427)</f>
        <v>97.990000000000009</v>
      </c>
      <c r="D427" s="9"/>
      <c r="E427" s="9">
        <v>57.2</v>
      </c>
      <c r="F427" s="3">
        <v>10.53</v>
      </c>
      <c r="G427" s="3">
        <v>30.26</v>
      </c>
      <c r="H427" s="3">
        <v>0</v>
      </c>
      <c r="I427" s="3">
        <v>0</v>
      </c>
    </row>
    <row r="428" spans="1:10" x14ac:dyDescent="0.25">
      <c r="A428" s="178"/>
      <c r="B428" s="15" t="s">
        <v>294</v>
      </c>
      <c r="C428" s="3">
        <f>SUM(D428:I428)</f>
        <v>24.5</v>
      </c>
      <c r="D428" s="9"/>
      <c r="E428" s="9">
        <v>14.3</v>
      </c>
      <c r="F428" s="9">
        <v>2.63</v>
      </c>
      <c r="G428" s="9">
        <v>7.57</v>
      </c>
      <c r="H428" s="9"/>
      <c r="I428" s="9"/>
    </row>
    <row r="429" spans="1:10" x14ac:dyDescent="0.25">
      <c r="A429" s="178"/>
      <c r="B429" s="15" t="s">
        <v>295</v>
      </c>
      <c r="C429" s="9"/>
      <c r="D429" s="9"/>
      <c r="E429" s="9"/>
      <c r="F429" s="9"/>
      <c r="G429" s="9"/>
      <c r="H429" s="9"/>
      <c r="I429" s="9"/>
    </row>
    <row r="430" spans="1:10" x14ac:dyDescent="0.25">
      <c r="A430" s="178" t="s">
        <v>255</v>
      </c>
      <c r="B430" s="63" t="s">
        <v>403</v>
      </c>
      <c r="C430" s="3">
        <f>SUM(D430:I430)</f>
        <v>376.36</v>
      </c>
      <c r="D430" s="3">
        <f t="shared" ref="D430:I430" si="104">SUM(D431:D434)</f>
        <v>0</v>
      </c>
      <c r="E430" s="3">
        <f t="shared" si="104"/>
        <v>85.28</v>
      </c>
      <c r="F430" s="3">
        <f t="shared" si="104"/>
        <v>85.28</v>
      </c>
      <c r="G430" s="3">
        <f t="shared" si="104"/>
        <v>85.28</v>
      </c>
      <c r="H430" s="3">
        <f t="shared" si="104"/>
        <v>85.28</v>
      </c>
      <c r="I430" s="3">
        <f t="shared" si="104"/>
        <v>35.24</v>
      </c>
    </row>
    <row r="431" spans="1:10" x14ac:dyDescent="0.25">
      <c r="A431" s="178"/>
      <c r="B431" s="63" t="s">
        <v>292</v>
      </c>
      <c r="C431" s="3"/>
      <c r="D431" s="9"/>
      <c r="E431" s="9">
        <v>0</v>
      </c>
      <c r="F431" s="9">
        <v>0</v>
      </c>
      <c r="G431" s="9">
        <v>0</v>
      </c>
      <c r="H431" s="9">
        <v>0</v>
      </c>
      <c r="I431" s="9">
        <v>0</v>
      </c>
    </row>
    <row r="432" spans="1:10" x14ac:dyDescent="0.25">
      <c r="A432" s="178"/>
      <c r="B432" s="63" t="s">
        <v>293</v>
      </c>
      <c r="C432" s="3">
        <f>SUM(D432:I432)</f>
        <v>341.88</v>
      </c>
      <c r="D432" s="9"/>
      <c r="E432" s="9">
        <v>82.02</v>
      </c>
      <c r="F432" s="3">
        <v>71.760000000000005</v>
      </c>
      <c r="G432" s="3">
        <v>76.08</v>
      </c>
      <c r="H432" s="3">
        <v>78.88</v>
      </c>
      <c r="I432" s="3">
        <v>33.14</v>
      </c>
    </row>
    <row r="433" spans="1:9" x14ac:dyDescent="0.25">
      <c r="A433" s="178"/>
      <c r="B433" s="63" t="s">
        <v>294</v>
      </c>
      <c r="C433" s="3">
        <f>SUM(D433:I433)</f>
        <v>34.480000000000004</v>
      </c>
      <c r="D433" s="9"/>
      <c r="E433" s="9">
        <v>3.26</v>
      </c>
      <c r="F433" s="9">
        <v>13.52</v>
      </c>
      <c r="G433" s="9">
        <v>9.1999999999999993</v>
      </c>
      <c r="H433" s="9">
        <v>6.4</v>
      </c>
      <c r="I433" s="9">
        <v>2.1</v>
      </c>
    </row>
    <row r="434" spans="1:9" x14ac:dyDescent="0.25">
      <c r="A434" s="178"/>
      <c r="B434" s="63" t="s">
        <v>295</v>
      </c>
      <c r="C434" s="9"/>
      <c r="D434" s="9"/>
      <c r="E434" s="9"/>
      <c r="F434" s="9"/>
      <c r="G434" s="9"/>
      <c r="H434" s="9"/>
      <c r="I434" s="9"/>
    </row>
    <row r="435" spans="1:9" x14ac:dyDescent="0.25">
      <c r="A435" s="178" t="s">
        <v>256</v>
      </c>
      <c r="B435" s="15" t="s">
        <v>403</v>
      </c>
      <c r="C435" s="3">
        <f>SUM(D435:I435)</f>
        <v>29.4</v>
      </c>
      <c r="D435" s="3">
        <f t="shared" ref="D435:I435" si="105">SUM(D436:D439)</f>
        <v>0</v>
      </c>
      <c r="E435" s="3">
        <f t="shared" si="105"/>
        <v>0</v>
      </c>
      <c r="F435" s="3">
        <f t="shared" si="105"/>
        <v>9.3999999999999986</v>
      </c>
      <c r="G435" s="3">
        <f t="shared" si="105"/>
        <v>10</v>
      </c>
      <c r="H435" s="3">
        <v>10</v>
      </c>
      <c r="I435" s="3">
        <f t="shared" si="105"/>
        <v>0</v>
      </c>
    </row>
    <row r="436" spans="1:9" x14ac:dyDescent="0.25">
      <c r="A436" s="178"/>
      <c r="B436" s="15" t="s">
        <v>292</v>
      </c>
      <c r="C436" s="3"/>
      <c r="D436" s="9"/>
      <c r="E436" s="9">
        <v>0</v>
      </c>
      <c r="F436" s="9">
        <v>0</v>
      </c>
      <c r="G436" s="9">
        <v>0</v>
      </c>
      <c r="H436" s="9">
        <v>0</v>
      </c>
      <c r="I436" s="9">
        <v>0</v>
      </c>
    </row>
    <row r="437" spans="1:9" x14ac:dyDescent="0.25">
      <c r="A437" s="178"/>
      <c r="B437" s="15" t="s">
        <v>293</v>
      </c>
      <c r="C437" s="3">
        <f>SUM(D437:I437)</f>
        <v>23.52</v>
      </c>
      <c r="D437" s="9"/>
      <c r="E437" s="9"/>
      <c r="F437" s="3">
        <v>7.52</v>
      </c>
      <c r="G437" s="3">
        <v>8</v>
      </c>
      <c r="H437" s="3">
        <v>8</v>
      </c>
      <c r="I437" s="3">
        <v>0</v>
      </c>
    </row>
    <row r="438" spans="1:9" x14ac:dyDescent="0.25">
      <c r="A438" s="178"/>
      <c r="B438" s="15" t="s">
        <v>294</v>
      </c>
      <c r="C438" s="3">
        <f>SUM(D438:I438)</f>
        <v>5.88</v>
      </c>
      <c r="D438" s="9"/>
      <c r="E438" s="9"/>
      <c r="F438" s="9">
        <v>1.88</v>
      </c>
      <c r="G438" s="9">
        <v>2</v>
      </c>
      <c r="H438" s="9">
        <v>2</v>
      </c>
      <c r="I438" s="9"/>
    </row>
    <row r="439" spans="1:9" x14ac:dyDescent="0.25">
      <c r="A439" s="178"/>
      <c r="B439" s="15" t="s">
        <v>295</v>
      </c>
      <c r="C439" s="9"/>
      <c r="D439" s="9"/>
      <c r="E439" s="9"/>
      <c r="F439" s="9"/>
      <c r="G439" s="9"/>
      <c r="H439" s="9"/>
      <c r="I439" s="9"/>
    </row>
    <row r="440" spans="1:9" x14ac:dyDescent="0.25">
      <c r="A440" s="178" t="s">
        <v>257</v>
      </c>
      <c r="B440" s="15" t="s">
        <v>403</v>
      </c>
      <c r="C440" s="3">
        <f>SUM(D440:I440)</f>
        <v>45.6</v>
      </c>
      <c r="D440" s="3">
        <f t="shared" ref="D440:I440" si="106">SUM(D441:D444)</f>
        <v>0</v>
      </c>
      <c r="E440" s="3">
        <f t="shared" si="106"/>
        <v>0</v>
      </c>
      <c r="F440" s="3">
        <f t="shared" si="106"/>
        <v>2.2000000000000002</v>
      </c>
      <c r="G440" s="3">
        <f t="shared" si="106"/>
        <v>3.4000000000000004</v>
      </c>
      <c r="H440" s="3">
        <f t="shared" si="106"/>
        <v>40</v>
      </c>
      <c r="I440" s="3">
        <f t="shared" si="106"/>
        <v>0</v>
      </c>
    </row>
    <row r="441" spans="1:9" x14ac:dyDescent="0.25">
      <c r="A441" s="178"/>
      <c r="B441" s="15" t="s">
        <v>292</v>
      </c>
      <c r="C441" s="3">
        <f>SUM(D441:I441)</f>
        <v>0</v>
      </c>
      <c r="D441" s="9"/>
      <c r="E441" s="9">
        <v>0</v>
      </c>
      <c r="F441" s="9">
        <v>0</v>
      </c>
      <c r="G441" s="9">
        <v>0</v>
      </c>
      <c r="H441" s="9">
        <v>0</v>
      </c>
      <c r="I441" s="9">
        <v>0</v>
      </c>
    </row>
    <row r="442" spans="1:9" x14ac:dyDescent="0.25">
      <c r="A442" s="178"/>
      <c r="B442" s="15" t="s">
        <v>293</v>
      </c>
      <c r="C442" s="3">
        <f>SUM(D442:I442)</f>
        <v>43.680000000000007</v>
      </c>
      <c r="D442" s="9"/>
      <c r="E442" s="9"/>
      <c r="F442" s="3">
        <v>1.76</v>
      </c>
      <c r="G442" s="3">
        <v>2.72</v>
      </c>
      <c r="H442" s="3">
        <v>39.200000000000003</v>
      </c>
      <c r="I442" s="3">
        <v>0</v>
      </c>
    </row>
    <row r="443" spans="1:9" x14ac:dyDescent="0.25">
      <c r="A443" s="178"/>
      <c r="B443" s="15" t="s">
        <v>294</v>
      </c>
      <c r="C443" s="3">
        <f>SUM(D443:I443)</f>
        <v>1.9200000000000002</v>
      </c>
      <c r="D443" s="9"/>
      <c r="E443" s="9"/>
      <c r="F443" s="9">
        <v>0.44</v>
      </c>
      <c r="G443" s="9">
        <v>0.68</v>
      </c>
      <c r="H443" s="9">
        <v>0.8</v>
      </c>
      <c r="I443" s="9"/>
    </row>
    <row r="444" spans="1:9" x14ac:dyDescent="0.25">
      <c r="A444" s="178"/>
      <c r="B444" s="15" t="s">
        <v>295</v>
      </c>
      <c r="C444" s="9"/>
      <c r="D444" s="9"/>
      <c r="E444" s="9"/>
      <c r="F444" s="9"/>
      <c r="G444" s="9"/>
      <c r="H444" s="9"/>
      <c r="I444" s="9"/>
    </row>
    <row r="445" spans="1:9" x14ac:dyDescent="0.25">
      <c r="A445" s="178" t="s">
        <v>259</v>
      </c>
      <c r="B445" s="15" t="s">
        <v>403</v>
      </c>
      <c r="C445" s="3">
        <f>SUM(D445:I445)</f>
        <v>5.7</v>
      </c>
      <c r="D445" s="3">
        <f t="shared" ref="D445:I445" si="107">SUM(D446:D449)</f>
        <v>0</v>
      </c>
      <c r="E445" s="3">
        <f t="shared" si="107"/>
        <v>3.7</v>
      </c>
      <c r="F445" s="3">
        <f t="shared" si="107"/>
        <v>0</v>
      </c>
      <c r="G445" s="3">
        <f t="shared" si="107"/>
        <v>2</v>
      </c>
      <c r="H445" s="3">
        <f t="shared" si="107"/>
        <v>0</v>
      </c>
      <c r="I445" s="3">
        <f t="shared" si="107"/>
        <v>0</v>
      </c>
    </row>
    <row r="446" spans="1:9" x14ac:dyDescent="0.25">
      <c r="A446" s="178"/>
      <c r="B446" s="15" t="s">
        <v>292</v>
      </c>
      <c r="C446" s="3"/>
      <c r="D446" s="9"/>
      <c r="E446" s="9">
        <v>0</v>
      </c>
      <c r="F446" s="9">
        <v>0</v>
      </c>
      <c r="G446" s="9">
        <v>0</v>
      </c>
      <c r="H446" s="9">
        <v>0</v>
      </c>
      <c r="I446" s="9">
        <v>0</v>
      </c>
    </row>
    <row r="447" spans="1:9" x14ac:dyDescent="0.25">
      <c r="A447" s="178"/>
      <c r="B447" s="15" t="s">
        <v>293</v>
      </c>
      <c r="C447" s="3">
        <f>SUM(D447:I447)</f>
        <v>4.5600000000000005</v>
      </c>
      <c r="D447" s="9"/>
      <c r="E447" s="9">
        <v>2.96</v>
      </c>
      <c r="F447" s="3">
        <v>0</v>
      </c>
      <c r="G447" s="3">
        <v>1.6</v>
      </c>
      <c r="H447" s="3">
        <v>0</v>
      </c>
      <c r="I447" s="3">
        <v>0</v>
      </c>
    </row>
    <row r="448" spans="1:9" x14ac:dyDescent="0.25">
      <c r="A448" s="178"/>
      <c r="B448" s="15" t="s">
        <v>294</v>
      </c>
      <c r="C448" s="3">
        <f>SUM(D448:I448)</f>
        <v>1.1400000000000001</v>
      </c>
      <c r="D448" s="9"/>
      <c r="E448" s="9">
        <v>0.74</v>
      </c>
      <c r="F448" s="9"/>
      <c r="G448" s="9">
        <v>0.4</v>
      </c>
      <c r="H448" s="9"/>
      <c r="I448" s="9"/>
    </row>
    <row r="449" spans="1:9" x14ac:dyDescent="0.25">
      <c r="A449" s="178"/>
      <c r="B449" s="15" t="s">
        <v>295</v>
      </c>
      <c r="C449" s="9"/>
      <c r="D449" s="9"/>
      <c r="E449" s="9"/>
      <c r="F449" s="9"/>
      <c r="G449" s="9"/>
      <c r="H449" s="9"/>
      <c r="I449" s="9"/>
    </row>
    <row r="450" spans="1:9" x14ac:dyDescent="0.25">
      <c r="A450" s="178" t="s">
        <v>261</v>
      </c>
      <c r="B450" s="15" t="s">
        <v>403</v>
      </c>
      <c r="C450" s="3">
        <f>SUM(D450:I450)</f>
        <v>7</v>
      </c>
      <c r="D450" s="3">
        <f t="shared" ref="D450:I450" si="108">SUM(D451:D454)</f>
        <v>0</v>
      </c>
      <c r="E450" s="3">
        <f t="shared" si="108"/>
        <v>0</v>
      </c>
      <c r="F450" s="3">
        <f t="shared" si="108"/>
        <v>7</v>
      </c>
      <c r="G450" s="3">
        <f t="shared" si="108"/>
        <v>0</v>
      </c>
      <c r="H450" s="3">
        <f t="shared" si="108"/>
        <v>0</v>
      </c>
      <c r="I450" s="3">
        <f t="shared" si="108"/>
        <v>0</v>
      </c>
    </row>
    <row r="451" spans="1:9" x14ac:dyDescent="0.25">
      <c r="A451" s="178"/>
      <c r="B451" s="15" t="s">
        <v>292</v>
      </c>
      <c r="C451" s="3"/>
      <c r="D451" s="9"/>
      <c r="E451" s="9">
        <v>0</v>
      </c>
      <c r="F451" s="9">
        <v>0</v>
      </c>
      <c r="G451" s="9">
        <v>0</v>
      </c>
      <c r="H451" s="9">
        <v>0</v>
      </c>
      <c r="I451" s="9">
        <v>0</v>
      </c>
    </row>
    <row r="452" spans="1:9" x14ac:dyDescent="0.25">
      <c r="A452" s="178"/>
      <c r="B452" s="15" t="s">
        <v>293</v>
      </c>
      <c r="C452" s="3">
        <f>SUM(D452:I452)</f>
        <v>5.6</v>
      </c>
      <c r="D452" s="9"/>
      <c r="E452" s="9"/>
      <c r="F452" s="3">
        <v>5.6</v>
      </c>
      <c r="G452" s="3"/>
      <c r="H452" s="3"/>
      <c r="I452" s="3">
        <v>0</v>
      </c>
    </row>
    <row r="453" spans="1:9" x14ac:dyDescent="0.25">
      <c r="A453" s="178"/>
      <c r="B453" s="15" t="s">
        <v>294</v>
      </c>
      <c r="C453" s="3">
        <f>SUM(D453:I453)</f>
        <v>1.4</v>
      </c>
      <c r="D453" s="9"/>
      <c r="E453" s="9"/>
      <c r="F453" s="9">
        <v>1.4</v>
      </c>
      <c r="G453" s="9"/>
      <c r="H453" s="9"/>
      <c r="I453" s="9"/>
    </row>
    <row r="454" spans="1:9" x14ac:dyDescent="0.25">
      <c r="A454" s="178"/>
      <c r="B454" s="15" t="s">
        <v>295</v>
      </c>
      <c r="C454" s="9"/>
      <c r="D454" s="9"/>
      <c r="E454" s="9"/>
      <c r="F454" s="9"/>
      <c r="G454" s="9"/>
      <c r="H454" s="9"/>
      <c r="I454" s="9"/>
    </row>
    <row r="455" spans="1:9" x14ac:dyDescent="0.25">
      <c r="A455" s="178" t="s">
        <v>262</v>
      </c>
      <c r="B455" s="15" t="s">
        <v>403</v>
      </c>
      <c r="C455" s="3">
        <f>SUM(D455:I455)</f>
        <v>10</v>
      </c>
      <c r="D455" s="3">
        <f t="shared" ref="D455:I455" si="109">SUM(D456:D459)</f>
        <v>0</v>
      </c>
      <c r="E455" s="3">
        <f t="shared" si="109"/>
        <v>0</v>
      </c>
      <c r="F455" s="3">
        <f t="shared" si="109"/>
        <v>10</v>
      </c>
      <c r="G455" s="3"/>
      <c r="H455" s="3"/>
      <c r="I455" s="3">
        <f t="shared" si="109"/>
        <v>0</v>
      </c>
    </row>
    <row r="456" spans="1:9" x14ac:dyDescent="0.25">
      <c r="A456" s="178"/>
      <c r="B456" s="15" t="s">
        <v>292</v>
      </c>
      <c r="C456" s="3"/>
      <c r="D456" s="9"/>
      <c r="E456" s="9">
        <v>0</v>
      </c>
      <c r="F456" s="9">
        <v>0</v>
      </c>
      <c r="G456" s="9">
        <v>0</v>
      </c>
      <c r="H456" s="9">
        <v>0</v>
      </c>
      <c r="I456" s="9">
        <v>0</v>
      </c>
    </row>
    <row r="457" spans="1:9" x14ac:dyDescent="0.25">
      <c r="A457" s="178"/>
      <c r="B457" s="15" t="s">
        <v>293</v>
      </c>
      <c r="C457" s="3">
        <f>SUM(D457:I457)</f>
        <v>8</v>
      </c>
      <c r="D457" s="9"/>
      <c r="E457" s="9"/>
      <c r="F457" s="3">
        <v>8</v>
      </c>
      <c r="G457" s="3">
        <v>0</v>
      </c>
      <c r="H457" s="3"/>
      <c r="I457" s="3">
        <v>0</v>
      </c>
    </row>
    <row r="458" spans="1:9" x14ac:dyDescent="0.25">
      <c r="A458" s="178"/>
      <c r="B458" s="15" t="s">
        <v>294</v>
      </c>
      <c r="C458" s="3">
        <f>SUM(D458:I458)</f>
        <v>2</v>
      </c>
      <c r="D458" s="9"/>
      <c r="E458" s="9"/>
      <c r="F458" s="9">
        <v>2</v>
      </c>
      <c r="G458" s="9"/>
      <c r="H458" s="9"/>
      <c r="I458" s="9"/>
    </row>
    <row r="459" spans="1:9" x14ac:dyDescent="0.25">
      <c r="A459" s="178"/>
      <c r="B459" s="15" t="s">
        <v>295</v>
      </c>
      <c r="C459" s="9"/>
      <c r="D459" s="9"/>
      <c r="E459" s="9"/>
      <c r="F459" s="9"/>
      <c r="G459" s="9"/>
      <c r="H459" s="9"/>
      <c r="I459" s="9"/>
    </row>
    <row r="460" spans="1:9" x14ac:dyDescent="0.25">
      <c r="A460" s="178" t="s">
        <v>276</v>
      </c>
      <c r="B460" s="15" t="s">
        <v>403</v>
      </c>
      <c r="C460" s="3">
        <f>SUM(D460:I460)</f>
        <v>20</v>
      </c>
      <c r="D460" s="3">
        <f t="shared" ref="D460:F460" si="110">SUM(D461:D464)</f>
        <v>0</v>
      </c>
      <c r="E460" s="3">
        <f t="shared" si="110"/>
        <v>0</v>
      </c>
      <c r="F460" s="3">
        <f t="shared" si="110"/>
        <v>0</v>
      </c>
      <c r="G460" s="3">
        <v>10</v>
      </c>
      <c r="H460" s="3">
        <v>10</v>
      </c>
      <c r="I460" s="3"/>
    </row>
    <row r="461" spans="1:9" x14ac:dyDescent="0.25">
      <c r="A461" s="178"/>
      <c r="B461" s="15" t="s">
        <v>292</v>
      </c>
      <c r="C461" s="3">
        <f>SUM(D461:I461)</f>
        <v>0</v>
      </c>
      <c r="D461" s="9"/>
      <c r="E461" s="9">
        <v>0</v>
      </c>
      <c r="F461" s="9">
        <v>0</v>
      </c>
      <c r="G461" s="9">
        <v>0</v>
      </c>
      <c r="H461" s="9">
        <v>0</v>
      </c>
      <c r="I461" s="9">
        <v>0</v>
      </c>
    </row>
    <row r="462" spans="1:9" x14ac:dyDescent="0.25">
      <c r="A462" s="178"/>
      <c r="B462" s="15" t="s">
        <v>293</v>
      </c>
      <c r="C462" s="3">
        <f>SUM(D462:I462)</f>
        <v>20</v>
      </c>
      <c r="D462" s="9"/>
      <c r="E462" s="9"/>
      <c r="F462" s="3"/>
      <c r="G462" s="3">
        <v>10</v>
      </c>
      <c r="H462" s="3">
        <v>10</v>
      </c>
      <c r="I462" s="3"/>
    </row>
    <row r="463" spans="1:9" x14ac:dyDescent="0.25">
      <c r="A463" s="178"/>
      <c r="B463" s="15" t="s">
        <v>294</v>
      </c>
      <c r="C463" s="3">
        <f>SUM(D463:I463)</f>
        <v>0</v>
      </c>
      <c r="D463" s="9"/>
      <c r="E463" s="9"/>
      <c r="F463" s="9"/>
      <c r="G463" s="9"/>
      <c r="H463" s="9"/>
      <c r="I463" s="9"/>
    </row>
    <row r="464" spans="1:9" x14ac:dyDescent="0.25">
      <c r="A464" s="178"/>
      <c r="B464" s="15" t="s">
        <v>295</v>
      </c>
      <c r="C464" s="9"/>
      <c r="D464" s="9"/>
      <c r="E464" s="9"/>
      <c r="F464" s="9"/>
      <c r="G464" s="9"/>
      <c r="H464" s="9"/>
      <c r="I464" s="9"/>
    </row>
    <row r="465" spans="1:9" x14ac:dyDescent="0.25">
      <c r="A465" s="178" t="s">
        <v>263</v>
      </c>
      <c r="B465" s="15" t="s">
        <v>403</v>
      </c>
      <c r="C465" s="3">
        <f>SUM(D465:I465)</f>
        <v>6</v>
      </c>
      <c r="D465" s="3">
        <f t="shared" ref="D465:I465" si="111">SUM(D466:D469)</f>
        <v>0</v>
      </c>
      <c r="E465" s="3">
        <f t="shared" si="111"/>
        <v>0</v>
      </c>
      <c r="F465" s="3">
        <f t="shared" si="111"/>
        <v>6</v>
      </c>
      <c r="G465" s="3"/>
      <c r="H465" s="3"/>
      <c r="I465" s="3">
        <f t="shared" si="111"/>
        <v>0</v>
      </c>
    </row>
    <row r="466" spans="1:9" x14ac:dyDescent="0.25">
      <c r="A466" s="178"/>
      <c r="B466" s="15" t="s">
        <v>292</v>
      </c>
      <c r="C466" s="3"/>
      <c r="D466" s="9"/>
      <c r="E466" s="9">
        <v>0</v>
      </c>
      <c r="F466" s="9">
        <v>0</v>
      </c>
      <c r="G466" s="9">
        <v>0</v>
      </c>
      <c r="H466" s="9">
        <v>0</v>
      </c>
      <c r="I466" s="9">
        <v>0</v>
      </c>
    </row>
    <row r="467" spans="1:9" x14ac:dyDescent="0.25">
      <c r="A467" s="178"/>
      <c r="B467" s="15" t="s">
        <v>293</v>
      </c>
      <c r="C467" s="3">
        <f>SUM(D467:I467)</f>
        <v>4.8</v>
      </c>
      <c r="D467" s="9"/>
      <c r="E467" s="9"/>
      <c r="F467" s="3">
        <v>4.8</v>
      </c>
      <c r="G467" s="3"/>
      <c r="H467" s="3"/>
      <c r="I467" s="3">
        <v>0</v>
      </c>
    </row>
    <row r="468" spans="1:9" x14ac:dyDescent="0.25">
      <c r="A468" s="178"/>
      <c r="B468" s="15" t="s">
        <v>294</v>
      </c>
      <c r="C468" s="3">
        <f>SUM(D468:I468)</f>
        <v>1.2</v>
      </c>
      <c r="D468" s="9"/>
      <c r="E468" s="9"/>
      <c r="F468" s="9">
        <v>1.2</v>
      </c>
      <c r="G468" s="9"/>
      <c r="H468" s="9"/>
      <c r="I468" s="9"/>
    </row>
    <row r="469" spans="1:9" x14ac:dyDescent="0.25">
      <c r="A469" s="178"/>
      <c r="B469" s="15" t="s">
        <v>295</v>
      </c>
      <c r="C469" s="9"/>
      <c r="D469" s="9"/>
      <c r="E469" s="9"/>
      <c r="F469" s="9"/>
      <c r="G469" s="9"/>
      <c r="H469" s="9"/>
      <c r="I469" s="9"/>
    </row>
    <row r="470" spans="1:9" x14ac:dyDescent="0.25">
      <c r="A470" s="178" t="s">
        <v>264</v>
      </c>
      <c r="B470" s="15" t="s">
        <v>403</v>
      </c>
      <c r="C470" s="3">
        <f>SUM(D470:I470)</f>
        <v>27.4</v>
      </c>
      <c r="D470" s="3">
        <f t="shared" ref="D470:I470" si="112">SUM(D471:D474)</f>
        <v>0</v>
      </c>
      <c r="E470" s="3">
        <f t="shared" si="112"/>
        <v>2.4</v>
      </c>
      <c r="F470" s="3">
        <f t="shared" si="112"/>
        <v>0</v>
      </c>
      <c r="G470" s="3">
        <v>20</v>
      </c>
      <c r="H470" s="3">
        <v>5</v>
      </c>
      <c r="I470" s="3">
        <f t="shared" si="112"/>
        <v>0</v>
      </c>
    </row>
    <row r="471" spans="1:9" x14ac:dyDescent="0.25">
      <c r="A471" s="178"/>
      <c r="B471" s="15" t="s">
        <v>292</v>
      </c>
      <c r="C471" s="3"/>
      <c r="D471" s="9"/>
      <c r="E471" s="9">
        <v>0</v>
      </c>
      <c r="F471" s="9">
        <v>0</v>
      </c>
      <c r="G471" s="9">
        <v>0</v>
      </c>
      <c r="H471" s="9"/>
      <c r="I471" s="9">
        <v>0</v>
      </c>
    </row>
    <row r="472" spans="1:9" x14ac:dyDescent="0.25">
      <c r="A472" s="178"/>
      <c r="B472" s="15" t="s">
        <v>293</v>
      </c>
      <c r="C472" s="3">
        <f>SUM(D472:I472)</f>
        <v>21.92</v>
      </c>
      <c r="D472" s="9"/>
      <c r="E472" s="9">
        <v>1.92</v>
      </c>
      <c r="F472" s="3"/>
      <c r="G472" s="3">
        <v>16</v>
      </c>
      <c r="H472" s="3">
        <v>4</v>
      </c>
      <c r="I472" s="3">
        <v>0</v>
      </c>
    </row>
    <row r="473" spans="1:9" x14ac:dyDescent="0.25">
      <c r="A473" s="178"/>
      <c r="B473" s="15" t="s">
        <v>294</v>
      </c>
      <c r="C473" s="3">
        <f>SUM(D473:I473)</f>
        <v>5.48</v>
      </c>
      <c r="D473" s="9"/>
      <c r="E473" s="9">
        <v>0.48</v>
      </c>
      <c r="F473" s="9"/>
      <c r="G473" s="9">
        <v>4</v>
      </c>
      <c r="H473" s="9">
        <v>1</v>
      </c>
      <c r="I473" s="9"/>
    </row>
    <row r="474" spans="1:9" x14ac:dyDescent="0.25">
      <c r="A474" s="178"/>
      <c r="B474" s="15" t="s">
        <v>295</v>
      </c>
      <c r="C474" s="9"/>
      <c r="D474" s="9"/>
      <c r="E474" s="9"/>
      <c r="F474" s="9"/>
      <c r="G474" s="9"/>
      <c r="H474" s="9"/>
      <c r="I474" s="9"/>
    </row>
    <row r="475" spans="1:9" x14ac:dyDescent="0.25">
      <c r="A475" s="178" t="s">
        <v>266</v>
      </c>
      <c r="B475" s="15" t="s">
        <v>403</v>
      </c>
      <c r="C475" s="3">
        <f>SUM(D475:I475)</f>
        <v>19.200000000000003</v>
      </c>
      <c r="D475" s="3">
        <f t="shared" ref="D475:I475" si="113">SUM(D476:D479)</f>
        <v>0</v>
      </c>
      <c r="E475" s="3">
        <f t="shared" si="113"/>
        <v>1</v>
      </c>
      <c r="F475" s="3">
        <f t="shared" si="113"/>
        <v>4.9000000000000004</v>
      </c>
      <c r="G475" s="3">
        <f t="shared" si="113"/>
        <v>13.3</v>
      </c>
      <c r="H475" s="3">
        <f t="shared" si="113"/>
        <v>0</v>
      </c>
      <c r="I475" s="3">
        <f t="shared" si="113"/>
        <v>0</v>
      </c>
    </row>
    <row r="476" spans="1:9" x14ac:dyDescent="0.25">
      <c r="A476" s="178"/>
      <c r="B476" s="15" t="s">
        <v>292</v>
      </c>
      <c r="C476" s="3">
        <f>SUM(D476:I476)</f>
        <v>0</v>
      </c>
      <c r="D476" s="9"/>
      <c r="E476" s="9">
        <v>0</v>
      </c>
      <c r="F476" s="9">
        <v>0</v>
      </c>
      <c r="G476" s="9">
        <v>0</v>
      </c>
      <c r="H476" s="9">
        <v>0</v>
      </c>
      <c r="I476" s="9">
        <v>0</v>
      </c>
    </row>
    <row r="477" spans="1:9" x14ac:dyDescent="0.25">
      <c r="A477" s="178"/>
      <c r="B477" s="15" t="s">
        <v>293</v>
      </c>
      <c r="C477" s="3">
        <f>SUM(D477:I477)</f>
        <v>15.36</v>
      </c>
      <c r="D477" s="9"/>
      <c r="E477" s="9">
        <v>0.8</v>
      </c>
      <c r="F477" s="3">
        <v>3.92</v>
      </c>
      <c r="G477" s="3">
        <v>10.64</v>
      </c>
      <c r="H477" s="3"/>
      <c r="I477" s="3">
        <v>0</v>
      </c>
    </row>
    <row r="478" spans="1:9" x14ac:dyDescent="0.25">
      <c r="A478" s="178"/>
      <c r="B478" s="15" t="s">
        <v>294</v>
      </c>
      <c r="C478" s="3">
        <f>SUM(D478:I478)</f>
        <v>3.84</v>
      </c>
      <c r="D478" s="9"/>
      <c r="E478" s="9">
        <v>0.2</v>
      </c>
      <c r="F478" s="9">
        <v>0.98</v>
      </c>
      <c r="G478" s="9">
        <v>2.66</v>
      </c>
      <c r="H478" s="9"/>
      <c r="I478" s="9"/>
    </row>
    <row r="479" spans="1:9" x14ac:dyDescent="0.25">
      <c r="A479" s="178"/>
      <c r="B479" s="15" t="s">
        <v>295</v>
      </c>
      <c r="C479" s="9"/>
      <c r="D479" s="9"/>
      <c r="E479" s="9"/>
      <c r="F479" s="9"/>
      <c r="G479" s="9"/>
      <c r="H479" s="9"/>
      <c r="I479" s="9"/>
    </row>
    <row r="480" spans="1:9" x14ac:dyDescent="0.25">
      <c r="A480" s="178" t="s">
        <v>268</v>
      </c>
      <c r="B480" s="15" t="s">
        <v>403</v>
      </c>
      <c r="C480" s="3">
        <f>SUM(D480:I480)</f>
        <v>31</v>
      </c>
      <c r="D480" s="3">
        <f t="shared" ref="D480:I480" si="114">SUM(D481:D484)</f>
        <v>0</v>
      </c>
      <c r="E480" s="3">
        <f t="shared" si="114"/>
        <v>1</v>
      </c>
      <c r="F480" s="3">
        <f t="shared" si="114"/>
        <v>0</v>
      </c>
      <c r="G480" s="3">
        <f t="shared" si="114"/>
        <v>30</v>
      </c>
      <c r="H480" s="3">
        <f t="shared" si="114"/>
        <v>0</v>
      </c>
      <c r="I480" s="3">
        <f t="shared" si="114"/>
        <v>0</v>
      </c>
    </row>
    <row r="481" spans="1:9" x14ac:dyDescent="0.25">
      <c r="A481" s="178"/>
      <c r="B481" s="15" t="s">
        <v>292</v>
      </c>
      <c r="C481" s="3">
        <f>SUM(D481:I481)</f>
        <v>0</v>
      </c>
      <c r="D481" s="9"/>
      <c r="E481" s="9">
        <v>0</v>
      </c>
      <c r="F481" s="9">
        <v>0</v>
      </c>
      <c r="G481" s="9">
        <v>0</v>
      </c>
      <c r="H481" s="9">
        <v>0</v>
      </c>
      <c r="I481" s="9">
        <v>0</v>
      </c>
    </row>
    <row r="482" spans="1:9" ht="24" customHeight="1" x14ac:dyDescent="0.25">
      <c r="A482" s="178"/>
      <c r="B482" s="15" t="s">
        <v>293</v>
      </c>
      <c r="C482" s="3">
        <f>SUM(D482:I482)</f>
        <v>24.8</v>
      </c>
      <c r="D482" s="9"/>
      <c r="E482" s="9">
        <v>0.8</v>
      </c>
      <c r="F482" s="3"/>
      <c r="G482" s="3">
        <v>24</v>
      </c>
      <c r="H482" s="3"/>
      <c r="I482" s="3">
        <v>0</v>
      </c>
    </row>
    <row r="483" spans="1:9" x14ac:dyDescent="0.25">
      <c r="A483" s="178"/>
      <c r="B483" s="15" t="s">
        <v>294</v>
      </c>
      <c r="C483" s="3">
        <f>SUM(D483:I483)</f>
        <v>6.2</v>
      </c>
      <c r="D483" s="9"/>
      <c r="E483" s="9">
        <v>0.2</v>
      </c>
      <c r="F483" s="9"/>
      <c r="G483" s="9">
        <v>6</v>
      </c>
      <c r="H483" s="9"/>
      <c r="I483" s="9"/>
    </row>
    <row r="484" spans="1:9" x14ac:dyDescent="0.25">
      <c r="A484" s="178"/>
      <c r="B484" s="15" t="s">
        <v>295</v>
      </c>
      <c r="C484" s="9"/>
      <c r="D484" s="9"/>
      <c r="E484" s="9"/>
      <c r="F484" s="9"/>
      <c r="G484" s="9"/>
      <c r="H484" s="9"/>
      <c r="I484" s="9"/>
    </row>
    <row r="485" spans="1:9" x14ac:dyDescent="0.25">
      <c r="A485" s="178" t="s">
        <v>270</v>
      </c>
      <c r="B485" s="15" t="s">
        <v>403</v>
      </c>
      <c r="C485" s="3">
        <f>SUM(D485:I485)</f>
        <v>25</v>
      </c>
      <c r="D485" s="3">
        <f t="shared" ref="D485:I485" si="115">SUM(D486:D489)</f>
        <v>0</v>
      </c>
      <c r="E485" s="3">
        <f t="shared" si="115"/>
        <v>1</v>
      </c>
      <c r="F485" s="3">
        <f t="shared" si="115"/>
        <v>19</v>
      </c>
      <c r="G485" s="3">
        <f t="shared" si="115"/>
        <v>5</v>
      </c>
      <c r="H485" s="3"/>
      <c r="I485" s="3">
        <f t="shared" si="115"/>
        <v>0</v>
      </c>
    </row>
    <row r="486" spans="1:9" x14ac:dyDescent="0.25">
      <c r="A486" s="178"/>
      <c r="B486" s="15" t="s">
        <v>292</v>
      </c>
      <c r="C486" s="3"/>
      <c r="D486" s="9"/>
      <c r="E486" s="9">
        <v>0</v>
      </c>
      <c r="F486" s="9">
        <v>0</v>
      </c>
      <c r="G486" s="9">
        <v>0</v>
      </c>
      <c r="H486" s="9">
        <v>0</v>
      </c>
      <c r="I486" s="9">
        <v>0</v>
      </c>
    </row>
    <row r="487" spans="1:9" x14ac:dyDescent="0.25">
      <c r="A487" s="178"/>
      <c r="B487" s="15" t="s">
        <v>293</v>
      </c>
      <c r="C487" s="3">
        <f>SUM(D487:I487)</f>
        <v>20</v>
      </c>
      <c r="D487" s="9"/>
      <c r="E487" s="9">
        <v>0.8</v>
      </c>
      <c r="F487" s="3">
        <v>15.2</v>
      </c>
      <c r="G487" s="3">
        <v>4</v>
      </c>
      <c r="H487" s="3"/>
      <c r="I487" s="3">
        <v>0</v>
      </c>
    </row>
    <row r="488" spans="1:9" x14ac:dyDescent="0.25">
      <c r="A488" s="178"/>
      <c r="B488" s="15" t="s">
        <v>294</v>
      </c>
      <c r="C488" s="3">
        <f>SUM(D488:I488)</f>
        <v>5</v>
      </c>
      <c r="D488" s="9"/>
      <c r="E488" s="9">
        <v>0.2</v>
      </c>
      <c r="F488" s="9">
        <v>3.8</v>
      </c>
      <c r="G488" s="9">
        <v>1</v>
      </c>
      <c r="H488" s="9"/>
      <c r="I488" s="9"/>
    </row>
    <row r="489" spans="1:9" x14ac:dyDescent="0.25">
      <c r="A489" s="178"/>
      <c r="B489" s="15" t="s">
        <v>295</v>
      </c>
      <c r="C489" s="9"/>
      <c r="D489" s="9"/>
      <c r="E489" s="9"/>
      <c r="F489" s="9"/>
      <c r="G489" s="9"/>
      <c r="H489" s="9"/>
      <c r="I489" s="9"/>
    </row>
    <row r="490" spans="1:9" x14ac:dyDescent="0.25">
      <c r="A490" s="178" t="s">
        <v>271</v>
      </c>
      <c r="B490" s="15" t="s">
        <v>403</v>
      </c>
      <c r="C490" s="3">
        <f>SUM(D490:I490)</f>
        <v>30</v>
      </c>
      <c r="D490" s="3">
        <f t="shared" ref="D490:E490" si="116">SUM(D491:D494)</f>
        <v>0</v>
      </c>
      <c r="E490" s="3">
        <f t="shared" si="116"/>
        <v>0</v>
      </c>
      <c r="F490" s="3">
        <v>10</v>
      </c>
      <c r="G490" s="3">
        <v>10</v>
      </c>
      <c r="H490" s="3">
        <v>10</v>
      </c>
      <c r="I490" s="3"/>
    </row>
    <row r="491" spans="1:9" x14ac:dyDescent="0.25">
      <c r="A491" s="178"/>
      <c r="B491" s="15" t="s">
        <v>292</v>
      </c>
      <c r="C491" s="3"/>
      <c r="D491" s="9"/>
      <c r="E491" s="9">
        <v>0</v>
      </c>
      <c r="F491" s="9">
        <v>0</v>
      </c>
      <c r="G491" s="9">
        <v>0</v>
      </c>
      <c r="H491" s="9">
        <v>0</v>
      </c>
      <c r="I491" s="9">
        <v>0</v>
      </c>
    </row>
    <row r="492" spans="1:9" x14ac:dyDescent="0.25">
      <c r="A492" s="178"/>
      <c r="B492" s="15" t="s">
        <v>293</v>
      </c>
      <c r="C492" s="3">
        <f>SUM(D492:I492)</f>
        <v>24</v>
      </c>
      <c r="D492" s="9"/>
      <c r="E492" s="9"/>
      <c r="F492" s="3">
        <v>8</v>
      </c>
      <c r="G492" s="3">
        <v>8</v>
      </c>
      <c r="H492" s="3">
        <v>8</v>
      </c>
      <c r="I492" s="3">
        <v>0</v>
      </c>
    </row>
    <row r="493" spans="1:9" x14ac:dyDescent="0.25">
      <c r="A493" s="178"/>
      <c r="B493" s="15" t="s">
        <v>294</v>
      </c>
      <c r="C493" s="3">
        <f>SUM(D493:I493)</f>
        <v>6</v>
      </c>
      <c r="D493" s="9"/>
      <c r="E493" s="9"/>
      <c r="F493" s="9">
        <v>2</v>
      </c>
      <c r="G493" s="9">
        <v>2</v>
      </c>
      <c r="H493" s="9">
        <v>2</v>
      </c>
      <c r="I493" s="9"/>
    </row>
    <row r="494" spans="1:9" x14ac:dyDescent="0.25">
      <c r="A494" s="178"/>
      <c r="B494" s="15" t="s">
        <v>295</v>
      </c>
      <c r="C494" s="9"/>
      <c r="D494" s="9"/>
      <c r="E494" s="9"/>
      <c r="F494" s="9"/>
      <c r="G494" s="9"/>
      <c r="H494" s="9"/>
      <c r="I494" s="9"/>
    </row>
    <row r="495" spans="1:9" x14ac:dyDescent="0.25">
      <c r="A495" s="178" t="s">
        <v>277</v>
      </c>
      <c r="B495" s="15" t="s">
        <v>403</v>
      </c>
      <c r="C495" s="3">
        <f>SUM(D495:I495)</f>
        <v>52.6</v>
      </c>
      <c r="D495" s="3">
        <f t="shared" ref="D495" si="117">SUM(D496:D499)</f>
        <v>0</v>
      </c>
      <c r="E495" s="3">
        <v>2.6</v>
      </c>
      <c r="F495" s="3">
        <v>30</v>
      </c>
      <c r="G495" s="3">
        <v>20</v>
      </c>
      <c r="H495" s="3">
        <v>0</v>
      </c>
      <c r="I495" s="3">
        <v>0</v>
      </c>
    </row>
    <row r="496" spans="1:9" x14ac:dyDescent="0.25">
      <c r="A496" s="178"/>
      <c r="B496" s="15" t="s">
        <v>292</v>
      </c>
      <c r="C496" s="3">
        <f>SUM(D496:I496)</f>
        <v>0</v>
      </c>
      <c r="D496" s="9"/>
      <c r="E496" s="9">
        <v>0</v>
      </c>
      <c r="F496" s="9">
        <v>0</v>
      </c>
      <c r="G496" s="9">
        <v>0</v>
      </c>
      <c r="H496" s="9">
        <v>0</v>
      </c>
      <c r="I496" s="9">
        <v>0</v>
      </c>
    </row>
    <row r="497" spans="1:11" x14ac:dyDescent="0.25">
      <c r="A497" s="178"/>
      <c r="B497" s="15" t="s">
        <v>293</v>
      </c>
      <c r="C497" s="3">
        <f>SUM(D497:I497)</f>
        <v>42.08</v>
      </c>
      <c r="D497" s="9"/>
      <c r="E497" s="9">
        <v>2.08</v>
      </c>
      <c r="F497" s="3">
        <v>24</v>
      </c>
      <c r="G497" s="3">
        <v>16</v>
      </c>
      <c r="H497" s="3">
        <v>0</v>
      </c>
      <c r="I497" s="3">
        <v>0</v>
      </c>
    </row>
    <row r="498" spans="1:11" x14ac:dyDescent="0.25">
      <c r="A498" s="178"/>
      <c r="B498" s="15" t="s">
        <v>294</v>
      </c>
      <c r="C498" s="3">
        <f>SUM(D498:I498)</f>
        <v>10.52</v>
      </c>
      <c r="D498" s="9"/>
      <c r="E498" s="9">
        <v>0.52</v>
      </c>
      <c r="F498" s="9">
        <v>6</v>
      </c>
      <c r="G498" s="9">
        <v>4</v>
      </c>
      <c r="H498" s="9"/>
      <c r="I498" s="9"/>
    </row>
    <row r="499" spans="1:11" x14ac:dyDescent="0.25">
      <c r="A499" s="178"/>
      <c r="B499" s="15" t="s">
        <v>295</v>
      </c>
      <c r="C499" s="9"/>
      <c r="D499" s="9"/>
      <c r="E499" s="9"/>
      <c r="F499" s="9"/>
      <c r="G499" s="9"/>
      <c r="H499" s="9"/>
      <c r="I499" s="9">
        <f>+I494+I489+I484+I479+I474+I469+I464+I459+I454+I449</f>
        <v>0</v>
      </c>
    </row>
    <row r="500" spans="1:11" collapsed="1" x14ac:dyDescent="0.25">
      <c r="A500" s="179" t="s">
        <v>31</v>
      </c>
      <c r="B500" s="21" t="s">
        <v>403</v>
      </c>
      <c r="C500" s="10">
        <f>SUMIF($B$390:$B$499,"Всего*",C$390:C$499)</f>
        <v>3340.3699999999994</v>
      </c>
      <c r="D500" s="10">
        <f t="shared" ref="D500:I500" si="118">SUMIF($B$390:$B$499,"Всего*",D$390:D$499)</f>
        <v>0</v>
      </c>
      <c r="E500" s="10">
        <f t="shared" si="118"/>
        <v>168.48</v>
      </c>
      <c r="F500" s="10">
        <f t="shared" si="118"/>
        <v>799.4899999999999</v>
      </c>
      <c r="G500" s="10">
        <f t="shared" si="118"/>
        <v>754.8599999999999</v>
      </c>
      <c r="H500" s="10">
        <f t="shared" si="118"/>
        <v>1210.8</v>
      </c>
      <c r="I500" s="10">
        <f t="shared" si="118"/>
        <v>406.74</v>
      </c>
      <c r="J500" s="11"/>
      <c r="K500" s="64"/>
    </row>
    <row r="501" spans="1:11" x14ac:dyDescent="0.25">
      <c r="A501" s="179"/>
      <c r="B501" s="21" t="s">
        <v>292</v>
      </c>
      <c r="C501" s="10">
        <f t="shared" ref="C501:I501" si="119">SUMIF($B$390:$B$499,"фед*",C$390:C$499)</f>
        <v>1375.6000000000001</v>
      </c>
      <c r="D501" s="10">
        <f t="shared" si="119"/>
        <v>0</v>
      </c>
      <c r="E501" s="10">
        <f t="shared" si="119"/>
        <v>0</v>
      </c>
      <c r="F501" s="10">
        <f t="shared" si="119"/>
        <v>205.2</v>
      </c>
      <c r="G501" s="10">
        <f t="shared" si="119"/>
        <v>251.2</v>
      </c>
      <c r="H501" s="10">
        <f t="shared" si="119"/>
        <v>669.2</v>
      </c>
      <c r="I501" s="10">
        <f t="shared" si="119"/>
        <v>250</v>
      </c>
      <c r="J501" s="11"/>
      <c r="K501" s="64"/>
    </row>
    <row r="502" spans="1:11" x14ac:dyDescent="0.25">
      <c r="A502" s="179"/>
      <c r="B502" s="21" t="s">
        <v>293</v>
      </c>
      <c r="C502" s="10">
        <f>SUMIF($B$390:$B$499,"респ*",C$390:C$499)</f>
        <v>1855.2099999999996</v>
      </c>
      <c r="D502" s="10">
        <f t="shared" ref="D502:I502" si="120">SUMIF($B$390:$B$499,"респ*",D$390:D$499)</f>
        <v>0</v>
      </c>
      <c r="E502" s="10">
        <f t="shared" si="120"/>
        <v>148.58000000000004</v>
      </c>
      <c r="F502" s="10">
        <f t="shared" si="120"/>
        <v>558.44000000000005</v>
      </c>
      <c r="G502" s="10">
        <f t="shared" si="120"/>
        <v>464.15000000000003</v>
      </c>
      <c r="H502" s="10">
        <f t="shared" si="120"/>
        <v>529.4</v>
      </c>
      <c r="I502" s="10">
        <f t="shared" si="120"/>
        <v>154.63999999999999</v>
      </c>
      <c r="J502" s="11"/>
    </row>
    <row r="503" spans="1:11" x14ac:dyDescent="0.25">
      <c r="A503" s="179"/>
      <c r="B503" s="21" t="s">
        <v>294</v>
      </c>
      <c r="C503" s="10">
        <f>SUMIF($B$390:$B$499,"муниц*",C$390:C$499)</f>
        <v>109.56000000000002</v>
      </c>
      <c r="D503" s="10">
        <f t="shared" ref="D503:I503" si="121">SUMIF($B$390:$B$499,"муниц*",D$390:D$499)</f>
        <v>0</v>
      </c>
      <c r="E503" s="10">
        <f t="shared" si="121"/>
        <v>19.899999999999999</v>
      </c>
      <c r="F503" s="10">
        <f t="shared" si="121"/>
        <v>35.849999999999994</v>
      </c>
      <c r="G503" s="10">
        <f t="shared" si="121"/>
        <v>39.51</v>
      </c>
      <c r="H503" s="10">
        <f t="shared" si="121"/>
        <v>12.200000000000001</v>
      </c>
      <c r="I503" s="10">
        <f t="shared" si="121"/>
        <v>2.1</v>
      </c>
    </row>
    <row r="504" spans="1:11" x14ac:dyDescent="0.25">
      <c r="A504" s="179"/>
      <c r="B504" s="21" t="s">
        <v>295</v>
      </c>
      <c r="C504" s="10">
        <f t="shared" ref="C504:I504" si="122">SUMIF($B$390:$B$499,"вне*",C$390:C$499)</f>
        <v>0</v>
      </c>
      <c r="D504" s="10">
        <f t="shared" si="122"/>
        <v>0</v>
      </c>
      <c r="E504" s="10">
        <f t="shared" si="122"/>
        <v>0</v>
      </c>
      <c r="F504" s="10">
        <f t="shared" si="122"/>
        <v>0</v>
      </c>
      <c r="G504" s="10">
        <f t="shared" si="122"/>
        <v>0</v>
      </c>
      <c r="H504" s="10">
        <f t="shared" si="122"/>
        <v>0</v>
      </c>
      <c r="I504" s="10">
        <f t="shared" si="122"/>
        <v>0</v>
      </c>
      <c r="J504" s="11"/>
    </row>
    <row r="505" spans="1:11" x14ac:dyDescent="0.25">
      <c r="A505" s="180" t="s">
        <v>10</v>
      </c>
      <c r="B505" s="180"/>
      <c r="C505" s="180"/>
      <c r="D505" s="180"/>
      <c r="E505" s="180"/>
      <c r="F505" s="180"/>
      <c r="G505" s="180"/>
      <c r="H505" s="180"/>
      <c r="I505" s="180"/>
    </row>
    <row r="506" spans="1:11" x14ac:dyDescent="0.25">
      <c r="A506" s="173" t="s">
        <v>127</v>
      </c>
      <c r="B506" s="21" t="s">
        <v>403</v>
      </c>
      <c r="C506" s="3">
        <f>SUM(D506:I506)</f>
        <v>1100</v>
      </c>
      <c r="D506" s="3">
        <f t="shared" ref="D506:F506" si="123">D507+D508+D510</f>
        <v>0</v>
      </c>
      <c r="E506" s="3">
        <f t="shared" si="123"/>
        <v>0</v>
      </c>
      <c r="F506" s="3">
        <f t="shared" si="123"/>
        <v>0</v>
      </c>
      <c r="G506" s="3">
        <f>G507+G508+G509</f>
        <v>350</v>
      </c>
      <c r="H506" s="3">
        <f t="shared" ref="H506:I506" si="124">H507+H508+H509</f>
        <v>400</v>
      </c>
      <c r="I506" s="3">
        <f t="shared" si="124"/>
        <v>350</v>
      </c>
    </row>
    <row r="507" spans="1:11" x14ac:dyDescent="0.25">
      <c r="A507" s="173"/>
      <c r="B507" s="21" t="s">
        <v>292</v>
      </c>
      <c r="C507" s="3">
        <f>SUM(D507:I507)</f>
        <v>1089</v>
      </c>
      <c r="D507" s="3"/>
      <c r="E507" s="3"/>
      <c r="F507" s="3"/>
      <c r="G507" s="3">
        <v>346.5</v>
      </c>
      <c r="H507" s="3">
        <v>396</v>
      </c>
      <c r="I507" s="3">
        <v>346.5</v>
      </c>
    </row>
    <row r="508" spans="1:11" x14ac:dyDescent="0.25">
      <c r="A508" s="173"/>
      <c r="B508" s="21" t="s">
        <v>293</v>
      </c>
      <c r="C508" s="3">
        <f>SUM(D508:I508)</f>
        <v>8.8000000000000007</v>
      </c>
      <c r="D508" s="3"/>
      <c r="E508" s="3"/>
      <c r="F508" s="3"/>
      <c r="G508" s="3">
        <v>2.8</v>
      </c>
      <c r="H508" s="3">
        <v>3.2</v>
      </c>
      <c r="I508" s="3">
        <v>2.8</v>
      </c>
    </row>
    <row r="509" spans="1:11" x14ac:dyDescent="0.25">
      <c r="A509" s="173"/>
      <c r="B509" s="21" t="s">
        <v>294</v>
      </c>
      <c r="C509" s="3">
        <f>SUM(D509:I509)</f>
        <v>2.2000000000000002</v>
      </c>
      <c r="D509" s="9"/>
      <c r="E509" s="9"/>
      <c r="F509" s="9"/>
      <c r="G509" s="9">
        <v>0.7</v>
      </c>
      <c r="H509" s="9">
        <v>0.8</v>
      </c>
      <c r="I509" s="9">
        <v>0.7</v>
      </c>
    </row>
    <row r="510" spans="1:11" x14ac:dyDescent="0.25">
      <c r="A510" s="173"/>
      <c r="B510" s="21" t="s">
        <v>295</v>
      </c>
      <c r="C510" s="3"/>
      <c r="D510" s="3"/>
      <c r="E510" s="3"/>
      <c r="F510" s="3"/>
      <c r="G510" s="3"/>
      <c r="H510" s="3"/>
      <c r="I510" s="3"/>
    </row>
    <row r="511" spans="1:11" x14ac:dyDescent="0.25">
      <c r="A511" s="173" t="s">
        <v>128</v>
      </c>
      <c r="B511" s="21" t="s">
        <v>403</v>
      </c>
      <c r="C511" s="3">
        <f>SUM(D511:I511)</f>
        <v>357</v>
      </c>
      <c r="D511" s="3">
        <f t="shared" ref="D511:E511" si="125">D512+D513+D515</f>
        <v>0</v>
      </c>
      <c r="E511" s="3">
        <f t="shared" si="125"/>
        <v>0</v>
      </c>
      <c r="F511" s="3"/>
      <c r="G511" s="3"/>
      <c r="H511" s="3">
        <f>H512+H513+H515+H514</f>
        <v>7</v>
      </c>
      <c r="I511" s="3">
        <f>I512+I513+I515+I514</f>
        <v>350</v>
      </c>
    </row>
    <row r="512" spans="1:11" x14ac:dyDescent="0.25">
      <c r="A512" s="173"/>
      <c r="B512" s="21" t="s">
        <v>292</v>
      </c>
      <c r="C512" s="3">
        <f>SUM(D512:I512)</f>
        <v>346.5</v>
      </c>
      <c r="D512" s="3"/>
      <c r="E512" s="3"/>
      <c r="F512" s="3"/>
      <c r="G512" s="3"/>
      <c r="H512" s="3">
        <v>0</v>
      </c>
      <c r="I512" s="3">
        <v>346.5</v>
      </c>
    </row>
    <row r="513" spans="1:9" x14ac:dyDescent="0.25">
      <c r="A513" s="173"/>
      <c r="B513" s="21" t="s">
        <v>293</v>
      </c>
      <c r="C513" s="3">
        <f>SUM(D513:I513)</f>
        <v>8.3999999999999986</v>
      </c>
      <c r="D513" s="3"/>
      <c r="E513" s="3"/>
      <c r="F513" s="3"/>
      <c r="G513" s="3"/>
      <c r="H513" s="3">
        <v>5.6</v>
      </c>
      <c r="I513" s="3">
        <v>2.8</v>
      </c>
    </row>
    <row r="514" spans="1:9" x14ac:dyDescent="0.25">
      <c r="A514" s="173"/>
      <c r="B514" s="21" t="s">
        <v>294</v>
      </c>
      <c r="C514" s="3">
        <f>SUM(D514:I514)</f>
        <v>2.0999999999999996</v>
      </c>
      <c r="D514" s="9"/>
      <c r="E514" s="9"/>
      <c r="F514" s="9"/>
      <c r="G514" s="9"/>
      <c r="H514" s="9">
        <v>1.4</v>
      </c>
      <c r="I514" s="9">
        <v>0.7</v>
      </c>
    </row>
    <row r="515" spans="1:9" x14ac:dyDescent="0.25">
      <c r="A515" s="173"/>
      <c r="B515" s="21" t="s">
        <v>295</v>
      </c>
      <c r="C515" s="3"/>
      <c r="D515" s="3"/>
      <c r="E515" s="3"/>
      <c r="F515" s="3"/>
      <c r="G515" s="3"/>
      <c r="H515" s="3"/>
      <c r="I515" s="3"/>
    </row>
    <row r="516" spans="1:9" x14ac:dyDescent="0.25">
      <c r="A516" s="173" t="s">
        <v>129</v>
      </c>
      <c r="B516" s="21" t="s">
        <v>403</v>
      </c>
      <c r="C516" s="3">
        <f>SUM(D516:I516)</f>
        <v>550</v>
      </c>
      <c r="D516" s="3">
        <f t="shared" ref="D516:F516" si="126">D517+D518+D520</f>
        <v>0</v>
      </c>
      <c r="E516" s="3">
        <f t="shared" si="126"/>
        <v>0</v>
      </c>
      <c r="F516" s="3">
        <f t="shared" si="126"/>
        <v>0</v>
      </c>
      <c r="G516" s="3"/>
      <c r="H516" s="3">
        <f>H517+H518+H520+H519</f>
        <v>275</v>
      </c>
      <c r="I516" s="3">
        <f>I517+I518+I520+I519</f>
        <v>275</v>
      </c>
    </row>
    <row r="517" spans="1:9" x14ac:dyDescent="0.25">
      <c r="A517" s="173"/>
      <c r="B517" s="21" t="s">
        <v>292</v>
      </c>
      <c r="C517" s="3">
        <f>SUM(D517:I517)</f>
        <v>544.6</v>
      </c>
      <c r="D517" s="3"/>
      <c r="E517" s="3"/>
      <c r="F517" s="3"/>
      <c r="G517" s="3"/>
      <c r="H517" s="3">
        <v>272.3</v>
      </c>
      <c r="I517" s="3">
        <v>272.3</v>
      </c>
    </row>
    <row r="518" spans="1:9" x14ac:dyDescent="0.25">
      <c r="A518" s="173"/>
      <c r="B518" s="21" t="s">
        <v>293</v>
      </c>
      <c r="C518" s="3">
        <f>SUM(D518:I518)</f>
        <v>4.4000000000000004</v>
      </c>
      <c r="D518" s="3"/>
      <c r="E518" s="3"/>
      <c r="F518" s="3"/>
      <c r="G518" s="3"/>
      <c r="H518" s="3">
        <v>2.2000000000000002</v>
      </c>
      <c r="I518" s="3">
        <v>2.2000000000000002</v>
      </c>
    </row>
    <row r="519" spans="1:9" x14ac:dyDescent="0.25">
      <c r="A519" s="173"/>
      <c r="B519" s="21" t="s">
        <v>294</v>
      </c>
      <c r="C519" s="3">
        <f>SUM(D519:I519)</f>
        <v>1</v>
      </c>
      <c r="D519" s="9"/>
      <c r="E519" s="9"/>
      <c r="F519" s="9"/>
      <c r="G519" s="9"/>
      <c r="H519" s="9">
        <v>0.5</v>
      </c>
      <c r="I519" s="9">
        <v>0.5</v>
      </c>
    </row>
    <row r="520" spans="1:9" x14ac:dyDescent="0.25">
      <c r="A520" s="173"/>
      <c r="B520" s="21" t="s">
        <v>295</v>
      </c>
      <c r="C520" s="3"/>
      <c r="D520" s="3"/>
      <c r="E520" s="3"/>
      <c r="F520" s="3"/>
      <c r="G520" s="3"/>
      <c r="H520" s="3"/>
      <c r="I520" s="3"/>
    </row>
    <row r="521" spans="1:9" x14ac:dyDescent="0.25">
      <c r="A521" s="173" t="s">
        <v>130</v>
      </c>
      <c r="B521" s="21" t="s">
        <v>403</v>
      </c>
      <c r="C521" s="3">
        <f>SUM(D521:I521)</f>
        <v>757</v>
      </c>
      <c r="D521" s="3">
        <f t="shared" ref="D521:E521" si="127">D522+D523+D525</f>
        <v>0</v>
      </c>
      <c r="E521" s="3">
        <f t="shared" si="127"/>
        <v>0</v>
      </c>
      <c r="F521" s="3"/>
      <c r="G521" s="3">
        <f t="shared" ref="G521:H521" si="128">G522+G523+G525+G524</f>
        <v>7</v>
      </c>
      <c r="H521" s="3">
        <f t="shared" si="128"/>
        <v>350</v>
      </c>
      <c r="I521" s="3">
        <f>I522+I523+I525+I524</f>
        <v>400</v>
      </c>
    </row>
    <row r="522" spans="1:9" x14ac:dyDescent="0.25">
      <c r="A522" s="173"/>
      <c r="B522" s="21" t="s">
        <v>292</v>
      </c>
      <c r="C522" s="3">
        <f>SUM(D522:I522)</f>
        <v>742.5</v>
      </c>
      <c r="D522" s="3"/>
      <c r="E522" s="3"/>
      <c r="F522" s="3"/>
      <c r="G522" s="3">
        <v>0</v>
      </c>
      <c r="H522" s="3">
        <v>346.5</v>
      </c>
      <c r="I522" s="3">
        <v>396</v>
      </c>
    </row>
    <row r="523" spans="1:9" x14ac:dyDescent="0.25">
      <c r="A523" s="173"/>
      <c r="B523" s="21" t="s">
        <v>293</v>
      </c>
      <c r="C523" s="3">
        <f>SUM(D523:I523)</f>
        <v>11.599999999999998</v>
      </c>
      <c r="D523" s="3"/>
      <c r="E523" s="3"/>
      <c r="F523" s="3"/>
      <c r="G523" s="3">
        <v>5.6</v>
      </c>
      <c r="H523" s="3">
        <v>2.8</v>
      </c>
      <c r="I523" s="3">
        <v>3.2</v>
      </c>
    </row>
    <row r="524" spans="1:9" x14ac:dyDescent="0.25">
      <c r="A524" s="173"/>
      <c r="B524" s="21" t="s">
        <v>294</v>
      </c>
      <c r="C524" s="3">
        <f>SUM(D524:I524)</f>
        <v>2.8999999999999995</v>
      </c>
      <c r="D524" s="9"/>
      <c r="E524" s="9"/>
      <c r="F524" s="9"/>
      <c r="G524" s="9">
        <v>1.4</v>
      </c>
      <c r="H524" s="9">
        <v>0.7</v>
      </c>
      <c r="I524" s="9">
        <v>0.8</v>
      </c>
    </row>
    <row r="525" spans="1:9" x14ac:dyDescent="0.25">
      <c r="A525" s="173"/>
      <c r="B525" s="21" t="s">
        <v>295</v>
      </c>
      <c r="C525" s="3"/>
      <c r="D525" s="3"/>
      <c r="E525" s="3"/>
      <c r="F525" s="3"/>
      <c r="G525" s="3"/>
      <c r="H525" s="3"/>
      <c r="I525" s="3"/>
    </row>
    <row r="526" spans="1:9" x14ac:dyDescent="0.25">
      <c r="A526" s="173" t="s">
        <v>131</v>
      </c>
      <c r="B526" s="21" t="s">
        <v>403</v>
      </c>
      <c r="C526" s="3">
        <f>SUM(D526:I526)</f>
        <v>557</v>
      </c>
      <c r="D526" s="3">
        <f t="shared" ref="D526:E526" si="129">D527+D528+D530</f>
        <v>0</v>
      </c>
      <c r="E526" s="3">
        <f t="shared" si="129"/>
        <v>0</v>
      </c>
      <c r="F526" s="3"/>
      <c r="G526" s="3">
        <f t="shared" ref="G526:H526" si="130">G527+G528+G530+G529</f>
        <v>7</v>
      </c>
      <c r="H526" s="3">
        <f t="shared" si="130"/>
        <v>275</v>
      </c>
      <c r="I526" s="3">
        <f>I527+I528+I530+I529</f>
        <v>275</v>
      </c>
    </row>
    <row r="527" spans="1:9" x14ac:dyDescent="0.25">
      <c r="A527" s="173"/>
      <c r="B527" s="21" t="s">
        <v>292</v>
      </c>
      <c r="C527" s="3">
        <f>SUM(D527:I527)</f>
        <v>544.6</v>
      </c>
      <c r="D527" s="3"/>
      <c r="E527" s="3"/>
      <c r="F527" s="3"/>
      <c r="G527" s="3">
        <v>0</v>
      </c>
      <c r="H527" s="3">
        <v>272.3</v>
      </c>
      <c r="I527" s="3">
        <v>272.3</v>
      </c>
    </row>
    <row r="528" spans="1:9" x14ac:dyDescent="0.25">
      <c r="A528" s="173"/>
      <c r="B528" s="21" t="s">
        <v>293</v>
      </c>
      <c r="C528" s="3">
        <f>SUM(D528:I528)</f>
        <v>10</v>
      </c>
      <c r="D528" s="3"/>
      <c r="E528" s="3"/>
      <c r="F528" s="3"/>
      <c r="G528" s="3">
        <v>5.6</v>
      </c>
      <c r="H528" s="3">
        <v>2.2000000000000002</v>
      </c>
      <c r="I528" s="3">
        <v>2.2000000000000002</v>
      </c>
    </row>
    <row r="529" spans="1:9" x14ac:dyDescent="0.25">
      <c r="A529" s="173"/>
      <c r="B529" s="21" t="s">
        <v>294</v>
      </c>
      <c r="C529" s="3">
        <f>SUM(D529:I529)</f>
        <v>2.4</v>
      </c>
      <c r="D529" s="9"/>
      <c r="E529" s="9"/>
      <c r="F529" s="9"/>
      <c r="G529" s="9">
        <v>1.4</v>
      </c>
      <c r="H529" s="9">
        <v>0.5</v>
      </c>
      <c r="I529" s="9">
        <v>0.5</v>
      </c>
    </row>
    <row r="530" spans="1:9" x14ac:dyDescent="0.25">
      <c r="A530" s="173"/>
      <c r="B530" s="21" t="s">
        <v>295</v>
      </c>
      <c r="C530" s="3"/>
      <c r="D530" s="3"/>
      <c r="E530" s="3"/>
      <c r="F530" s="3"/>
      <c r="G530" s="3"/>
      <c r="H530" s="3"/>
      <c r="I530" s="3"/>
    </row>
    <row r="531" spans="1:9" x14ac:dyDescent="0.25">
      <c r="A531" s="173" t="s">
        <v>278</v>
      </c>
      <c r="B531" s="21" t="s">
        <v>403</v>
      </c>
      <c r="C531" s="3">
        <f>SUM(D531:I531)</f>
        <v>357</v>
      </c>
      <c r="D531" s="3">
        <f t="shared" ref="D531:E531" si="131">D532+D533+D535</f>
        <v>0</v>
      </c>
      <c r="E531" s="3">
        <f t="shared" si="131"/>
        <v>0</v>
      </c>
      <c r="F531" s="3"/>
      <c r="G531" s="3"/>
      <c r="H531" s="3">
        <f>H532+H533+H535+H534</f>
        <v>7</v>
      </c>
      <c r="I531" s="3">
        <f>I532+I533+I535+I534</f>
        <v>350</v>
      </c>
    </row>
    <row r="532" spans="1:9" x14ac:dyDescent="0.25">
      <c r="A532" s="173"/>
      <c r="B532" s="21" t="s">
        <v>292</v>
      </c>
      <c r="C532" s="3">
        <f>SUM(D532:I532)</f>
        <v>346.5</v>
      </c>
      <c r="D532" s="3"/>
      <c r="E532" s="3"/>
      <c r="F532" s="3"/>
      <c r="G532" s="3"/>
      <c r="H532" s="3">
        <v>0</v>
      </c>
      <c r="I532" s="3">
        <v>346.5</v>
      </c>
    </row>
    <row r="533" spans="1:9" x14ac:dyDescent="0.25">
      <c r="A533" s="173"/>
      <c r="B533" s="21" t="s">
        <v>293</v>
      </c>
      <c r="C533" s="3">
        <f>SUM(D533:I533)</f>
        <v>8.3999999999999986</v>
      </c>
      <c r="D533" s="3"/>
      <c r="E533" s="3"/>
      <c r="F533" s="3"/>
      <c r="G533" s="3"/>
      <c r="H533" s="3">
        <v>5.6</v>
      </c>
      <c r="I533" s="3">
        <v>2.8</v>
      </c>
    </row>
    <row r="534" spans="1:9" x14ac:dyDescent="0.25">
      <c r="A534" s="173"/>
      <c r="B534" s="21" t="s">
        <v>294</v>
      </c>
      <c r="C534" s="3">
        <f>SUM(D534:I534)</f>
        <v>2.0999999999999996</v>
      </c>
      <c r="D534" s="9"/>
      <c r="E534" s="9"/>
      <c r="F534" s="9"/>
      <c r="G534" s="9"/>
      <c r="H534" s="9">
        <v>1.4</v>
      </c>
      <c r="I534" s="9">
        <v>0.7</v>
      </c>
    </row>
    <row r="535" spans="1:9" x14ac:dyDescent="0.25">
      <c r="A535" s="173"/>
      <c r="B535" s="21" t="s">
        <v>295</v>
      </c>
      <c r="C535" s="3"/>
      <c r="D535" s="3"/>
      <c r="E535" s="3"/>
      <c r="F535" s="3"/>
      <c r="G535" s="3"/>
      <c r="H535" s="3"/>
      <c r="I535" s="3"/>
    </row>
    <row r="536" spans="1:9" x14ac:dyDescent="0.25">
      <c r="A536" s="173" t="s">
        <v>132</v>
      </c>
      <c r="B536" s="21" t="s">
        <v>403</v>
      </c>
      <c r="C536" s="3">
        <f>SUM(D536:I536)</f>
        <v>1100</v>
      </c>
      <c r="D536" s="3">
        <f t="shared" ref="D536:E536" si="132">D537+D538+D540</f>
        <v>0</v>
      </c>
      <c r="E536" s="3">
        <f t="shared" si="132"/>
        <v>0</v>
      </c>
      <c r="F536" s="3">
        <f>F537+F538+F540+F539</f>
        <v>350</v>
      </c>
      <c r="G536" s="3">
        <f t="shared" ref="G536:H536" si="133">G537+G538+G540+G539</f>
        <v>400</v>
      </c>
      <c r="H536" s="3">
        <f t="shared" si="133"/>
        <v>350</v>
      </c>
      <c r="I536" s="3"/>
    </row>
    <row r="537" spans="1:9" x14ac:dyDescent="0.25">
      <c r="A537" s="173"/>
      <c r="B537" s="21" t="s">
        <v>292</v>
      </c>
      <c r="C537" s="3">
        <f>SUM(D537:I537)</f>
        <v>1089</v>
      </c>
      <c r="D537" s="3"/>
      <c r="E537" s="3"/>
      <c r="F537" s="3">
        <v>346.5</v>
      </c>
      <c r="G537" s="3">
        <v>396</v>
      </c>
      <c r="H537" s="3">
        <v>346.5</v>
      </c>
      <c r="I537" s="3"/>
    </row>
    <row r="538" spans="1:9" x14ac:dyDescent="0.25">
      <c r="A538" s="173"/>
      <c r="B538" s="21" t="s">
        <v>293</v>
      </c>
      <c r="C538" s="3">
        <f>SUM(D538:I538)</f>
        <v>8.8000000000000007</v>
      </c>
      <c r="D538" s="3"/>
      <c r="E538" s="3"/>
      <c r="F538" s="3">
        <v>2.8</v>
      </c>
      <c r="G538" s="3">
        <v>3.2</v>
      </c>
      <c r="H538" s="3">
        <v>2.8</v>
      </c>
      <c r="I538" s="3"/>
    </row>
    <row r="539" spans="1:9" x14ac:dyDescent="0.25">
      <c r="A539" s="173"/>
      <c r="B539" s="21" t="s">
        <v>294</v>
      </c>
      <c r="C539" s="3">
        <f>SUM(D539:I539)</f>
        <v>2.2000000000000002</v>
      </c>
      <c r="D539" s="9"/>
      <c r="E539" s="9"/>
      <c r="F539" s="9">
        <v>0.7</v>
      </c>
      <c r="G539" s="9">
        <v>0.8</v>
      </c>
      <c r="H539" s="9">
        <v>0.7</v>
      </c>
      <c r="I539" s="9"/>
    </row>
    <row r="540" spans="1:9" x14ac:dyDescent="0.25">
      <c r="A540" s="173"/>
      <c r="B540" s="21" t="s">
        <v>295</v>
      </c>
      <c r="C540" s="3"/>
      <c r="D540" s="3"/>
      <c r="E540" s="3"/>
      <c r="F540" s="3"/>
      <c r="G540" s="3"/>
      <c r="H540" s="3"/>
      <c r="I540" s="3"/>
    </row>
    <row r="541" spans="1:9" x14ac:dyDescent="0.25">
      <c r="A541" s="173" t="s">
        <v>133</v>
      </c>
      <c r="B541" s="21" t="s">
        <v>403</v>
      </c>
      <c r="C541" s="3">
        <f>SUM(D541:I541)</f>
        <v>1500</v>
      </c>
      <c r="D541" s="3">
        <f t="shared" ref="D541:I541" si="134">D542+D543+D545</f>
        <v>0</v>
      </c>
      <c r="E541" s="3">
        <f t="shared" si="134"/>
        <v>0</v>
      </c>
      <c r="F541" s="3">
        <f>F542+F543+F545+F544</f>
        <v>500</v>
      </c>
      <c r="G541" s="3">
        <f t="shared" ref="G541:H541" si="135">G542+G543+G545+G544</f>
        <v>500</v>
      </c>
      <c r="H541" s="3">
        <f t="shared" si="135"/>
        <v>500</v>
      </c>
      <c r="I541" s="3">
        <f t="shared" si="134"/>
        <v>0</v>
      </c>
    </row>
    <row r="542" spans="1:9" x14ac:dyDescent="0.25">
      <c r="A542" s="173"/>
      <c r="B542" s="21" t="s">
        <v>292</v>
      </c>
      <c r="C542" s="3">
        <f>SUM(D542:I542)</f>
        <v>1485</v>
      </c>
      <c r="D542" s="3"/>
      <c r="E542" s="3"/>
      <c r="F542" s="3">
        <v>495</v>
      </c>
      <c r="G542" s="3">
        <v>495</v>
      </c>
      <c r="H542" s="3">
        <v>495</v>
      </c>
      <c r="I542" s="3"/>
    </row>
    <row r="543" spans="1:9" x14ac:dyDescent="0.25">
      <c r="A543" s="173"/>
      <c r="B543" s="21" t="s">
        <v>293</v>
      </c>
      <c r="C543" s="3">
        <f>SUM(D543:I543)</f>
        <v>12</v>
      </c>
      <c r="D543" s="3"/>
      <c r="E543" s="3"/>
      <c r="F543" s="3">
        <v>4</v>
      </c>
      <c r="G543" s="3">
        <v>4</v>
      </c>
      <c r="H543" s="3">
        <v>4</v>
      </c>
      <c r="I543" s="3"/>
    </row>
    <row r="544" spans="1:9" x14ac:dyDescent="0.25">
      <c r="A544" s="173"/>
      <c r="B544" s="21" t="s">
        <v>294</v>
      </c>
      <c r="C544" s="3">
        <f>SUM(D544:I544)</f>
        <v>3</v>
      </c>
      <c r="D544" s="9"/>
      <c r="E544" s="9"/>
      <c r="F544" s="9">
        <v>1</v>
      </c>
      <c r="G544" s="9">
        <v>1</v>
      </c>
      <c r="H544" s="9">
        <v>1</v>
      </c>
      <c r="I544" s="9"/>
    </row>
    <row r="545" spans="1:9" x14ac:dyDescent="0.25">
      <c r="A545" s="173"/>
      <c r="B545" s="21" t="s">
        <v>295</v>
      </c>
      <c r="C545" s="3"/>
      <c r="D545" s="3"/>
      <c r="E545" s="3"/>
      <c r="F545" s="3"/>
      <c r="G545" s="3"/>
      <c r="H545" s="3"/>
      <c r="I545" s="3"/>
    </row>
    <row r="546" spans="1:9" x14ac:dyDescent="0.25">
      <c r="A546" s="173" t="s">
        <v>134</v>
      </c>
      <c r="B546" s="21" t="s">
        <v>403</v>
      </c>
      <c r="C546" s="3">
        <f>SUM(D546:I546)</f>
        <v>350</v>
      </c>
      <c r="D546" s="3">
        <f t="shared" ref="D546:F546" si="136">D547+D548+D550</f>
        <v>0</v>
      </c>
      <c r="E546" s="3">
        <f t="shared" si="136"/>
        <v>0</v>
      </c>
      <c r="F546" s="3">
        <f t="shared" si="136"/>
        <v>0</v>
      </c>
      <c r="G546" s="3"/>
      <c r="H546" s="3"/>
      <c r="I546" s="3">
        <f>I547+I548+I550+I549</f>
        <v>350</v>
      </c>
    </row>
    <row r="547" spans="1:9" x14ac:dyDescent="0.25">
      <c r="A547" s="173"/>
      <c r="B547" s="21" t="s">
        <v>292</v>
      </c>
      <c r="C547" s="3">
        <f>SUM(D547:I547)</f>
        <v>346.5</v>
      </c>
      <c r="D547" s="3"/>
      <c r="E547" s="3"/>
      <c r="F547" s="3"/>
      <c r="G547" s="3"/>
      <c r="H547" s="3"/>
      <c r="I547" s="3">
        <v>346.5</v>
      </c>
    </row>
    <row r="548" spans="1:9" x14ac:dyDescent="0.25">
      <c r="A548" s="173"/>
      <c r="B548" s="21" t="s">
        <v>293</v>
      </c>
      <c r="C548" s="3">
        <f>SUM(D548:I548)</f>
        <v>2.8</v>
      </c>
      <c r="D548" s="3"/>
      <c r="E548" s="3"/>
      <c r="F548" s="3"/>
      <c r="G548" s="3"/>
      <c r="H548" s="3"/>
      <c r="I548" s="3">
        <v>2.8</v>
      </c>
    </row>
    <row r="549" spans="1:9" x14ac:dyDescent="0.25">
      <c r="A549" s="173"/>
      <c r="B549" s="21" t="s">
        <v>294</v>
      </c>
      <c r="C549" s="3">
        <f>SUM(D549:I549)</f>
        <v>0.7</v>
      </c>
      <c r="D549" s="9"/>
      <c r="E549" s="9"/>
      <c r="F549" s="9"/>
      <c r="G549" s="9"/>
      <c r="H549" s="9"/>
      <c r="I549" s="9">
        <v>0.7</v>
      </c>
    </row>
    <row r="550" spans="1:9" x14ac:dyDescent="0.25">
      <c r="A550" s="173"/>
      <c r="B550" s="21" t="s">
        <v>295</v>
      </c>
      <c r="C550" s="3"/>
      <c r="D550" s="3"/>
      <c r="E550" s="3"/>
      <c r="F550" s="3"/>
      <c r="G550" s="3"/>
      <c r="H550" s="3"/>
      <c r="I550" s="3"/>
    </row>
    <row r="551" spans="1:9" x14ac:dyDescent="0.25">
      <c r="A551" s="173" t="s">
        <v>135</v>
      </c>
      <c r="B551" s="21" t="s">
        <v>403</v>
      </c>
      <c r="C551" s="3">
        <f>SUM(D551:I551)</f>
        <v>180</v>
      </c>
      <c r="D551" s="3">
        <f t="shared" ref="D551" si="137">D552+D553+D555</f>
        <v>0</v>
      </c>
      <c r="E551" s="3">
        <f>E552+E553+E555+E554</f>
        <v>90</v>
      </c>
      <c r="F551" s="3">
        <f>F552+F553+F555+F554</f>
        <v>90</v>
      </c>
      <c r="G551" s="3"/>
      <c r="H551" s="3"/>
      <c r="I551" s="3"/>
    </row>
    <row r="552" spans="1:9" x14ac:dyDescent="0.25">
      <c r="A552" s="173"/>
      <c r="B552" s="21" t="s">
        <v>292</v>
      </c>
      <c r="C552" s="3">
        <f>SUM(D552:I552)</f>
        <v>178.2</v>
      </c>
      <c r="D552" s="3"/>
      <c r="E552" s="3">
        <v>89.1</v>
      </c>
      <c r="F552" s="3">
        <v>89.1</v>
      </c>
      <c r="G552" s="3"/>
      <c r="H552" s="3"/>
      <c r="I552" s="3"/>
    </row>
    <row r="553" spans="1:9" x14ac:dyDescent="0.25">
      <c r="A553" s="173"/>
      <c r="B553" s="21" t="s">
        <v>293</v>
      </c>
      <c r="C553" s="3">
        <f>SUM(D553:I553)</f>
        <v>0.9</v>
      </c>
      <c r="D553" s="3"/>
      <c r="E553" s="3">
        <v>0.45</v>
      </c>
      <c r="F553" s="3">
        <v>0.45</v>
      </c>
      <c r="G553" s="3"/>
      <c r="H553" s="3"/>
      <c r="I553" s="3"/>
    </row>
    <row r="554" spans="1:9" x14ac:dyDescent="0.25">
      <c r="A554" s="173"/>
      <c r="B554" s="21" t="s">
        <v>294</v>
      </c>
      <c r="C554" s="3">
        <f>SUM(D554:I554)</f>
        <v>0.9</v>
      </c>
      <c r="D554" s="9"/>
      <c r="E554" s="9">
        <v>0.45</v>
      </c>
      <c r="F554" s="9">
        <v>0.45</v>
      </c>
      <c r="G554" s="9"/>
      <c r="H554" s="9"/>
      <c r="I554" s="9"/>
    </row>
    <row r="555" spans="1:9" x14ac:dyDescent="0.25">
      <c r="A555" s="173"/>
      <c r="B555" s="21" t="s">
        <v>295</v>
      </c>
      <c r="C555" s="3"/>
      <c r="D555" s="3"/>
      <c r="E555" s="3"/>
      <c r="F555" s="3"/>
      <c r="G555" s="3"/>
      <c r="H555" s="3"/>
      <c r="I555" s="3"/>
    </row>
    <row r="556" spans="1:9" x14ac:dyDescent="0.25">
      <c r="A556" s="173" t="s">
        <v>162</v>
      </c>
      <c r="B556" s="21" t="s">
        <v>403</v>
      </c>
      <c r="C556" s="3">
        <f>SUM(D556:I556)</f>
        <v>180</v>
      </c>
      <c r="D556" s="3"/>
      <c r="E556" s="3"/>
      <c r="F556" s="3">
        <f>F557+F558+F560+F559</f>
        <v>90</v>
      </c>
      <c r="G556" s="3">
        <f>G557+G558+G560+G559</f>
        <v>90</v>
      </c>
      <c r="H556" s="3"/>
      <c r="I556" s="3"/>
    </row>
    <row r="557" spans="1:9" x14ac:dyDescent="0.25">
      <c r="A557" s="173"/>
      <c r="B557" s="21" t="s">
        <v>292</v>
      </c>
      <c r="C557" s="3">
        <f>SUM(D557:I557)</f>
        <v>178.2</v>
      </c>
      <c r="D557" s="3"/>
      <c r="E557" s="3"/>
      <c r="F557" s="3">
        <v>89.1</v>
      </c>
      <c r="G557" s="3">
        <v>89.1</v>
      </c>
      <c r="H557" s="3"/>
      <c r="I557" s="3"/>
    </row>
    <row r="558" spans="1:9" x14ac:dyDescent="0.25">
      <c r="A558" s="173"/>
      <c r="B558" s="21" t="s">
        <v>293</v>
      </c>
      <c r="C558" s="3">
        <f>SUM(D558:I558)</f>
        <v>0.9</v>
      </c>
      <c r="D558" s="3"/>
      <c r="E558" s="3"/>
      <c r="F558" s="3">
        <v>0.45</v>
      </c>
      <c r="G558" s="3">
        <v>0.45</v>
      </c>
      <c r="H558" s="3"/>
      <c r="I558" s="3"/>
    </row>
    <row r="559" spans="1:9" x14ac:dyDescent="0.25">
      <c r="A559" s="173"/>
      <c r="B559" s="21" t="s">
        <v>294</v>
      </c>
      <c r="C559" s="3">
        <f>SUM(D559:I559)</f>
        <v>0.9</v>
      </c>
      <c r="D559" s="9"/>
      <c r="E559" s="9"/>
      <c r="F559" s="9">
        <v>0.45</v>
      </c>
      <c r="G559" s="9">
        <v>0.45</v>
      </c>
      <c r="H559" s="9"/>
      <c r="I559" s="9"/>
    </row>
    <row r="560" spans="1:9" x14ac:dyDescent="0.25">
      <c r="A560" s="173"/>
      <c r="B560" s="21" t="s">
        <v>295</v>
      </c>
      <c r="C560" s="3"/>
      <c r="D560" s="3"/>
      <c r="E560" s="3"/>
      <c r="F560" s="3"/>
      <c r="G560" s="3"/>
      <c r="H560" s="3"/>
      <c r="I560" s="3"/>
    </row>
    <row r="561" spans="1:9" x14ac:dyDescent="0.25">
      <c r="A561" s="173" t="s">
        <v>163</v>
      </c>
      <c r="B561" s="21" t="s">
        <v>403</v>
      </c>
      <c r="C561" s="3">
        <f>SUM(D561:I561)</f>
        <v>180</v>
      </c>
      <c r="D561" s="3"/>
      <c r="E561" s="3"/>
      <c r="F561" s="3">
        <f>F562+F563+F565+F564</f>
        <v>90</v>
      </c>
      <c r="G561" s="3">
        <f>G562+G563+G565+G564</f>
        <v>90</v>
      </c>
      <c r="H561" s="3"/>
      <c r="I561" s="3"/>
    </row>
    <row r="562" spans="1:9" x14ac:dyDescent="0.25">
      <c r="A562" s="173"/>
      <c r="B562" s="21" t="s">
        <v>292</v>
      </c>
      <c r="C562" s="3">
        <f>SUM(D562:I562)</f>
        <v>178.2</v>
      </c>
      <c r="D562" s="3"/>
      <c r="E562" s="3"/>
      <c r="F562" s="3">
        <v>89.1</v>
      </c>
      <c r="G562" s="3">
        <v>89.1</v>
      </c>
      <c r="H562" s="3"/>
      <c r="I562" s="3"/>
    </row>
    <row r="563" spans="1:9" x14ac:dyDescent="0.25">
      <c r="A563" s="173"/>
      <c r="B563" s="21" t="s">
        <v>293</v>
      </c>
      <c r="C563" s="3">
        <f>SUM(D563:I563)</f>
        <v>0.9</v>
      </c>
      <c r="D563" s="3"/>
      <c r="E563" s="3"/>
      <c r="F563" s="3">
        <v>0.45</v>
      </c>
      <c r="G563" s="3">
        <v>0.45</v>
      </c>
      <c r="H563" s="3"/>
      <c r="I563" s="3"/>
    </row>
    <row r="564" spans="1:9" x14ac:dyDescent="0.25">
      <c r="A564" s="173"/>
      <c r="B564" s="21" t="s">
        <v>294</v>
      </c>
      <c r="C564" s="3">
        <f>SUM(D564:I564)</f>
        <v>0.9</v>
      </c>
      <c r="D564" s="9"/>
      <c r="E564" s="9"/>
      <c r="F564" s="9">
        <v>0.45</v>
      </c>
      <c r="G564" s="9">
        <v>0.45</v>
      </c>
      <c r="H564" s="9"/>
      <c r="I564" s="9"/>
    </row>
    <row r="565" spans="1:9" x14ac:dyDescent="0.25">
      <c r="A565" s="173"/>
      <c r="B565" s="21" t="s">
        <v>295</v>
      </c>
      <c r="C565" s="3"/>
      <c r="D565" s="3"/>
      <c r="E565" s="3"/>
      <c r="F565" s="3"/>
      <c r="G565" s="3"/>
      <c r="H565" s="3"/>
      <c r="I565" s="3"/>
    </row>
    <row r="566" spans="1:9" x14ac:dyDescent="0.25">
      <c r="A566" s="173" t="s">
        <v>176</v>
      </c>
      <c r="B566" s="21" t="s">
        <v>403</v>
      </c>
      <c r="C566" s="3">
        <f>SUM(D566:I566)</f>
        <v>260.60000000000002</v>
      </c>
      <c r="D566" s="3">
        <v>106.2</v>
      </c>
      <c r="E566" s="3">
        <v>154.4</v>
      </c>
      <c r="F566" s="17"/>
      <c r="G566" s="1">
        <v>0</v>
      </c>
      <c r="H566" s="2">
        <v>0</v>
      </c>
      <c r="I566" s="2">
        <v>0</v>
      </c>
    </row>
    <row r="567" spans="1:9" x14ac:dyDescent="0.25">
      <c r="A567" s="173"/>
      <c r="B567" s="21" t="s">
        <v>292</v>
      </c>
      <c r="C567" s="3">
        <f>SUM(D567:I567)</f>
        <v>258</v>
      </c>
      <c r="D567" s="3">
        <v>105.1</v>
      </c>
      <c r="E567" s="3">
        <v>152.9</v>
      </c>
      <c r="F567" s="17"/>
      <c r="G567" s="1"/>
      <c r="H567" s="2"/>
      <c r="I567" s="2"/>
    </row>
    <row r="568" spans="1:9" x14ac:dyDescent="0.25">
      <c r="A568" s="173"/>
      <c r="B568" s="21" t="s">
        <v>293</v>
      </c>
      <c r="C568" s="3">
        <f>SUM(D568:I568)</f>
        <v>1.3</v>
      </c>
      <c r="D568" s="3">
        <v>0.5</v>
      </c>
      <c r="E568" s="3">
        <v>0.8</v>
      </c>
      <c r="F568" s="17"/>
      <c r="G568" s="1"/>
      <c r="H568" s="2"/>
      <c r="I568" s="2"/>
    </row>
    <row r="569" spans="1:9" x14ac:dyDescent="0.25">
      <c r="A569" s="173"/>
      <c r="B569" s="21" t="s">
        <v>294</v>
      </c>
      <c r="C569" s="3">
        <f>SUM(D569:I569)</f>
        <v>1.3</v>
      </c>
      <c r="D569" s="9">
        <v>0.5</v>
      </c>
      <c r="E569" s="9">
        <v>0.8</v>
      </c>
      <c r="F569" s="9"/>
      <c r="G569" s="9"/>
      <c r="H569" s="9"/>
      <c r="I569" s="9"/>
    </row>
    <row r="570" spans="1:9" x14ac:dyDescent="0.25">
      <c r="A570" s="173"/>
      <c r="B570" s="21" t="s">
        <v>295</v>
      </c>
      <c r="C570" s="3"/>
      <c r="D570" s="1"/>
      <c r="E570" s="1"/>
      <c r="F570" s="1"/>
      <c r="G570" s="1"/>
      <c r="H570" s="2"/>
      <c r="I570" s="2"/>
    </row>
    <row r="571" spans="1:9" x14ac:dyDescent="0.25">
      <c r="A571" s="173" t="s">
        <v>178</v>
      </c>
      <c r="B571" s="21" t="s">
        <v>403</v>
      </c>
      <c r="C571" s="3">
        <f>SUM(D571:I571)</f>
        <v>140</v>
      </c>
      <c r="D571" s="3">
        <f>D572+D573+D574</f>
        <v>43.2</v>
      </c>
      <c r="E571" s="3">
        <f>E572+E573+E574</f>
        <v>96.8</v>
      </c>
      <c r="F571" s="3"/>
      <c r="G571" s="3"/>
      <c r="H571" s="3"/>
      <c r="I571" s="3"/>
    </row>
    <row r="572" spans="1:9" x14ac:dyDescent="0.25">
      <c r="A572" s="173"/>
      <c r="B572" s="21" t="s">
        <v>292</v>
      </c>
      <c r="C572" s="3">
        <f>SUM(D572:I572)</f>
        <v>138.6</v>
      </c>
      <c r="D572" s="3">
        <v>42.8</v>
      </c>
      <c r="E572" s="3">
        <v>95.8</v>
      </c>
      <c r="F572" s="3"/>
      <c r="G572" s="3"/>
      <c r="H572" s="3"/>
      <c r="I572" s="3"/>
    </row>
    <row r="573" spans="1:9" x14ac:dyDescent="0.25">
      <c r="A573" s="173"/>
      <c r="B573" s="21" t="s">
        <v>293</v>
      </c>
      <c r="C573" s="3">
        <f>SUM(D573:I573)</f>
        <v>0.7</v>
      </c>
      <c r="D573" s="3">
        <v>0.2</v>
      </c>
      <c r="E573" s="3">
        <v>0.5</v>
      </c>
      <c r="F573" s="3"/>
      <c r="G573" s="3"/>
      <c r="H573" s="3"/>
      <c r="I573" s="3"/>
    </row>
    <row r="574" spans="1:9" x14ac:dyDescent="0.25">
      <c r="A574" s="173"/>
      <c r="B574" s="21" t="s">
        <v>294</v>
      </c>
      <c r="C574" s="3">
        <f>SUM(D574:I574)</f>
        <v>0.7</v>
      </c>
      <c r="D574" s="9">
        <v>0.2</v>
      </c>
      <c r="E574" s="9">
        <v>0.5</v>
      </c>
      <c r="F574" s="9"/>
      <c r="G574" s="9"/>
      <c r="H574" s="9"/>
      <c r="I574" s="9"/>
    </row>
    <row r="575" spans="1:9" x14ac:dyDescent="0.25">
      <c r="A575" s="173"/>
      <c r="B575" s="21" t="s">
        <v>295</v>
      </c>
      <c r="C575" s="3"/>
      <c r="D575" s="3"/>
      <c r="E575" s="3"/>
      <c r="F575" s="3"/>
      <c r="G575" s="3"/>
      <c r="H575" s="3"/>
      <c r="I575" s="3"/>
    </row>
    <row r="576" spans="1:9" x14ac:dyDescent="0.25">
      <c r="A576" s="173" t="s">
        <v>180</v>
      </c>
      <c r="B576" s="21" t="s">
        <v>403</v>
      </c>
      <c r="C576" s="3">
        <f>SUM(D576:I576)</f>
        <v>169.8</v>
      </c>
      <c r="D576" s="3">
        <f>D577+D578+D579</f>
        <v>64.2</v>
      </c>
      <c r="E576" s="3">
        <f>E577+E578+E579</f>
        <v>105.6</v>
      </c>
      <c r="F576" s="3"/>
      <c r="G576" s="3"/>
      <c r="H576" s="3"/>
      <c r="I576" s="3"/>
    </row>
    <row r="577" spans="1:9" x14ac:dyDescent="0.25">
      <c r="A577" s="173"/>
      <c r="B577" s="21" t="s">
        <v>292</v>
      </c>
      <c r="C577" s="3">
        <f>SUM(D577:I577)</f>
        <v>168.2</v>
      </c>
      <c r="D577" s="3">
        <v>63.6</v>
      </c>
      <c r="E577" s="3">
        <v>104.6</v>
      </c>
      <c r="F577" s="3"/>
      <c r="G577" s="3"/>
      <c r="H577" s="3"/>
      <c r="I577" s="3"/>
    </row>
    <row r="578" spans="1:9" x14ac:dyDescent="0.25">
      <c r="A578" s="173"/>
      <c r="B578" s="21" t="s">
        <v>293</v>
      </c>
      <c r="C578" s="3">
        <f>SUM(D578:I578)</f>
        <v>0.8</v>
      </c>
      <c r="D578" s="3">
        <v>0.3</v>
      </c>
      <c r="E578" s="3">
        <v>0.5</v>
      </c>
      <c r="F578" s="3"/>
      <c r="G578" s="3"/>
      <c r="H578" s="3"/>
      <c r="I578" s="3"/>
    </row>
    <row r="579" spans="1:9" x14ac:dyDescent="0.25">
      <c r="A579" s="173"/>
      <c r="B579" s="21" t="s">
        <v>294</v>
      </c>
      <c r="C579" s="3">
        <f>SUM(D579:I579)</f>
        <v>0.8</v>
      </c>
      <c r="D579" s="9">
        <v>0.3</v>
      </c>
      <c r="E579" s="9">
        <v>0.5</v>
      </c>
      <c r="F579" s="9"/>
      <c r="G579" s="9"/>
      <c r="H579" s="9"/>
      <c r="I579" s="9"/>
    </row>
    <row r="580" spans="1:9" x14ac:dyDescent="0.25">
      <c r="A580" s="173"/>
      <c r="B580" s="21" t="s">
        <v>295</v>
      </c>
      <c r="C580" s="3"/>
      <c r="D580" s="3"/>
      <c r="E580" s="3"/>
      <c r="F580" s="3"/>
      <c r="G580" s="3"/>
      <c r="H580" s="3"/>
      <c r="I580" s="3"/>
    </row>
    <row r="581" spans="1:9" x14ac:dyDescent="0.25">
      <c r="A581" s="173" t="s">
        <v>181</v>
      </c>
      <c r="B581" s="21" t="s">
        <v>403</v>
      </c>
      <c r="C581" s="3">
        <f>SUM(D581:I581)</f>
        <v>171.5</v>
      </c>
      <c r="D581" s="3">
        <f>D582+D583+D584</f>
        <v>81.500000000000014</v>
      </c>
      <c r="E581" s="3">
        <f>E582+E583+E584</f>
        <v>90</v>
      </c>
      <c r="F581" s="3"/>
      <c r="G581" s="3"/>
      <c r="H581" s="3"/>
      <c r="I581" s="3"/>
    </row>
    <row r="582" spans="1:9" x14ac:dyDescent="0.25">
      <c r="A582" s="173"/>
      <c r="B582" s="21" t="s">
        <v>292</v>
      </c>
      <c r="C582" s="3">
        <f>SUM(D582:I582)</f>
        <v>169.8</v>
      </c>
      <c r="D582" s="3">
        <v>80.7</v>
      </c>
      <c r="E582" s="3">
        <v>89.1</v>
      </c>
      <c r="F582" s="3"/>
      <c r="G582" s="3"/>
      <c r="H582" s="3"/>
      <c r="I582" s="3"/>
    </row>
    <row r="583" spans="1:9" x14ac:dyDescent="0.25">
      <c r="A583" s="173"/>
      <c r="B583" s="21" t="s">
        <v>293</v>
      </c>
      <c r="C583" s="3">
        <f>SUM(D583:I583)</f>
        <v>0.85000000000000009</v>
      </c>
      <c r="D583" s="3">
        <v>0.4</v>
      </c>
      <c r="E583" s="3">
        <v>0.45</v>
      </c>
      <c r="F583" s="3"/>
      <c r="G583" s="3"/>
      <c r="H583" s="3"/>
      <c r="I583" s="3"/>
    </row>
    <row r="584" spans="1:9" x14ac:dyDescent="0.25">
      <c r="A584" s="173"/>
      <c r="B584" s="21" t="s">
        <v>294</v>
      </c>
      <c r="C584" s="3">
        <f>SUM(D584:I584)</f>
        <v>0.85000000000000009</v>
      </c>
      <c r="D584" s="9">
        <v>0.4</v>
      </c>
      <c r="E584" s="9">
        <v>0.45</v>
      </c>
      <c r="F584" s="9"/>
      <c r="G584" s="9"/>
      <c r="H584" s="9"/>
      <c r="I584" s="9"/>
    </row>
    <row r="585" spans="1:9" ht="21.75" customHeight="1" x14ac:dyDescent="0.25">
      <c r="A585" s="173"/>
      <c r="B585" s="21" t="s">
        <v>295</v>
      </c>
      <c r="C585" s="3"/>
      <c r="D585" s="3"/>
      <c r="E585" s="3"/>
      <c r="F585" s="3"/>
      <c r="G585" s="3"/>
      <c r="H585" s="3"/>
      <c r="I585" s="3"/>
    </row>
    <row r="586" spans="1:9" x14ac:dyDescent="0.25">
      <c r="A586" s="173" t="s">
        <v>185</v>
      </c>
      <c r="B586" s="21" t="s">
        <v>403</v>
      </c>
      <c r="C586" s="3">
        <f>SUM(D586:I586)</f>
        <v>218.2</v>
      </c>
      <c r="D586" s="3">
        <f>D587+D588+D589</f>
        <v>101.8</v>
      </c>
      <c r="E586" s="3">
        <f>E587+E588+E589</f>
        <v>116.39999999999999</v>
      </c>
      <c r="F586" s="3"/>
      <c r="G586" s="3"/>
      <c r="H586" s="3"/>
      <c r="I586" s="3"/>
    </row>
    <row r="587" spans="1:9" x14ac:dyDescent="0.25">
      <c r="A587" s="173"/>
      <c r="B587" s="21" t="s">
        <v>292</v>
      </c>
      <c r="C587" s="3">
        <f>SUM(D587:I587)</f>
        <v>216.1</v>
      </c>
      <c r="D587" s="3">
        <v>100.8</v>
      </c>
      <c r="E587" s="3">
        <v>115.3</v>
      </c>
      <c r="F587" s="3"/>
      <c r="G587" s="3"/>
      <c r="H587" s="3"/>
      <c r="I587" s="3"/>
    </row>
    <row r="588" spans="1:9" x14ac:dyDescent="0.25">
      <c r="A588" s="173"/>
      <c r="B588" s="21" t="s">
        <v>293</v>
      </c>
      <c r="C588" s="3">
        <f>SUM(D588:I588)</f>
        <v>1.05</v>
      </c>
      <c r="D588" s="3">
        <v>0.5</v>
      </c>
      <c r="E588" s="3">
        <v>0.55000000000000004</v>
      </c>
      <c r="F588" s="3"/>
      <c r="G588" s="3"/>
      <c r="H588" s="3"/>
      <c r="I588" s="3"/>
    </row>
    <row r="589" spans="1:9" x14ac:dyDescent="0.25">
      <c r="A589" s="173"/>
      <c r="B589" s="21" t="s">
        <v>294</v>
      </c>
      <c r="C589" s="3">
        <f>SUM(D589:I589)</f>
        <v>1.05</v>
      </c>
      <c r="D589" s="9">
        <v>0.5</v>
      </c>
      <c r="E589" s="9">
        <v>0.55000000000000004</v>
      </c>
      <c r="F589" s="9"/>
      <c r="G589" s="9"/>
      <c r="H589" s="9"/>
      <c r="I589" s="9"/>
    </row>
    <row r="590" spans="1:9" ht="21.75" customHeight="1" x14ac:dyDescent="0.25">
      <c r="A590" s="173"/>
      <c r="B590" s="21" t="s">
        <v>295</v>
      </c>
      <c r="C590" s="3"/>
      <c r="D590" s="3"/>
      <c r="E590" s="3"/>
      <c r="F590" s="3"/>
      <c r="G590" s="3"/>
      <c r="H590" s="3"/>
      <c r="I590" s="3"/>
    </row>
    <row r="591" spans="1:9" x14ac:dyDescent="0.25">
      <c r="A591" s="173" t="s">
        <v>183</v>
      </c>
      <c r="B591" s="21" t="s">
        <v>403</v>
      </c>
      <c r="C591" s="3">
        <f>SUM(D591:I591)</f>
        <v>94</v>
      </c>
      <c r="D591" s="3">
        <f>D592+D593+D594</f>
        <v>49</v>
      </c>
      <c r="E591" s="3">
        <f>E592+E593+E594</f>
        <v>45</v>
      </c>
      <c r="F591" s="3"/>
      <c r="G591" s="3"/>
      <c r="H591" s="3"/>
      <c r="I591" s="3"/>
    </row>
    <row r="592" spans="1:9" x14ac:dyDescent="0.25">
      <c r="A592" s="173"/>
      <c r="B592" s="21" t="s">
        <v>292</v>
      </c>
      <c r="C592" s="3">
        <f>SUM(D592:I592)</f>
        <v>93</v>
      </c>
      <c r="D592" s="3">
        <v>48.5</v>
      </c>
      <c r="E592" s="3">
        <v>44.5</v>
      </c>
      <c r="F592" s="3"/>
      <c r="G592" s="3"/>
      <c r="H592" s="3"/>
      <c r="I592" s="3"/>
    </row>
    <row r="593" spans="1:9" x14ac:dyDescent="0.25">
      <c r="A593" s="173"/>
      <c r="B593" s="21" t="s">
        <v>293</v>
      </c>
      <c r="C593" s="3">
        <f>SUM(D593:I593)</f>
        <v>0.5</v>
      </c>
      <c r="D593" s="3">
        <v>0.25</v>
      </c>
      <c r="E593" s="3">
        <v>0.25</v>
      </c>
      <c r="F593" s="3"/>
      <c r="G593" s="3"/>
      <c r="H593" s="3"/>
      <c r="I593" s="3"/>
    </row>
    <row r="594" spans="1:9" x14ac:dyDescent="0.25">
      <c r="A594" s="173"/>
      <c r="B594" s="21" t="s">
        <v>294</v>
      </c>
      <c r="C594" s="3">
        <f>SUM(D594:I594)</f>
        <v>0.5</v>
      </c>
      <c r="D594" s="9">
        <v>0.25</v>
      </c>
      <c r="E594" s="9">
        <v>0.25</v>
      </c>
      <c r="F594" s="9"/>
      <c r="G594" s="9"/>
      <c r="H594" s="9"/>
      <c r="I594" s="9"/>
    </row>
    <row r="595" spans="1:9" ht="21.75" customHeight="1" x14ac:dyDescent="0.25">
      <c r="A595" s="173"/>
      <c r="B595" s="21" t="s">
        <v>295</v>
      </c>
      <c r="C595" s="3"/>
      <c r="D595" s="3"/>
      <c r="E595" s="3"/>
      <c r="F595" s="3"/>
      <c r="G595" s="3"/>
      <c r="H595" s="3"/>
      <c r="I595" s="3"/>
    </row>
    <row r="596" spans="1:9" x14ac:dyDescent="0.25">
      <c r="A596" s="173" t="s">
        <v>184</v>
      </c>
      <c r="B596" s="21" t="s">
        <v>403</v>
      </c>
      <c r="C596" s="3">
        <f>SUM(D596:I596)</f>
        <v>1269.1000000000001</v>
      </c>
      <c r="D596" s="3">
        <f>D597+D598+D599</f>
        <v>6.3</v>
      </c>
      <c r="E596" s="3">
        <f>E597+E598+E599</f>
        <v>581.40000000000009</v>
      </c>
      <c r="F596" s="3">
        <f>F597+F598+F599</f>
        <v>681.40000000000009</v>
      </c>
      <c r="G596" s="3"/>
      <c r="H596" s="3"/>
      <c r="I596" s="3"/>
    </row>
    <row r="597" spans="1:9" x14ac:dyDescent="0.25">
      <c r="A597" s="173"/>
      <c r="B597" s="21" t="s">
        <v>292</v>
      </c>
      <c r="C597" s="3">
        <f>SUM(D597:I597)</f>
        <v>1151.2</v>
      </c>
      <c r="D597" s="3">
        <v>0</v>
      </c>
      <c r="E597" s="3">
        <v>575.6</v>
      </c>
      <c r="F597" s="3">
        <v>575.6</v>
      </c>
      <c r="G597" s="3"/>
      <c r="H597" s="3"/>
      <c r="I597" s="3"/>
    </row>
    <row r="598" spans="1:9" x14ac:dyDescent="0.25">
      <c r="A598" s="173"/>
      <c r="B598" s="21" t="s">
        <v>293</v>
      </c>
      <c r="C598" s="3">
        <f>SUM(D598:I598)</f>
        <v>94.199999999999989</v>
      </c>
      <c r="D598" s="3">
        <v>5</v>
      </c>
      <c r="E598" s="3">
        <v>4.5999999999999996</v>
      </c>
      <c r="F598" s="3">
        <v>84.6</v>
      </c>
      <c r="G598" s="3"/>
      <c r="H598" s="3"/>
      <c r="I598" s="3"/>
    </row>
    <row r="599" spans="1:9" x14ac:dyDescent="0.25">
      <c r="A599" s="173"/>
      <c r="B599" s="21" t="s">
        <v>294</v>
      </c>
      <c r="C599" s="3">
        <f>SUM(D599:I599)</f>
        <v>23.7</v>
      </c>
      <c r="D599" s="9">
        <v>1.3</v>
      </c>
      <c r="E599" s="9">
        <v>1.2</v>
      </c>
      <c r="F599" s="9">
        <v>21.2</v>
      </c>
      <c r="G599" s="9"/>
      <c r="H599" s="9"/>
      <c r="I599" s="9"/>
    </row>
    <row r="600" spans="1:9" ht="26.25" customHeight="1" x14ac:dyDescent="0.25">
      <c r="A600" s="173"/>
      <c r="B600" s="21" t="s">
        <v>295</v>
      </c>
      <c r="C600" s="3"/>
      <c r="D600" s="3"/>
      <c r="E600" s="3"/>
      <c r="F600" s="3"/>
      <c r="G600" s="3"/>
      <c r="H600" s="3"/>
      <c r="I600" s="3"/>
    </row>
    <row r="601" spans="1:9" x14ac:dyDescent="0.25">
      <c r="A601" s="173" t="s">
        <v>112</v>
      </c>
      <c r="B601" s="21" t="s">
        <v>403</v>
      </c>
      <c r="C601" s="3">
        <f>SUM(D601:I601)</f>
        <v>322.10000000000002</v>
      </c>
      <c r="D601" s="3"/>
      <c r="E601" s="3">
        <f>SUM(E602:E605)</f>
        <v>82.100000000000009</v>
      </c>
      <c r="F601" s="3">
        <f t="shared" ref="F601:G601" si="138">SUM(F602:F605)</f>
        <v>120</v>
      </c>
      <c r="G601" s="3">
        <f t="shared" si="138"/>
        <v>120</v>
      </c>
      <c r="H601" s="3"/>
      <c r="I601" s="3"/>
    </row>
    <row r="602" spans="1:9" x14ac:dyDescent="0.25">
      <c r="A602" s="173"/>
      <c r="B602" s="21" t="s">
        <v>292</v>
      </c>
      <c r="C602" s="3"/>
      <c r="D602" s="3"/>
      <c r="E602" s="3"/>
      <c r="F602" s="3"/>
      <c r="G602" s="3"/>
      <c r="H602" s="3"/>
      <c r="I602" s="3"/>
    </row>
    <row r="603" spans="1:9" x14ac:dyDescent="0.25">
      <c r="A603" s="173"/>
      <c r="B603" s="21" t="s">
        <v>293</v>
      </c>
      <c r="C603" s="3">
        <f>SUM(D603:I603)</f>
        <v>257.68</v>
      </c>
      <c r="D603" s="3"/>
      <c r="E603" s="3">
        <v>65.680000000000007</v>
      </c>
      <c r="F603" s="3">
        <v>96</v>
      </c>
      <c r="G603" s="3">
        <v>96</v>
      </c>
      <c r="H603" s="3"/>
      <c r="I603" s="3"/>
    </row>
    <row r="604" spans="1:9" x14ac:dyDescent="0.25">
      <c r="A604" s="173"/>
      <c r="B604" s="21" t="s">
        <v>294</v>
      </c>
      <c r="C604" s="3">
        <f>SUM(D604:I604)</f>
        <v>64.42</v>
      </c>
      <c r="D604" s="9"/>
      <c r="E604" s="9">
        <v>16.420000000000002</v>
      </c>
      <c r="F604" s="9">
        <v>24</v>
      </c>
      <c r="G604" s="9">
        <v>24</v>
      </c>
      <c r="H604" s="9"/>
      <c r="I604" s="9"/>
    </row>
    <row r="605" spans="1:9" ht="27.75" customHeight="1" x14ac:dyDescent="0.25">
      <c r="A605" s="173"/>
      <c r="B605" s="21" t="s">
        <v>295</v>
      </c>
      <c r="C605" s="3">
        <f>SUM(D605:I605)</f>
        <v>0</v>
      </c>
      <c r="D605" s="3"/>
      <c r="E605" s="3"/>
      <c r="F605" s="3"/>
      <c r="G605" s="3"/>
      <c r="H605" s="3"/>
      <c r="I605" s="3"/>
    </row>
    <row r="606" spans="1:9" x14ac:dyDescent="0.25">
      <c r="A606" s="173" t="s">
        <v>114</v>
      </c>
      <c r="B606" s="21" t="s">
        <v>403</v>
      </c>
      <c r="C606" s="3">
        <f>SUM(D606:I606)</f>
        <v>91</v>
      </c>
      <c r="D606" s="3"/>
      <c r="E606" s="3">
        <f>SUM(E607:E610)</f>
        <v>30</v>
      </c>
      <c r="F606" s="3">
        <f t="shared" ref="F606" si="139">SUM(F607:F610)</f>
        <v>61</v>
      </c>
      <c r="G606" s="3">
        <f t="shared" ref="G606" si="140">SUM(G607:G610)</f>
        <v>0</v>
      </c>
      <c r="H606" s="3"/>
      <c r="I606" s="3"/>
    </row>
    <row r="607" spans="1:9" x14ac:dyDescent="0.25">
      <c r="A607" s="173"/>
      <c r="B607" s="21" t="s">
        <v>292</v>
      </c>
      <c r="C607" s="3"/>
      <c r="D607" s="3"/>
      <c r="E607" s="3"/>
      <c r="F607" s="3"/>
      <c r="G607" s="3"/>
      <c r="H607" s="3"/>
      <c r="I607" s="3"/>
    </row>
    <row r="608" spans="1:9" x14ac:dyDescent="0.25">
      <c r="A608" s="173"/>
      <c r="B608" s="21" t="s">
        <v>293</v>
      </c>
      <c r="C608" s="3">
        <f>SUM(D608:I608)</f>
        <v>72.8</v>
      </c>
      <c r="D608" s="3"/>
      <c r="E608" s="3">
        <v>24</v>
      </c>
      <c r="F608" s="3">
        <v>48.8</v>
      </c>
      <c r="G608" s="3"/>
      <c r="H608" s="3"/>
      <c r="I608" s="3"/>
    </row>
    <row r="609" spans="1:9" x14ac:dyDescent="0.25">
      <c r="A609" s="173"/>
      <c r="B609" s="21" t="s">
        <v>294</v>
      </c>
      <c r="C609" s="3">
        <f t="shared" ref="C609:C610" si="141">SUM(D609:I609)</f>
        <v>18.2</v>
      </c>
      <c r="D609" s="9"/>
      <c r="E609" s="9">
        <v>6</v>
      </c>
      <c r="F609" s="9">
        <v>12.2</v>
      </c>
      <c r="G609" s="9"/>
      <c r="H609" s="9"/>
      <c r="I609" s="9"/>
    </row>
    <row r="610" spans="1:9" x14ac:dyDescent="0.25">
      <c r="A610" s="173"/>
      <c r="B610" s="21" t="s">
        <v>295</v>
      </c>
      <c r="C610" s="3">
        <f t="shared" si="141"/>
        <v>0</v>
      </c>
      <c r="D610" s="3"/>
      <c r="E610" s="3"/>
      <c r="F610" s="3"/>
      <c r="G610" s="3"/>
      <c r="H610" s="3"/>
      <c r="I610" s="3"/>
    </row>
    <row r="611" spans="1:9" x14ac:dyDescent="0.25">
      <c r="A611" s="173" t="s">
        <v>115</v>
      </c>
      <c r="B611" s="21" t="s">
        <v>403</v>
      </c>
      <c r="C611" s="3">
        <f>SUM(D611:I611)</f>
        <v>1500</v>
      </c>
      <c r="D611" s="3"/>
      <c r="E611" s="3">
        <f>SUM(E612:E615)</f>
        <v>300</v>
      </c>
      <c r="F611" s="3">
        <f t="shared" ref="F611" si="142">SUM(F612:F615)</f>
        <v>300</v>
      </c>
      <c r="G611" s="3">
        <f>SUM(G612:G615)</f>
        <v>300</v>
      </c>
      <c r="H611" s="3">
        <f t="shared" ref="H611" si="143">SUM(H612:H615)</f>
        <v>300</v>
      </c>
      <c r="I611" s="3">
        <f t="shared" ref="I611" si="144">SUM(I612:I615)</f>
        <v>300</v>
      </c>
    </row>
    <row r="612" spans="1:9" x14ac:dyDescent="0.25">
      <c r="A612" s="173"/>
      <c r="B612" s="21" t="s">
        <v>292</v>
      </c>
      <c r="C612" s="3"/>
      <c r="D612" s="3"/>
      <c r="E612" s="3"/>
      <c r="F612" s="3"/>
      <c r="G612" s="3"/>
      <c r="H612" s="3"/>
      <c r="I612" s="3"/>
    </row>
    <row r="613" spans="1:9" x14ac:dyDescent="0.25">
      <c r="A613" s="173"/>
      <c r="B613" s="21" t="s">
        <v>293</v>
      </c>
      <c r="C613" s="3">
        <f>SUM(D613:I613)</f>
        <v>1200</v>
      </c>
      <c r="D613" s="3"/>
      <c r="E613" s="3">
        <v>240</v>
      </c>
      <c r="F613" s="3">
        <v>240</v>
      </c>
      <c r="G613" s="3">
        <v>240</v>
      </c>
      <c r="H613" s="3">
        <v>240</v>
      </c>
      <c r="I613" s="3">
        <v>240</v>
      </c>
    </row>
    <row r="614" spans="1:9" x14ac:dyDescent="0.25">
      <c r="A614" s="173"/>
      <c r="B614" s="21" t="s">
        <v>294</v>
      </c>
      <c r="C614" s="3">
        <f t="shared" ref="C614:C615" si="145">SUM(D614:I614)</f>
        <v>300</v>
      </c>
      <c r="D614" s="9"/>
      <c r="E614" s="9">
        <v>60</v>
      </c>
      <c r="F614" s="9">
        <v>60</v>
      </c>
      <c r="G614" s="9">
        <v>60</v>
      </c>
      <c r="H614" s="9">
        <v>60</v>
      </c>
      <c r="I614" s="9">
        <v>60</v>
      </c>
    </row>
    <row r="615" spans="1:9" x14ac:dyDescent="0.25">
      <c r="A615" s="173"/>
      <c r="B615" s="21" t="s">
        <v>295</v>
      </c>
      <c r="C615" s="3">
        <f t="shared" si="145"/>
        <v>0</v>
      </c>
      <c r="D615" s="3"/>
      <c r="E615" s="3"/>
      <c r="F615" s="3"/>
      <c r="G615" s="3"/>
      <c r="H615" s="3"/>
      <c r="I615" s="3"/>
    </row>
    <row r="616" spans="1:9" x14ac:dyDescent="0.25">
      <c r="A616" s="173" t="s">
        <v>116</v>
      </c>
      <c r="B616" s="21" t="s">
        <v>403</v>
      </c>
      <c r="C616" s="3">
        <f>SUM(D616:I616)</f>
        <v>60.25</v>
      </c>
      <c r="D616" s="3"/>
      <c r="E616" s="3">
        <f>SUM(E617:E620)</f>
        <v>60.25</v>
      </c>
      <c r="F616" s="3">
        <f t="shared" ref="F616" si="146">SUM(F617:F620)</f>
        <v>0</v>
      </c>
      <c r="G616" s="3">
        <f t="shared" ref="G616" si="147">SUM(G617:G620)</f>
        <v>0</v>
      </c>
      <c r="H616" s="3"/>
      <c r="I616" s="3"/>
    </row>
    <row r="617" spans="1:9" x14ac:dyDescent="0.25">
      <c r="A617" s="173"/>
      <c r="B617" s="21" t="s">
        <v>292</v>
      </c>
      <c r="C617" s="3"/>
      <c r="D617" s="3"/>
      <c r="E617" s="3"/>
      <c r="F617" s="3"/>
      <c r="G617" s="3"/>
      <c r="H617" s="3"/>
      <c r="I617" s="3"/>
    </row>
    <row r="618" spans="1:9" x14ac:dyDescent="0.25">
      <c r="A618" s="173"/>
      <c r="B618" s="21" t="s">
        <v>293</v>
      </c>
      <c r="C618" s="3">
        <f>SUM(D618:I618)</f>
        <v>48.2</v>
      </c>
      <c r="D618" s="3"/>
      <c r="E618" s="3">
        <v>48.2</v>
      </c>
      <c r="F618" s="3"/>
      <c r="G618" s="3"/>
      <c r="H618" s="3"/>
      <c r="I618" s="3"/>
    </row>
    <row r="619" spans="1:9" x14ac:dyDescent="0.25">
      <c r="A619" s="173"/>
      <c r="B619" s="21" t="s">
        <v>294</v>
      </c>
      <c r="C619" s="3">
        <f t="shared" ref="C619:C620" si="148">SUM(D619:I619)</f>
        <v>12.05</v>
      </c>
      <c r="D619" s="9"/>
      <c r="E619" s="9">
        <v>12.05</v>
      </c>
      <c r="F619" s="9"/>
      <c r="G619" s="9"/>
      <c r="H619" s="9"/>
      <c r="I619" s="9"/>
    </row>
    <row r="620" spans="1:9" ht="33.75" customHeight="1" x14ac:dyDescent="0.25">
      <c r="A620" s="173"/>
      <c r="B620" s="21" t="s">
        <v>295</v>
      </c>
      <c r="C620" s="3">
        <f t="shared" si="148"/>
        <v>0</v>
      </c>
      <c r="D620" s="3"/>
      <c r="E620" s="3"/>
      <c r="F620" s="3"/>
      <c r="G620" s="3"/>
      <c r="H620" s="3"/>
      <c r="I620" s="3"/>
    </row>
    <row r="621" spans="1:9" x14ac:dyDescent="0.25">
      <c r="A621" s="173" t="s">
        <v>117</v>
      </c>
      <c r="B621" s="21" t="s">
        <v>403</v>
      </c>
      <c r="C621" s="3">
        <f>SUM(D621:I621)</f>
        <v>124.2</v>
      </c>
      <c r="D621" s="3"/>
      <c r="E621" s="3">
        <f t="shared" ref="E621:F621" si="149">SUM(E622:E625)</f>
        <v>41</v>
      </c>
      <c r="F621" s="3">
        <f t="shared" si="149"/>
        <v>83.2</v>
      </c>
      <c r="G621" s="3"/>
      <c r="H621" s="3"/>
      <c r="I621" s="3"/>
    </row>
    <row r="622" spans="1:9" x14ac:dyDescent="0.25">
      <c r="A622" s="173"/>
      <c r="B622" s="21" t="s">
        <v>292</v>
      </c>
      <c r="C622" s="3"/>
      <c r="D622" s="3"/>
      <c r="E622" s="3"/>
      <c r="F622" s="3"/>
      <c r="G622" s="3"/>
      <c r="H622" s="3"/>
      <c r="I622" s="3"/>
    </row>
    <row r="623" spans="1:9" x14ac:dyDescent="0.25">
      <c r="A623" s="173"/>
      <c r="B623" s="21" t="s">
        <v>293</v>
      </c>
      <c r="C623" s="3">
        <f>SUM(D623:I623)</f>
        <v>99.36</v>
      </c>
      <c r="D623" s="3"/>
      <c r="E623" s="3">
        <v>32.799999999999997</v>
      </c>
      <c r="F623" s="3">
        <v>66.56</v>
      </c>
      <c r="G623" s="3"/>
      <c r="H623" s="3"/>
      <c r="I623" s="3"/>
    </row>
    <row r="624" spans="1:9" x14ac:dyDescent="0.25">
      <c r="A624" s="173"/>
      <c r="B624" s="21" t="s">
        <v>294</v>
      </c>
      <c r="C624" s="3">
        <f t="shared" ref="C624:C625" si="150">SUM(D624:I624)</f>
        <v>24.84</v>
      </c>
      <c r="D624" s="9"/>
      <c r="E624" s="9">
        <v>8.1999999999999993</v>
      </c>
      <c r="F624" s="9">
        <v>16.64</v>
      </c>
      <c r="G624" s="9"/>
      <c r="H624" s="9"/>
      <c r="I624" s="9"/>
    </row>
    <row r="625" spans="1:10" x14ac:dyDescent="0.25">
      <c r="A625" s="173"/>
      <c r="B625" s="21" t="s">
        <v>295</v>
      </c>
      <c r="C625" s="3">
        <f t="shared" si="150"/>
        <v>0</v>
      </c>
      <c r="D625" s="3"/>
      <c r="E625" s="3"/>
      <c r="F625" s="3"/>
      <c r="G625" s="3"/>
      <c r="H625" s="3"/>
      <c r="I625" s="3"/>
    </row>
    <row r="626" spans="1:10" x14ac:dyDescent="0.25">
      <c r="A626" s="173" t="s">
        <v>118</v>
      </c>
      <c r="B626" s="21" t="s">
        <v>403</v>
      </c>
      <c r="C626" s="3">
        <f>SUM(D626:I626)</f>
        <v>310</v>
      </c>
      <c r="D626" s="3"/>
      <c r="E626" s="3">
        <f t="shared" ref="E626:G626" si="151">SUM(E627:E630)</f>
        <v>170</v>
      </c>
      <c r="F626" s="3">
        <f t="shared" si="151"/>
        <v>70</v>
      </c>
      <c r="G626" s="3">
        <f t="shared" si="151"/>
        <v>70</v>
      </c>
      <c r="H626" s="3"/>
      <c r="I626" s="3"/>
    </row>
    <row r="627" spans="1:10" x14ac:dyDescent="0.25">
      <c r="A627" s="173"/>
      <c r="B627" s="21" t="s">
        <v>292</v>
      </c>
      <c r="C627" s="3"/>
      <c r="D627" s="3"/>
      <c r="E627" s="3"/>
      <c r="F627" s="3"/>
      <c r="G627" s="3"/>
      <c r="H627" s="3"/>
      <c r="I627" s="3"/>
    </row>
    <row r="628" spans="1:10" x14ac:dyDescent="0.25">
      <c r="A628" s="173"/>
      <c r="B628" s="21" t="s">
        <v>293</v>
      </c>
      <c r="C628" s="3">
        <f>SUM(D628:I628)</f>
        <v>248</v>
      </c>
      <c r="D628" s="3"/>
      <c r="E628" s="3">
        <v>136</v>
      </c>
      <c r="F628" s="3">
        <v>56</v>
      </c>
      <c r="G628" s="3">
        <v>56</v>
      </c>
      <c r="H628" s="3"/>
      <c r="I628" s="3"/>
    </row>
    <row r="629" spans="1:10" x14ac:dyDescent="0.25">
      <c r="A629" s="173"/>
      <c r="B629" s="21" t="s">
        <v>294</v>
      </c>
      <c r="C629" s="3">
        <f t="shared" ref="C629:C630" si="152">SUM(D629:I629)</f>
        <v>62</v>
      </c>
      <c r="D629" s="9"/>
      <c r="E629" s="9">
        <v>34</v>
      </c>
      <c r="F629" s="9">
        <v>14</v>
      </c>
      <c r="G629" s="9">
        <v>14</v>
      </c>
      <c r="H629" s="9"/>
      <c r="I629" s="9"/>
    </row>
    <row r="630" spans="1:10" x14ac:dyDescent="0.25">
      <c r="A630" s="173"/>
      <c r="B630" s="21" t="s">
        <v>295</v>
      </c>
      <c r="C630" s="3">
        <f t="shared" si="152"/>
        <v>0</v>
      </c>
      <c r="D630" s="3"/>
      <c r="E630" s="3"/>
      <c r="F630" s="3"/>
      <c r="G630" s="3"/>
      <c r="H630" s="3"/>
      <c r="I630" s="3"/>
    </row>
    <row r="631" spans="1:10" collapsed="1" x14ac:dyDescent="0.25">
      <c r="A631" s="179" t="s">
        <v>32</v>
      </c>
      <c r="B631" s="21" t="s">
        <v>403</v>
      </c>
      <c r="C631" s="10">
        <f>SUMIF($B$506:$B$630,"Всего*",C$506:C$630)</f>
        <v>11898.750000000002</v>
      </c>
      <c r="D631" s="10">
        <f t="shared" ref="D631:I631" si="153">SUMIF($B$506:$B$630,"Всего*",D$506:D$630)</f>
        <v>452.20000000000005</v>
      </c>
      <c r="E631" s="10">
        <f t="shared" si="153"/>
        <v>1962.9499999999998</v>
      </c>
      <c r="F631" s="10">
        <f t="shared" si="153"/>
        <v>2435.6</v>
      </c>
      <c r="G631" s="10">
        <f t="shared" si="153"/>
        <v>1934</v>
      </c>
      <c r="H631" s="10">
        <f t="shared" si="153"/>
        <v>2464</v>
      </c>
      <c r="I631" s="10">
        <f t="shared" si="153"/>
        <v>2650</v>
      </c>
      <c r="J631" s="11"/>
    </row>
    <row r="632" spans="1:10" x14ac:dyDescent="0.25">
      <c r="A632" s="179"/>
      <c r="B632" s="21" t="s">
        <v>292</v>
      </c>
      <c r="C632" s="10">
        <f t="shared" ref="C632:I632" si="154">SUMIF($B$506:$B$630,"фед*",C$506:C$630)</f>
        <v>9263.7000000000007</v>
      </c>
      <c r="D632" s="10">
        <f t="shared" si="154"/>
        <v>441.5</v>
      </c>
      <c r="E632" s="10">
        <f t="shared" si="154"/>
        <v>1266.9000000000001</v>
      </c>
      <c r="F632" s="10">
        <f t="shared" si="154"/>
        <v>1684.4</v>
      </c>
      <c r="G632" s="10">
        <f t="shared" si="154"/>
        <v>1415.6999999999998</v>
      </c>
      <c r="H632" s="10">
        <f t="shared" si="154"/>
        <v>2128.6</v>
      </c>
      <c r="I632" s="10">
        <f t="shared" si="154"/>
        <v>2326.6</v>
      </c>
      <c r="J632" s="11"/>
    </row>
    <row r="633" spans="1:10" x14ac:dyDescent="0.25">
      <c r="A633" s="179"/>
      <c r="B633" s="21" t="s">
        <v>293</v>
      </c>
      <c r="C633" s="10">
        <f>SUMIF($B$506:$B$630,"респ*",C$506:C$630)</f>
        <v>2103.34</v>
      </c>
      <c r="D633" s="10">
        <f t="shared" ref="D633:I633" si="155">SUMIF($B$506:$B$630,"респ*",D$506:D$630)</f>
        <v>7.15</v>
      </c>
      <c r="E633" s="10">
        <f t="shared" si="155"/>
        <v>554.78</v>
      </c>
      <c r="F633" s="10">
        <f t="shared" si="155"/>
        <v>600.11</v>
      </c>
      <c r="G633" s="10">
        <f t="shared" si="155"/>
        <v>414.1</v>
      </c>
      <c r="H633" s="10">
        <f t="shared" si="155"/>
        <v>268.39999999999998</v>
      </c>
      <c r="I633" s="10">
        <f t="shared" si="155"/>
        <v>258.8</v>
      </c>
      <c r="J633" s="11"/>
    </row>
    <row r="634" spans="1:10" x14ac:dyDescent="0.25">
      <c r="A634" s="179"/>
      <c r="B634" s="21" t="s">
        <v>294</v>
      </c>
      <c r="C634" s="10">
        <f>SUMIF($B$506:$B$630,"муниц*",C$506:C$630)</f>
        <v>531.71</v>
      </c>
      <c r="D634" s="10">
        <f t="shared" ref="D634:I634" si="156">SUMIF($B$506:$B$630,"муниц*",D$506:D$630)</f>
        <v>3.45</v>
      </c>
      <c r="E634" s="10">
        <f t="shared" si="156"/>
        <v>141.37</v>
      </c>
      <c r="F634" s="10">
        <f t="shared" si="156"/>
        <v>151.09</v>
      </c>
      <c r="G634" s="10">
        <f t="shared" si="156"/>
        <v>104.2</v>
      </c>
      <c r="H634" s="10">
        <f t="shared" si="156"/>
        <v>67</v>
      </c>
      <c r="I634" s="10">
        <f t="shared" si="156"/>
        <v>64.599999999999994</v>
      </c>
    </row>
    <row r="635" spans="1:10" ht="27.75" customHeight="1" x14ac:dyDescent="0.25">
      <c r="A635" s="179"/>
      <c r="B635" s="21" t="s">
        <v>295</v>
      </c>
      <c r="C635" s="10">
        <f t="shared" ref="C635:I635" si="157">SUMIF($B$506:$B$630,"вне*",C$506:C$630)</f>
        <v>0</v>
      </c>
      <c r="D635" s="10">
        <f t="shared" si="157"/>
        <v>0</v>
      </c>
      <c r="E635" s="10">
        <f t="shared" si="157"/>
        <v>0</v>
      </c>
      <c r="F635" s="10">
        <f t="shared" si="157"/>
        <v>0</v>
      </c>
      <c r="G635" s="10">
        <f t="shared" si="157"/>
        <v>0</v>
      </c>
      <c r="H635" s="10">
        <f t="shared" si="157"/>
        <v>0</v>
      </c>
      <c r="I635" s="10">
        <f t="shared" si="157"/>
        <v>0</v>
      </c>
      <c r="J635" s="11"/>
    </row>
    <row r="636" spans="1:10" x14ac:dyDescent="0.25">
      <c r="A636" s="176" t="s">
        <v>154</v>
      </c>
      <c r="B636" s="176"/>
      <c r="C636" s="176"/>
      <c r="D636" s="176"/>
      <c r="E636" s="176"/>
      <c r="F636" s="176"/>
      <c r="G636" s="176"/>
      <c r="H636" s="176"/>
      <c r="I636" s="176"/>
    </row>
    <row r="637" spans="1:10" x14ac:dyDescent="0.25">
      <c r="A637" s="173" t="s">
        <v>156</v>
      </c>
      <c r="B637" s="21" t="s">
        <v>403</v>
      </c>
      <c r="C637" s="3">
        <f t="shared" ref="C637:C646" si="158">SUM(D637:I637)</f>
        <v>27</v>
      </c>
      <c r="D637" s="3">
        <f t="shared" ref="D637:I637" si="159">D638+D639+D641</f>
        <v>0</v>
      </c>
      <c r="E637" s="3">
        <f t="shared" si="159"/>
        <v>6</v>
      </c>
      <c r="F637" s="3">
        <f t="shared" si="159"/>
        <v>12</v>
      </c>
      <c r="G637" s="3">
        <f t="shared" si="159"/>
        <v>9</v>
      </c>
      <c r="H637" s="3">
        <f t="shared" si="159"/>
        <v>0</v>
      </c>
      <c r="I637" s="3">
        <f t="shared" si="159"/>
        <v>0</v>
      </c>
    </row>
    <row r="638" spans="1:10" x14ac:dyDescent="0.25">
      <c r="A638" s="173"/>
      <c r="B638" s="21" t="s">
        <v>292</v>
      </c>
      <c r="C638" s="3">
        <f t="shared" si="158"/>
        <v>0</v>
      </c>
      <c r="D638" s="3"/>
      <c r="E638" s="3"/>
      <c r="F638" s="3"/>
      <c r="G638" s="3"/>
      <c r="H638" s="3"/>
      <c r="I638" s="3"/>
    </row>
    <row r="639" spans="1:10" x14ac:dyDescent="0.25">
      <c r="A639" s="173"/>
      <c r="B639" s="21" t="s">
        <v>293</v>
      </c>
      <c r="C639" s="3">
        <f t="shared" si="158"/>
        <v>27</v>
      </c>
      <c r="D639" s="3"/>
      <c r="E639" s="3">
        <v>6</v>
      </c>
      <c r="F639" s="3">
        <v>12</v>
      </c>
      <c r="G639" s="3">
        <v>9</v>
      </c>
      <c r="H639" s="3"/>
      <c r="I639" s="3"/>
    </row>
    <row r="640" spans="1:10" x14ac:dyDescent="0.25">
      <c r="A640" s="173"/>
      <c r="B640" s="21" t="s">
        <v>294</v>
      </c>
      <c r="C640" s="3"/>
      <c r="D640" s="9"/>
      <c r="E640" s="9"/>
      <c r="F640" s="9"/>
      <c r="G640" s="9"/>
      <c r="H640" s="9"/>
      <c r="I640" s="9"/>
    </row>
    <row r="641" spans="1:9" x14ac:dyDescent="0.25">
      <c r="A641" s="173"/>
      <c r="B641" s="21" t="s">
        <v>295</v>
      </c>
      <c r="C641" s="3">
        <f t="shared" si="158"/>
        <v>0</v>
      </c>
      <c r="D641" s="3"/>
      <c r="E641" s="3"/>
      <c r="F641" s="3"/>
      <c r="G641" s="3"/>
      <c r="H641" s="3"/>
      <c r="I641" s="3"/>
    </row>
    <row r="642" spans="1:9" x14ac:dyDescent="0.25">
      <c r="A642" s="173" t="s">
        <v>157</v>
      </c>
      <c r="B642" s="21" t="s">
        <v>403</v>
      </c>
      <c r="C642" s="3">
        <f t="shared" si="158"/>
        <v>150</v>
      </c>
      <c r="D642" s="3">
        <f t="shared" ref="D642" si="160">D643+D644+D646</f>
        <v>0</v>
      </c>
      <c r="E642" s="3">
        <f>E643+E644+E645+E646</f>
        <v>30</v>
      </c>
      <c r="F642" s="3">
        <f t="shared" ref="F642:I642" si="161">F643+F644+F645+F646</f>
        <v>30</v>
      </c>
      <c r="G642" s="3">
        <f t="shared" si="161"/>
        <v>30</v>
      </c>
      <c r="H642" s="3">
        <f t="shared" si="161"/>
        <v>30</v>
      </c>
      <c r="I642" s="3">
        <f t="shared" si="161"/>
        <v>30</v>
      </c>
    </row>
    <row r="643" spans="1:9" x14ac:dyDescent="0.25">
      <c r="A643" s="173"/>
      <c r="B643" s="21" t="s">
        <v>292</v>
      </c>
      <c r="C643" s="3">
        <f t="shared" si="158"/>
        <v>0</v>
      </c>
      <c r="D643" s="3"/>
      <c r="E643" s="3"/>
      <c r="F643" s="3"/>
      <c r="G643" s="3"/>
      <c r="H643" s="3"/>
      <c r="I643" s="3"/>
    </row>
    <row r="644" spans="1:9" x14ac:dyDescent="0.25">
      <c r="A644" s="173"/>
      <c r="B644" s="21" t="s">
        <v>293</v>
      </c>
      <c r="C644" s="3">
        <f t="shared" si="158"/>
        <v>75</v>
      </c>
      <c r="D644" s="3"/>
      <c r="E644" s="3">
        <v>15</v>
      </c>
      <c r="F644" s="3">
        <v>15</v>
      </c>
      <c r="G644" s="3">
        <v>15</v>
      </c>
      <c r="H644" s="3">
        <v>15</v>
      </c>
      <c r="I644" s="3">
        <v>15</v>
      </c>
    </row>
    <row r="645" spans="1:9" x14ac:dyDescent="0.25">
      <c r="A645" s="173"/>
      <c r="B645" s="21" t="s">
        <v>294</v>
      </c>
      <c r="C645" s="3">
        <f t="shared" si="158"/>
        <v>75</v>
      </c>
      <c r="D645" s="9"/>
      <c r="E645" s="9">
        <v>15</v>
      </c>
      <c r="F645" s="9">
        <v>15</v>
      </c>
      <c r="G645" s="9">
        <v>15</v>
      </c>
      <c r="H645" s="9">
        <v>15</v>
      </c>
      <c r="I645" s="9">
        <v>15</v>
      </c>
    </row>
    <row r="646" spans="1:9" x14ac:dyDescent="0.25">
      <c r="A646" s="173"/>
      <c r="B646" s="21" t="s">
        <v>295</v>
      </c>
      <c r="C646" s="3">
        <f t="shared" si="158"/>
        <v>0</v>
      </c>
      <c r="D646" s="3"/>
      <c r="E646" s="3"/>
      <c r="F646" s="3"/>
      <c r="G646" s="3"/>
      <c r="H646" s="3"/>
      <c r="I646" s="3"/>
    </row>
    <row r="647" spans="1:9" x14ac:dyDescent="0.25">
      <c r="A647" s="173" t="s">
        <v>158</v>
      </c>
      <c r="B647" s="21" t="s">
        <v>403</v>
      </c>
      <c r="C647" s="3">
        <f>SUM(D647:I647)</f>
        <v>163.5</v>
      </c>
      <c r="D647" s="3">
        <f t="shared" ref="D647" si="162">D648+D649+D651</f>
        <v>0</v>
      </c>
      <c r="E647" s="3">
        <f>E648+E649+E650+E651</f>
        <v>32.700000000000003</v>
      </c>
      <c r="F647" s="3">
        <f t="shared" ref="F647:I647" si="163">F648+F649+F650+F651</f>
        <v>32.700000000000003</v>
      </c>
      <c r="G647" s="3">
        <f t="shared" si="163"/>
        <v>32.700000000000003</v>
      </c>
      <c r="H647" s="3">
        <f t="shared" si="163"/>
        <v>32.700000000000003</v>
      </c>
      <c r="I647" s="3">
        <f t="shared" si="163"/>
        <v>32.700000000000003</v>
      </c>
    </row>
    <row r="648" spans="1:9" x14ac:dyDescent="0.25">
      <c r="A648" s="173"/>
      <c r="B648" s="21" t="s">
        <v>292</v>
      </c>
      <c r="C648" s="3"/>
      <c r="D648" s="3"/>
      <c r="E648" s="3"/>
      <c r="F648" s="3"/>
      <c r="G648" s="3"/>
      <c r="H648" s="3"/>
      <c r="I648" s="3"/>
    </row>
    <row r="649" spans="1:9" x14ac:dyDescent="0.25">
      <c r="A649" s="173"/>
      <c r="B649" s="21" t="s">
        <v>293</v>
      </c>
      <c r="C649" s="3">
        <f>SUM(D649:I649)</f>
        <v>65</v>
      </c>
      <c r="D649" s="3"/>
      <c r="E649" s="3">
        <v>13</v>
      </c>
      <c r="F649" s="3">
        <v>13</v>
      </c>
      <c r="G649" s="3">
        <v>13</v>
      </c>
      <c r="H649" s="3">
        <v>13</v>
      </c>
      <c r="I649" s="3">
        <v>13</v>
      </c>
    </row>
    <row r="650" spans="1:9" x14ac:dyDescent="0.25">
      <c r="A650" s="173"/>
      <c r="B650" s="21" t="s">
        <v>294</v>
      </c>
      <c r="C650" s="3">
        <f>SUM(D650:I650)</f>
        <v>50</v>
      </c>
      <c r="D650" s="9"/>
      <c r="E650" s="9">
        <v>10</v>
      </c>
      <c r="F650" s="9">
        <v>10</v>
      </c>
      <c r="G650" s="9">
        <v>10</v>
      </c>
      <c r="H650" s="9">
        <v>10</v>
      </c>
      <c r="I650" s="9">
        <v>10</v>
      </c>
    </row>
    <row r="651" spans="1:9" x14ac:dyDescent="0.25">
      <c r="A651" s="173"/>
      <c r="B651" s="21" t="s">
        <v>295</v>
      </c>
      <c r="C651" s="3">
        <f>SUM(D651:I651)</f>
        <v>48.5</v>
      </c>
      <c r="D651" s="3"/>
      <c r="E651" s="3">
        <v>9.6999999999999993</v>
      </c>
      <c r="F651" s="3">
        <v>9.6999999999999993</v>
      </c>
      <c r="G651" s="3">
        <v>9.6999999999999993</v>
      </c>
      <c r="H651" s="3">
        <v>9.6999999999999993</v>
      </c>
      <c r="I651" s="3">
        <v>9.6999999999999993</v>
      </c>
    </row>
    <row r="652" spans="1:9" x14ac:dyDescent="0.25">
      <c r="A652" s="173" t="s">
        <v>159</v>
      </c>
      <c r="B652" s="21" t="s">
        <v>403</v>
      </c>
      <c r="C652" s="3">
        <f>SUM(D652:I652)</f>
        <v>100</v>
      </c>
      <c r="D652" s="3">
        <f t="shared" ref="D652:I652" si="164">D653+D654+D656</f>
        <v>0</v>
      </c>
      <c r="E652" s="3">
        <f>E653+E654+E655+E656</f>
        <v>60</v>
      </c>
      <c r="F652" s="3">
        <f>F653+F654+F655+F656</f>
        <v>40</v>
      </c>
      <c r="G652" s="3">
        <f t="shared" si="164"/>
        <v>0</v>
      </c>
      <c r="H652" s="3">
        <f t="shared" si="164"/>
        <v>0</v>
      </c>
      <c r="I652" s="3">
        <f t="shared" si="164"/>
        <v>0</v>
      </c>
    </row>
    <row r="653" spans="1:9" x14ac:dyDescent="0.25">
      <c r="A653" s="173"/>
      <c r="B653" s="21" t="s">
        <v>292</v>
      </c>
      <c r="C653" s="3"/>
      <c r="D653" s="3"/>
      <c r="E653" s="3"/>
      <c r="F653" s="3"/>
      <c r="G653" s="3"/>
      <c r="H653" s="3"/>
      <c r="I653" s="3"/>
    </row>
    <row r="654" spans="1:9" x14ac:dyDescent="0.25">
      <c r="A654" s="173"/>
      <c r="B654" s="21" t="s">
        <v>293</v>
      </c>
      <c r="C654" s="3">
        <f>SUM(D654:I654)</f>
        <v>80</v>
      </c>
      <c r="D654" s="3"/>
      <c r="E654" s="3">
        <v>50</v>
      </c>
      <c r="F654" s="3">
        <v>30</v>
      </c>
      <c r="G654" s="3"/>
      <c r="H654" s="3"/>
      <c r="I654" s="3"/>
    </row>
    <row r="655" spans="1:9" x14ac:dyDescent="0.25">
      <c r="A655" s="173"/>
      <c r="B655" s="21" t="s">
        <v>294</v>
      </c>
      <c r="C655" s="3">
        <f>SUM(D655:I655)</f>
        <v>20</v>
      </c>
      <c r="D655" s="9"/>
      <c r="E655" s="9">
        <v>10</v>
      </c>
      <c r="F655" s="9">
        <v>10</v>
      </c>
      <c r="G655" s="9"/>
      <c r="H655" s="9"/>
      <c r="I655" s="9"/>
    </row>
    <row r="656" spans="1:9" x14ac:dyDescent="0.25">
      <c r="A656" s="173"/>
      <c r="B656" s="21" t="s">
        <v>295</v>
      </c>
      <c r="C656" s="3"/>
      <c r="D656" s="3"/>
      <c r="E656" s="3"/>
      <c r="F656" s="3"/>
      <c r="G656" s="3"/>
      <c r="H656" s="3"/>
      <c r="I656" s="3"/>
    </row>
    <row r="657" spans="1:10" collapsed="1" x14ac:dyDescent="0.25">
      <c r="A657" s="179" t="s">
        <v>155</v>
      </c>
      <c r="B657" s="21" t="s">
        <v>403</v>
      </c>
      <c r="C657" s="10">
        <f>SUMIF($B$637:$B$656,"Всего*",C$637:C$656)</f>
        <v>440.5</v>
      </c>
      <c r="D657" s="10">
        <f t="shared" ref="D657:I657" si="165">SUMIF($B$637:$B$656,"Всего*",D$637:D$656)</f>
        <v>0</v>
      </c>
      <c r="E657" s="10">
        <f t="shared" si="165"/>
        <v>128.69999999999999</v>
      </c>
      <c r="F657" s="10">
        <f t="shared" si="165"/>
        <v>114.7</v>
      </c>
      <c r="G657" s="10">
        <f t="shared" si="165"/>
        <v>71.7</v>
      </c>
      <c r="H657" s="10">
        <f t="shared" si="165"/>
        <v>62.7</v>
      </c>
      <c r="I657" s="10">
        <f t="shared" si="165"/>
        <v>62.7</v>
      </c>
      <c r="J657" s="11"/>
    </row>
    <row r="658" spans="1:10" x14ac:dyDescent="0.25">
      <c r="A658" s="179"/>
      <c r="B658" s="21" t="s">
        <v>292</v>
      </c>
      <c r="C658" s="10">
        <f t="shared" ref="C658:I658" si="166">SUMIF($B$637:$B$656,"фед*",C$637:C$656)</f>
        <v>0</v>
      </c>
      <c r="D658" s="10">
        <f t="shared" si="166"/>
        <v>0</v>
      </c>
      <c r="E658" s="10">
        <f t="shared" si="166"/>
        <v>0</v>
      </c>
      <c r="F658" s="10">
        <f t="shared" si="166"/>
        <v>0</v>
      </c>
      <c r="G658" s="10">
        <f t="shared" si="166"/>
        <v>0</v>
      </c>
      <c r="H658" s="10">
        <f t="shared" si="166"/>
        <v>0</v>
      </c>
      <c r="I658" s="10">
        <f t="shared" si="166"/>
        <v>0</v>
      </c>
    </row>
    <row r="659" spans="1:10" x14ac:dyDescent="0.25">
      <c r="A659" s="179"/>
      <c r="B659" s="21" t="s">
        <v>293</v>
      </c>
      <c r="C659" s="10">
        <f>SUMIF($B$637:$B$656,"респ*",C$637:C$656)</f>
        <v>247</v>
      </c>
      <c r="D659" s="10">
        <f t="shared" ref="D659:I659" si="167">SUMIF($B$637:$B$656,"респ*",D$637:D$656)</f>
        <v>0</v>
      </c>
      <c r="E659" s="10">
        <f t="shared" si="167"/>
        <v>84</v>
      </c>
      <c r="F659" s="10">
        <f t="shared" si="167"/>
        <v>70</v>
      </c>
      <c r="G659" s="10">
        <f t="shared" si="167"/>
        <v>37</v>
      </c>
      <c r="H659" s="10">
        <f t="shared" si="167"/>
        <v>28</v>
      </c>
      <c r="I659" s="10">
        <f t="shared" si="167"/>
        <v>28</v>
      </c>
    </row>
    <row r="660" spans="1:10" x14ac:dyDescent="0.25">
      <c r="A660" s="179"/>
      <c r="B660" s="21" t="s">
        <v>294</v>
      </c>
      <c r="C660" s="10">
        <f>SUMIF($B$637:$B$656,"муниц*",C$637:C$656)</f>
        <v>145</v>
      </c>
      <c r="D660" s="10">
        <f t="shared" ref="D660:I660" si="168">SUMIF($B$637:$B$656,"муниц*",D$637:D$656)</f>
        <v>0</v>
      </c>
      <c r="E660" s="10">
        <f t="shared" si="168"/>
        <v>35</v>
      </c>
      <c r="F660" s="10">
        <f t="shared" si="168"/>
        <v>35</v>
      </c>
      <c r="G660" s="10">
        <f t="shared" si="168"/>
        <v>25</v>
      </c>
      <c r="H660" s="10">
        <f t="shared" si="168"/>
        <v>25</v>
      </c>
      <c r="I660" s="10">
        <f t="shared" si="168"/>
        <v>25</v>
      </c>
    </row>
    <row r="661" spans="1:10" x14ac:dyDescent="0.25">
      <c r="A661" s="179"/>
      <c r="B661" s="21" t="s">
        <v>295</v>
      </c>
      <c r="C661" s="10">
        <f t="shared" ref="C661:I661" si="169">SUMIF($B$637:$B$656,"вне*",C$637:C$656)</f>
        <v>48.5</v>
      </c>
      <c r="D661" s="10">
        <f t="shared" si="169"/>
        <v>0</v>
      </c>
      <c r="E661" s="10">
        <f t="shared" si="169"/>
        <v>9.6999999999999993</v>
      </c>
      <c r="F661" s="10">
        <f t="shared" si="169"/>
        <v>9.6999999999999993</v>
      </c>
      <c r="G661" s="10">
        <f t="shared" si="169"/>
        <v>9.6999999999999993</v>
      </c>
      <c r="H661" s="10">
        <f t="shared" si="169"/>
        <v>9.6999999999999993</v>
      </c>
      <c r="I661" s="10">
        <f t="shared" si="169"/>
        <v>9.6999999999999993</v>
      </c>
    </row>
    <row r="662" spans="1:10" x14ac:dyDescent="0.25">
      <c r="A662" s="176" t="s">
        <v>137</v>
      </c>
      <c r="B662" s="176"/>
      <c r="C662" s="176"/>
      <c r="D662" s="176"/>
      <c r="E662" s="176"/>
      <c r="F662" s="176"/>
      <c r="G662" s="176"/>
      <c r="H662" s="176"/>
      <c r="I662" s="176"/>
    </row>
    <row r="663" spans="1:10" x14ac:dyDescent="0.25">
      <c r="A663" s="178" t="s">
        <v>171</v>
      </c>
      <c r="B663" s="15" t="s">
        <v>403</v>
      </c>
      <c r="C663" s="3">
        <f>SUM(D663:I663)</f>
        <v>1330</v>
      </c>
      <c r="D663" s="3">
        <f t="shared" ref="D663:F663" si="170">D664+D665+D667</f>
        <v>0</v>
      </c>
      <c r="E663" s="3">
        <f t="shared" si="170"/>
        <v>0</v>
      </c>
      <c r="F663" s="3">
        <f t="shared" si="170"/>
        <v>0</v>
      </c>
      <c r="G663" s="3">
        <f>G664+G665+G666+G667</f>
        <v>30</v>
      </c>
      <c r="H663" s="3">
        <f>H664+H665+H666+H667</f>
        <v>700</v>
      </c>
      <c r="I663" s="3">
        <f>I664+I665+I666</f>
        <v>600</v>
      </c>
    </row>
    <row r="664" spans="1:10" x14ac:dyDescent="0.25">
      <c r="A664" s="178"/>
      <c r="B664" s="15" t="s">
        <v>292</v>
      </c>
      <c r="C664" s="3">
        <f>SUM(D664:I664)</f>
        <v>1287</v>
      </c>
      <c r="D664" s="9"/>
      <c r="E664" s="9"/>
      <c r="F664" s="9"/>
      <c r="G664" s="9">
        <v>0</v>
      </c>
      <c r="H664" s="9">
        <v>693</v>
      </c>
      <c r="I664" s="9">
        <v>594</v>
      </c>
    </row>
    <row r="665" spans="1:10" x14ac:dyDescent="0.25">
      <c r="A665" s="178"/>
      <c r="B665" s="15" t="s">
        <v>293</v>
      </c>
      <c r="C665" s="3">
        <f>SUM(D665:I665)</f>
        <v>34.4</v>
      </c>
      <c r="D665" s="9"/>
      <c r="E665" s="9"/>
      <c r="F665" s="9"/>
      <c r="G665" s="9">
        <v>24</v>
      </c>
      <c r="H665" s="9">
        <v>5.6</v>
      </c>
      <c r="I665" s="9">
        <v>4.8</v>
      </c>
    </row>
    <row r="666" spans="1:10" x14ac:dyDescent="0.25">
      <c r="A666" s="178"/>
      <c r="B666" s="15" t="s">
        <v>294</v>
      </c>
      <c r="C666" s="3">
        <f>SUM(D666:I666)</f>
        <v>8.6</v>
      </c>
      <c r="D666" s="9"/>
      <c r="E666" s="9"/>
      <c r="F666" s="9"/>
      <c r="G666" s="9">
        <v>6</v>
      </c>
      <c r="H666" s="9">
        <v>1.4</v>
      </c>
      <c r="I666" s="9">
        <v>1.2</v>
      </c>
    </row>
    <row r="667" spans="1:10" x14ac:dyDescent="0.25">
      <c r="A667" s="178"/>
      <c r="B667" s="15" t="s">
        <v>295</v>
      </c>
      <c r="C667" s="9"/>
      <c r="D667" s="9"/>
      <c r="E667" s="9"/>
      <c r="F667" s="9"/>
      <c r="G667" s="9"/>
      <c r="H667" s="9"/>
      <c r="I667" s="9"/>
    </row>
    <row r="668" spans="1:10" x14ac:dyDescent="0.25">
      <c r="A668" s="178" t="s">
        <v>139</v>
      </c>
      <c r="B668" s="15" t="s">
        <v>403</v>
      </c>
      <c r="C668" s="3">
        <f>SUM(D668:I668)</f>
        <v>179.03</v>
      </c>
      <c r="D668" s="3"/>
      <c r="E668" s="3">
        <f>E669+E670+E671+E672</f>
        <v>54.07</v>
      </c>
      <c r="F668" s="3">
        <f>F669+F670+F671+F672</f>
        <v>124.96</v>
      </c>
      <c r="G668" s="3"/>
      <c r="H668" s="3"/>
      <c r="I668" s="3"/>
    </row>
    <row r="669" spans="1:10" x14ac:dyDescent="0.25">
      <c r="A669" s="178"/>
      <c r="B669" s="15" t="s">
        <v>292</v>
      </c>
      <c r="C669" s="3">
        <f>SUM(D669:I669)</f>
        <v>168.29</v>
      </c>
      <c r="D669" s="3"/>
      <c r="E669" s="3">
        <v>50.83</v>
      </c>
      <c r="F669" s="3">
        <v>117.46</v>
      </c>
      <c r="G669" s="9"/>
      <c r="H669" s="9"/>
      <c r="I669" s="9"/>
    </row>
    <row r="670" spans="1:10" x14ac:dyDescent="0.25">
      <c r="A670" s="178"/>
      <c r="B670" s="15" t="s">
        <v>293</v>
      </c>
      <c r="C670" s="3">
        <f>SUM(D670:I670)</f>
        <v>8.59</v>
      </c>
      <c r="D670" s="3"/>
      <c r="E670" s="3">
        <v>2.59</v>
      </c>
      <c r="F670" s="3">
        <v>6</v>
      </c>
      <c r="G670" s="9"/>
      <c r="H670" s="9"/>
      <c r="I670" s="9"/>
    </row>
    <row r="671" spans="1:10" x14ac:dyDescent="0.25">
      <c r="A671" s="178"/>
      <c r="B671" s="15" t="s">
        <v>294</v>
      </c>
      <c r="C671" s="3">
        <f>SUM(D671:I671)</f>
        <v>2.15</v>
      </c>
      <c r="D671" s="9"/>
      <c r="E671" s="9">
        <v>0.65</v>
      </c>
      <c r="F671" s="9">
        <v>1.5</v>
      </c>
      <c r="G671" s="9"/>
      <c r="H671" s="9"/>
      <c r="I671" s="9"/>
    </row>
    <row r="672" spans="1:10" x14ac:dyDescent="0.25">
      <c r="A672" s="178"/>
      <c r="B672" s="15" t="s">
        <v>295</v>
      </c>
      <c r="C672" s="9"/>
      <c r="D672" s="3"/>
      <c r="E672" s="3"/>
      <c r="F672" s="3"/>
      <c r="G672" s="9"/>
      <c r="H672" s="9"/>
      <c r="I672" s="9"/>
    </row>
    <row r="673" spans="1:9" x14ac:dyDescent="0.25">
      <c r="A673" s="178" t="s">
        <v>141</v>
      </c>
      <c r="B673" s="15" t="s">
        <v>403</v>
      </c>
      <c r="C673" s="3">
        <f>SUM(D673:I673)</f>
        <v>81.290000000000006</v>
      </c>
      <c r="D673" s="3"/>
      <c r="E673" s="3"/>
      <c r="F673" s="3">
        <f>F674+F675+F676+F677</f>
        <v>81.290000000000006</v>
      </c>
      <c r="G673" s="3"/>
      <c r="H673" s="3"/>
      <c r="I673" s="3"/>
    </row>
    <row r="674" spans="1:9" x14ac:dyDescent="0.25">
      <c r="A674" s="178"/>
      <c r="B674" s="15" t="s">
        <v>292</v>
      </c>
      <c r="C674" s="3">
        <f>SUM(D674:I674)</f>
        <v>76.41</v>
      </c>
      <c r="D674" s="3"/>
      <c r="E674" s="3"/>
      <c r="F674" s="3">
        <v>76.41</v>
      </c>
      <c r="G674" s="3"/>
      <c r="H674" s="3"/>
      <c r="I674" s="3"/>
    </row>
    <row r="675" spans="1:9" x14ac:dyDescent="0.25">
      <c r="A675" s="178"/>
      <c r="B675" s="15" t="s">
        <v>293</v>
      </c>
      <c r="C675" s="3">
        <f>SUM(D675:I675)</f>
        <v>3.9</v>
      </c>
      <c r="D675" s="3"/>
      <c r="E675" s="3"/>
      <c r="F675" s="3">
        <v>3.9</v>
      </c>
      <c r="G675" s="3"/>
      <c r="H675" s="3"/>
      <c r="I675" s="3"/>
    </row>
    <row r="676" spans="1:9" x14ac:dyDescent="0.25">
      <c r="A676" s="178"/>
      <c r="B676" s="15" t="s">
        <v>294</v>
      </c>
      <c r="C676" s="3">
        <f>SUM(D676:I676)</f>
        <v>0.98</v>
      </c>
      <c r="D676" s="9"/>
      <c r="E676" s="9"/>
      <c r="F676" s="9">
        <v>0.98</v>
      </c>
      <c r="G676" s="9"/>
      <c r="H676" s="9"/>
      <c r="I676" s="9"/>
    </row>
    <row r="677" spans="1:9" x14ac:dyDescent="0.25">
      <c r="A677" s="178"/>
      <c r="B677" s="15" t="s">
        <v>295</v>
      </c>
      <c r="C677" s="9"/>
      <c r="D677" s="3"/>
      <c r="E677" s="3"/>
      <c r="F677" s="3"/>
      <c r="G677" s="3"/>
      <c r="H677" s="3"/>
      <c r="I677" s="3"/>
    </row>
    <row r="678" spans="1:9" x14ac:dyDescent="0.25">
      <c r="A678" s="178" t="s">
        <v>142</v>
      </c>
      <c r="B678" s="15" t="s">
        <v>403</v>
      </c>
      <c r="C678" s="3">
        <f>SUM(D678:I678)</f>
        <v>80.63</v>
      </c>
      <c r="D678" s="3"/>
      <c r="E678" s="3">
        <f>E679+E680+E681+E682</f>
        <v>21.28</v>
      </c>
      <c r="F678" s="3">
        <f>F679+F680+F681+F682</f>
        <v>59.35</v>
      </c>
      <c r="G678" s="3"/>
      <c r="H678" s="3"/>
      <c r="I678" s="3"/>
    </row>
    <row r="679" spans="1:9" x14ac:dyDescent="0.25">
      <c r="A679" s="178"/>
      <c r="B679" s="15" t="s">
        <v>292</v>
      </c>
      <c r="C679" s="3">
        <f>SUM(D679:I679)</f>
        <v>75.789999999999992</v>
      </c>
      <c r="D679" s="3"/>
      <c r="E679" s="3">
        <v>20</v>
      </c>
      <c r="F679" s="3">
        <v>55.79</v>
      </c>
      <c r="G679" s="3"/>
      <c r="H679" s="3"/>
      <c r="I679" s="3"/>
    </row>
    <row r="680" spans="1:9" x14ac:dyDescent="0.25">
      <c r="A680" s="178"/>
      <c r="B680" s="15" t="s">
        <v>293</v>
      </c>
      <c r="C680" s="3">
        <f>SUM(D680:I680)</f>
        <v>3.87</v>
      </c>
      <c r="D680" s="3"/>
      <c r="E680" s="3">
        <v>1.02</v>
      </c>
      <c r="F680" s="3">
        <v>2.85</v>
      </c>
      <c r="G680" s="3"/>
      <c r="H680" s="3"/>
      <c r="I680" s="3"/>
    </row>
    <row r="681" spans="1:9" x14ac:dyDescent="0.25">
      <c r="A681" s="178"/>
      <c r="B681" s="15" t="s">
        <v>294</v>
      </c>
      <c r="C681" s="3">
        <f>SUM(D681:I681)</f>
        <v>0.97</v>
      </c>
      <c r="D681" s="9"/>
      <c r="E681" s="9">
        <v>0.26</v>
      </c>
      <c r="F681" s="9">
        <v>0.71</v>
      </c>
      <c r="G681" s="9"/>
      <c r="H681" s="9"/>
      <c r="I681" s="9"/>
    </row>
    <row r="682" spans="1:9" x14ac:dyDescent="0.25">
      <c r="A682" s="178"/>
      <c r="B682" s="15" t="s">
        <v>295</v>
      </c>
      <c r="C682" s="9"/>
      <c r="D682" s="3"/>
      <c r="E682" s="3"/>
      <c r="F682" s="3"/>
      <c r="G682" s="3"/>
      <c r="H682" s="3"/>
      <c r="I682" s="3"/>
    </row>
    <row r="683" spans="1:9" x14ac:dyDescent="0.25">
      <c r="A683" s="178" t="s">
        <v>143</v>
      </c>
      <c r="B683" s="15" t="s">
        <v>403</v>
      </c>
      <c r="C683" s="3">
        <f>SUM(D683:I683)</f>
        <v>59.899999999999991</v>
      </c>
      <c r="D683" s="3">
        <f t="shared" ref="D683:I683" si="171">SUM(D684:D687)</f>
        <v>0</v>
      </c>
      <c r="E683" s="3">
        <f>E684+E685+E686+E687</f>
        <v>59.899999999999991</v>
      </c>
      <c r="F683" s="3">
        <f t="shared" si="171"/>
        <v>0</v>
      </c>
      <c r="G683" s="3">
        <f t="shared" si="171"/>
        <v>0</v>
      </c>
      <c r="H683" s="3">
        <f t="shared" si="171"/>
        <v>0</v>
      </c>
      <c r="I683" s="3">
        <f t="shared" si="171"/>
        <v>0</v>
      </c>
    </row>
    <row r="684" spans="1:9" x14ac:dyDescent="0.25">
      <c r="A684" s="178"/>
      <c r="B684" s="15" t="s">
        <v>292</v>
      </c>
      <c r="C684" s="3">
        <f>SUM(D684:I684)</f>
        <v>59.3</v>
      </c>
      <c r="D684" s="9"/>
      <c r="E684" s="9">
        <v>59.3</v>
      </c>
      <c r="F684" s="9"/>
      <c r="G684" s="9"/>
      <c r="H684" s="9"/>
      <c r="I684" s="9"/>
    </row>
    <row r="685" spans="1:9" x14ac:dyDescent="0.25">
      <c r="A685" s="178"/>
      <c r="B685" s="15" t="s">
        <v>293</v>
      </c>
      <c r="C685" s="3">
        <f>SUM(D685:I685)</f>
        <v>0.48</v>
      </c>
      <c r="D685" s="9"/>
      <c r="E685" s="9">
        <v>0.48</v>
      </c>
      <c r="F685" s="9"/>
      <c r="G685" s="9"/>
      <c r="H685" s="9"/>
      <c r="I685" s="9"/>
    </row>
    <row r="686" spans="1:9" x14ac:dyDescent="0.25">
      <c r="A686" s="178"/>
      <c r="B686" s="15" t="s">
        <v>294</v>
      </c>
      <c r="C686" s="3">
        <f>SUM(D686:I686)</f>
        <v>0.12</v>
      </c>
      <c r="D686" s="9"/>
      <c r="E686" s="9">
        <v>0.12</v>
      </c>
      <c r="F686" s="9"/>
      <c r="G686" s="9"/>
      <c r="H686" s="9"/>
      <c r="I686" s="9"/>
    </row>
    <row r="687" spans="1:9" ht="27" customHeight="1" x14ac:dyDescent="0.25">
      <c r="A687" s="178"/>
      <c r="B687" s="15" t="s">
        <v>295</v>
      </c>
      <c r="C687" s="9"/>
      <c r="D687" s="9"/>
      <c r="E687" s="9"/>
      <c r="F687" s="9"/>
      <c r="G687" s="9"/>
      <c r="H687" s="9"/>
      <c r="I687" s="9"/>
    </row>
    <row r="688" spans="1:9" x14ac:dyDescent="0.25">
      <c r="A688" s="178" t="s">
        <v>145</v>
      </c>
      <c r="B688" s="15" t="s">
        <v>403</v>
      </c>
      <c r="C688" s="3">
        <f>SUM(D688:I688)</f>
        <v>208.39999999999998</v>
      </c>
      <c r="D688" s="3">
        <f t="shared" ref="D688" si="172">SUM(D689:D692)</f>
        <v>0</v>
      </c>
      <c r="E688" s="3"/>
      <c r="F688" s="3">
        <f>F689+F690+F691+F692</f>
        <v>208.39999999999998</v>
      </c>
      <c r="G688" s="3">
        <f t="shared" ref="G688:I688" si="173">SUM(G689:G692)</f>
        <v>0</v>
      </c>
      <c r="H688" s="3">
        <f t="shared" si="173"/>
        <v>0</v>
      </c>
      <c r="I688" s="3">
        <f t="shared" si="173"/>
        <v>0</v>
      </c>
    </row>
    <row r="689" spans="1:9" x14ac:dyDescent="0.25">
      <c r="A689" s="178"/>
      <c r="B689" s="15" t="s">
        <v>292</v>
      </c>
      <c r="C689" s="3">
        <f>SUM(D689:I689)</f>
        <v>206.32</v>
      </c>
      <c r="D689" s="9"/>
      <c r="E689" s="9"/>
      <c r="F689" s="9">
        <v>206.32</v>
      </c>
      <c r="G689" s="9"/>
      <c r="H689" s="9"/>
      <c r="I689" s="9"/>
    </row>
    <row r="690" spans="1:9" x14ac:dyDescent="0.25">
      <c r="A690" s="178"/>
      <c r="B690" s="15" t="s">
        <v>293</v>
      </c>
      <c r="C690" s="3">
        <f>SUM(D690:I690)</f>
        <v>1.66</v>
      </c>
      <c r="D690" s="9"/>
      <c r="E690" s="9"/>
      <c r="F690" s="9">
        <v>1.66</v>
      </c>
      <c r="G690" s="9"/>
      <c r="H690" s="9"/>
      <c r="I690" s="9"/>
    </row>
    <row r="691" spans="1:9" x14ac:dyDescent="0.25">
      <c r="A691" s="178"/>
      <c r="B691" s="15" t="s">
        <v>294</v>
      </c>
      <c r="C691" s="3">
        <f>SUM(D691:I691)</f>
        <v>0.42</v>
      </c>
      <c r="D691" s="9"/>
      <c r="E691" s="9"/>
      <c r="F691" s="9">
        <v>0.42</v>
      </c>
      <c r="G691" s="9"/>
      <c r="H691" s="9"/>
      <c r="I691" s="9"/>
    </row>
    <row r="692" spans="1:9" ht="27.75" customHeight="1" x14ac:dyDescent="0.25">
      <c r="A692" s="178"/>
      <c r="B692" s="15" t="s">
        <v>295</v>
      </c>
      <c r="C692" s="9"/>
      <c r="D692" s="9"/>
      <c r="E692" s="9"/>
      <c r="F692" s="9"/>
      <c r="G692" s="9"/>
      <c r="H692" s="9"/>
      <c r="I692" s="9"/>
    </row>
    <row r="693" spans="1:9" x14ac:dyDescent="0.25">
      <c r="A693" s="178" t="s">
        <v>146</v>
      </c>
      <c r="B693" s="15" t="s">
        <v>403</v>
      </c>
      <c r="C693" s="3">
        <f>SUM(D693:I693)</f>
        <v>146</v>
      </c>
      <c r="D693" s="3">
        <f t="shared" ref="D693:I693" si="174">SUM(D694:D697)</f>
        <v>0</v>
      </c>
      <c r="E693" s="3">
        <f>E694+E695+E696+E697</f>
        <v>73</v>
      </c>
      <c r="F693" s="3">
        <f>F694+F695+F696+F697</f>
        <v>73</v>
      </c>
      <c r="G693" s="3">
        <f t="shared" si="174"/>
        <v>0</v>
      </c>
      <c r="H693" s="3">
        <f t="shared" si="174"/>
        <v>0</v>
      </c>
      <c r="I693" s="3">
        <f t="shared" si="174"/>
        <v>0</v>
      </c>
    </row>
    <row r="694" spans="1:9" x14ac:dyDescent="0.25">
      <c r="A694" s="178"/>
      <c r="B694" s="15" t="s">
        <v>292</v>
      </c>
      <c r="C694" s="3">
        <f>SUM(D694:I694)</f>
        <v>144.54</v>
      </c>
      <c r="D694" s="9"/>
      <c r="E694" s="9">
        <f>0.99*146/2</f>
        <v>72.27</v>
      </c>
      <c r="F694" s="9">
        <f>0.99*146/2</f>
        <v>72.27</v>
      </c>
      <c r="G694" s="9"/>
      <c r="H694" s="9"/>
      <c r="I694" s="9"/>
    </row>
    <row r="695" spans="1:9" x14ac:dyDescent="0.25">
      <c r="A695" s="178"/>
      <c r="B695" s="15" t="s">
        <v>293</v>
      </c>
      <c r="C695" s="3">
        <f>SUM(D695:I695)</f>
        <v>1.1599999999999999</v>
      </c>
      <c r="D695" s="9"/>
      <c r="E695" s="9">
        <v>0.57999999999999996</v>
      </c>
      <c r="F695" s="9">
        <v>0.57999999999999996</v>
      </c>
      <c r="G695" s="9"/>
      <c r="H695" s="9"/>
      <c r="I695" s="9"/>
    </row>
    <row r="696" spans="1:9" x14ac:dyDescent="0.25">
      <c r="A696" s="178"/>
      <c r="B696" s="15" t="s">
        <v>294</v>
      </c>
      <c r="C696" s="3">
        <f>SUM(D696:I696)</f>
        <v>0.3</v>
      </c>
      <c r="D696" s="9"/>
      <c r="E696" s="9">
        <v>0.15</v>
      </c>
      <c r="F696" s="9">
        <v>0.15</v>
      </c>
      <c r="G696" s="9"/>
      <c r="H696" s="9"/>
      <c r="I696" s="9"/>
    </row>
    <row r="697" spans="1:9" ht="25.5" customHeight="1" x14ac:dyDescent="0.25">
      <c r="A697" s="178"/>
      <c r="B697" s="15" t="s">
        <v>295</v>
      </c>
      <c r="C697" s="9"/>
      <c r="D697" s="9"/>
      <c r="E697" s="9"/>
      <c r="F697" s="9"/>
      <c r="G697" s="9"/>
      <c r="H697" s="9"/>
      <c r="I697" s="9"/>
    </row>
    <row r="698" spans="1:9" x14ac:dyDescent="0.25">
      <c r="A698" s="178" t="s">
        <v>147</v>
      </c>
      <c r="B698" s="15" t="s">
        <v>403</v>
      </c>
      <c r="C698" s="3">
        <f>SUM(D698:I698)</f>
        <v>200</v>
      </c>
      <c r="D698" s="3">
        <f t="shared" ref="D698:I698" si="175">SUM(D699:D702)</f>
        <v>0</v>
      </c>
      <c r="E698" s="3">
        <f t="shared" si="175"/>
        <v>100</v>
      </c>
      <c r="F698" s="3">
        <f t="shared" si="175"/>
        <v>100</v>
      </c>
      <c r="G698" s="3"/>
      <c r="H698" s="3">
        <f t="shared" si="175"/>
        <v>0</v>
      </c>
      <c r="I698" s="3">
        <f t="shared" si="175"/>
        <v>0</v>
      </c>
    </row>
    <row r="699" spans="1:9" x14ac:dyDescent="0.25">
      <c r="A699" s="178"/>
      <c r="B699" s="15" t="s">
        <v>292</v>
      </c>
      <c r="C699" s="3">
        <f>SUM(D699:I699)</f>
        <v>198</v>
      </c>
      <c r="D699" s="9"/>
      <c r="E699" s="9">
        <v>99</v>
      </c>
      <c r="F699" s="9">
        <f>0.99*100</f>
        <v>99</v>
      </c>
      <c r="G699" s="9"/>
      <c r="H699" s="9"/>
      <c r="I699" s="9"/>
    </row>
    <row r="700" spans="1:9" x14ac:dyDescent="0.25">
      <c r="A700" s="178"/>
      <c r="B700" s="15" t="s">
        <v>293</v>
      </c>
      <c r="C700" s="3">
        <f>SUM(D700:I700)</f>
        <v>1.6</v>
      </c>
      <c r="D700" s="9"/>
      <c r="E700" s="9">
        <v>0.8</v>
      </c>
      <c r="F700" s="9">
        <v>0.8</v>
      </c>
      <c r="G700" s="9"/>
      <c r="H700" s="9"/>
      <c r="I700" s="9"/>
    </row>
    <row r="701" spans="1:9" x14ac:dyDescent="0.25">
      <c r="A701" s="178"/>
      <c r="B701" s="15" t="s">
        <v>294</v>
      </c>
      <c r="C701" s="3">
        <f>SUM(D701:I701)</f>
        <v>0.4</v>
      </c>
      <c r="D701" s="9"/>
      <c r="E701" s="9">
        <v>0.2</v>
      </c>
      <c r="F701" s="9">
        <v>0.2</v>
      </c>
      <c r="G701" s="9"/>
      <c r="H701" s="9"/>
      <c r="I701" s="9"/>
    </row>
    <row r="702" spans="1:9" x14ac:dyDescent="0.25">
      <c r="A702" s="178"/>
      <c r="B702" s="15" t="s">
        <v>295</v>
      </c>
      <c r="C702" s="9"/>
      <c r="D702" s="9"/>
      <c r="E702" s="9"/>
      <c r="F702" s="9"/>
      <c r="G702" s="9"/>
      <c r="H702" s="9"/>
      <c r="I702" s="9"/>
    </row>
    <row r="703" spans="1:9" x14ac:dyDescent="0.25">
      <c r="A703" s="178" t="s">
        <v>150</v>
      </c>
      <c r="B703" s="15" t="s">
        <v>403</v>
      </c>
      <c r="C703" s="3">
        <f>SUM(D703:I703)</f>
        <v>160</v>
      </c>
      <c r="D703" s="3">
        <f t="shared" ref="D703:I703" si="176">SUM(D704:D707)</f>
        <v>0</v>
      </c>
      <c r="E703" s="3">
        <f t="shared" si="176"/>
        <v>160</v>
      </c>
      <c r="F703" s="3"/>
      <c r="G703" s="3"/>
      <c r="H703" s="3">
        <f t="shared" si="176"/>
        <v>0</v>
      </c>
      <c r="I703" s="3">
        <f t="shared" si="176"/>
        <v>0</v>
      </c>
    </row>
    <row r="704" spans="1:9" x14ac:dyDescent="0.25">
      <c r="A704" s="178"/>
      <c r="B704" s="15" t="s">
        <v>292</v>
      </c>
      <c r="C704" s="3">
        <f>SUM(D704:I704)</f>
        <v>158.4</v>
      </c>
      <c r="D704" s="9"/>
      <c r="E704" s="9">
        <v>158.4</v>
      </c>
      <c r="F704" s="9"/>
      <c r="G704" s="9"/>
      <c r="H704" s="9"/>
      <c r="I704" s="9"/>
    </row>
    <row r="705" spans="1:10" x14ac:dyDescent="0.25">
      <c r="A705" s="178"/>
      <c r="B705" s="15" t="s">
        <v>293</v>
      </c>
      <c r="C705" s="3">
        <f>SUM(D705:I705)</f>
        <v>1.28</v>
      </c>
      <c r="D705" s="9"/>
      <c r="E705" s="9">
        <v>1.28</v>
      </c>
      <c r="F705" s="9"/>
      <c r="G705" s="9"/>
      <c r="H705" s="9"/>
      <c r="I705" s="9"/>
    </row>
    <row r="706" spans="1:10" x14ac:dyDescent="0.25">
      <c r="A706" s="178"/>
      <c r="B706" s="15" t="s">
        <v>294</v>
      </c>
      <c r="C706" s="3">
        <f>SUM(D706:I706)</f>
        <v>0.32</v>
      </c>
      <c r="D706" s="9"/>
      <c r="E706" s="9">
        <v>0.32</v>
      </c>
      <c r="F706" s="9"/>
      <c r="G706" s="9"/>
      <c r="H706" s="9"/>
      <c r="I706" s="9"/>
    </row>
    <row r="707" spans="1:10" x14ac:dyDescent="0.25">
      <c r="A707" s="178"/>
      <c r="B707" s="15" t="s">
        <v>295</v>
      </c>
      <c r="C707" s="9"/>
      <c r="D707" s="9"/>
      <c r="E707" s="9"/>
      <c r="F707" s="9"/>
      <c r="G707" s="9"/>
      <c r="H707" s="9"/>
      <c r="I707" s="9"/>
    </row>
    <row r="708" spans="1:10" x14ac:dyDescent="0.25">
      <c r="A708" s="178" t="s">
        <v>148</v>
      </c>
      <c r="B708" s="15" t="s">
        <v>403</v>
      </c>
      <c r="C708" s="3">
        <f>SUM(D708:I708)</f>
        <v>500</v>
      </c>
      <c r="D708" s="3"/>
      <c r="E708" s="3">
        <v>100</v>
      </c>
      <c r="F708" s="3">
        <v>100</v>
      </c>
      <c r="G708" s="3">
        <v>100</v>
      </c>
      <c r="H708" s="3">
        <v>100</v>
      </c>
      <c r="I708" s="3">
        <v>100</v>
      </c>
    </row>
    <row r="709" spans="1:10" x14ac:dyDescent="0.25">
      <c r="A709" s="178"/>
      <c r="B709" s="15" t="s">
        <v>292</v>
      </c>
      <c r="C709" s="3">
        <f>SUM(D709:I709)</f>
        <v>495</v>
      </c>
      <c r="D709" s="9"/>
      <c r="E709" s="9">
        <v>99</v>
      </c>
      <c r="F709" s="9">
        <v>99</v>
      </c>
      <c r="G709" s="9">
        <v>99</v>
      </c>
      <c r="H709" s="3">
        <v>99</v>
      </c>
      <c r="I709" s="9">
        <v>99</v>
      </c>
    </row>
    <row r="710" spans="1:10" x14ac:dyDescent="0.25">
      <c r="A710" s="178"/>
      <c r="B710" s="15" t="s">
        <v>293</v>
      </c>
      <c r="C710" s="3">
        <f>SUM(D710:I710)</f>
        <v>4</v>
      </c>
      <c r="D710" s="9"/>
      <c r="E710" s="9">
        <v>0.8</v>
      </c>
      <c r="F710" s="9">
        <v>0.8</v>
      </c>
      <c r="G710" s="9">
        <v>0.8</v>
      </c>
      <c r="H710" s="9">
        <v>0.8</v>
      </c>
      <c r="I710" s="9">
        <v>0.8</v>
      </c>
    </row>
    <row r="711" spans="1:10" x14ac:dyDescent="0.25">
      <c r="A711" s="178"/>
      <c r="B711" s="15" t="s">
        <v>294</v>
      </c>
      <c r="C711" s="3">
        <f>SUM(D711:I711)</f>
        <v>1</v>
      </c>
      <c r="D711" s="9"/>
      <c r="E711" s="9">
        <v>0.2</v>
      </c>
      <c r="F711" s="9">
        <v>0.2</v>
      </c>
      <c r="G711" s="9">
        <v>0.2</v>
      </c>
      <c r="H711" s="9">
        <v>0.2</v>
      </c>
      <c r="I711" s="9">
        <v>0.2</v>
      </c>
    </row>
    <row r="712" spans="1:10" x14ac:dyDescent="0.25">
      <c r="A712" s="178"/>
      <c r="B712" s="15" t="s">
        <v>295</v>
      </c>
      <c r="C712" s="9"/>
      <c r="D712" s="3"/>
      <c r="E712" s="3"/>
      <c r="F712" s="3"/>
      <c r="G712" s="3"/>
      <c r="H712" s="3"/>
      <c r="I712" s="3"/>
    </row>
    <row r="713" spans="1:10" collapsed="1" x14ac:dyDescent="0.25">
      <c r="A713" s="181" t="s">
        <v>138</v>
      </c>
      <c r="B713" s="15" t="s">
        <v>403</v>
      </c>
      <c r="C713" s="10">
        <f>SUMIF($B$663:$B$712,"Всего*",C$663:C$712)</f>
        <v>2945.25</v>
      </c>
      <c r="D713" s="10">
        <f t="shared" ref="D713:I713" si="177">SUMIF($B$663:$B$712,"Всего*",D$663:D$712)</f>
        <v>0</v>
      </c>
      <c r="E713" s="10">
        <f t="shared" si="177"/>
        <v>568.25</v>
      </c>
      <c r="F713" s="10">
        <f t="shared" si="177"/>
        <v>747</v>
      </c>
      <c r="G713" s="10">
        <f t="shared" si="177"/>
        <v>130</v>
      </c>
      <c r="H713" s="10">
        <f t="shared" si="177"/>
        <v>800</v>
      </c>
      <c r="I713" s="10">
        <f t="shared" si="177"/>
        <v>700</v>
      </c>
      <c r="J713" s="11"/>
    </row>
    <row r="714" spans="1:10" x14ac:dyDescent="0.25">
      <c r="A714" s="181"/>
      <c r="B714" s="15" t="s">
        <v>292</v>
      </c>
      <c r="C714" s="10">
        <f t="shared" ref="C714:I714" si="178">SUMIF($B$663:$B$712,"фед*",C$663:C$712)</f>
        <v>2869.0499999999997</v>
      </c>
      <c r="D714" s="10">
        <f t="shared" si="178"/>
        <v>0</v>
      </c>
      <c r="E714" s="10">
        <f t="shared" si="178"/>
        <v>558.79999999999995</v>
      </c>
      <c r="F714" s="10">
        <f t="shared" si="178"/>
        <v>726.25</v>
      </c>
      <c r="G714" s="10">
        <f t="shared" si="178"/>
        <v>99</v>
      </c>
      <c r="H714" s="10">
        <f t="shared" si="178"/>
        <v>792</v>
      </c>
      <c r="I714" s="10">
        <f t="shared" si="178"/>
        <v>693</v>
      </c>
      <c r="J714" s="11"/>
    </row>
    <row r="715" spans="1:10" x14ac:dyDescent="0.25">
      <c r="A715" s="181"/>
      <c r="B715" s="15" t="s">
        <v>293</v>
      </c>
      <c r="C715" s="10">
        <f>SUMIF($B$663:$B$712,"респ*",C$663:C$712)</f>
        <v>60.939999999999984</v>
      </c>
      <c r="D715" s="10">
        <f t="shared" ref="D715:I715" si="179">SUMIF($B$663:$B$712,"респ*",D$663:D$712)</f>
        <v>0</v>
      </c>
      <c r="E715" s="10">
        <f t="shared" si="179"/>
        <v>7.55</v>
      </c>
      <c r="F715" s="10">
        <f t="shared" si="179"/>
        <v>16.59</v>
      </c>
      <c r="G715" s="10">
        <f t="shared" si="179"/>
        <v>24.8</v>
      </c>
      <c r="H715" s="10">
        <f t="shared" si="179"/>
        <v>6.3999999999999995</v>
      </c>
      <c r="I715" s="10">
        <f t="shared" si="179"/>
        <v>5.6</v>
      </c>
      <c r="J715" s="11"/>
    </row>
    <row r="716" spans="1:10" x14ac:dyDescent="0.25">
      <c r="A716" s="181"/>
      <c r="B716" s="15" t="s">
        <v>294</v>
      </c>
      <c r="C716" s="10">
        <f>SUMIF($B$663:$B$712,"муниц*",C$663:C$712)</f>
        <v>15.260000000000002</v>
      </c>
      <c r="D716" s="10">
        <f t="shared" ref="D716:I716" si="180">SUMIF($B$663:$B$712,"муниц*",D$663:D$712)</f>
        <v>0</v>
      </c>
      <c r="E716" s="10">
        <f t="shared" si="180"/>
        <v>1.9</v>
      </c>
      <c r="F716" s="10">
        <f t="shared" si="180"/>
        <v>4.16</v>
      </c>
      <c r="G716" s="10">
        <f t="shared" si="180"/>
        <v>6.2</v>
      </c>
      <c r="H716" s="10">
        <f t="shared" si="180"/>
        <v>1.5999999999999999</v>
      </c>
      <c r="I716" s="10">
        <f t="shared" si="180"/>
        <v>1.4</v>
      </c>
    </row>
    <row r="717" spans="1:10" x14ac:dyDescent="0.25">
      <c r="A717" s="181"/>
      <c r="B717" s="15" t="s">
        <v>295</v>
      </c>
      <c r="C717" s="10">
        <f t="shared" ref="C717:I717" si="181">SUMIF($B$663:$B$712,"вне*",C$663:C$712)</f>
        <v>0</v>
      </c>
      <c r="D717" s="10">
        <f t="shared" si="181"/>
        <v>0</v>
      </c>
      <c r="E717" s="10">
        <f t="shared" si="181"/>
        <v>0</v>
      </c>
      <c r="F717" s="10">
        <f t="shared" si="181"/>
        <v>0</v>
      </c>
      <c r="G717" s="10">
        <f t="shared" si="181"/>
        <v>0</v>
      </c>
      <c r="H717" s="10">
        <f t="shared" si="181"/>
        <v>0</v>
      </c>
      <c r="I717" s="10">
        <f t="shared" si="181"/>
        <v>0</v>
      </c>
      <c r="J717" s="11"/>
    </row>
    <row r="718" spans="1:10" x14ac:dyDescent="0.25">
      <c r="A718" s="176" t="s">
        <v>11</v>
      </c>
      <c r="B718" s="176"/>
      <c r="C718" s="176"/>
      <c r="D718" s="176"/>
      <c r="E718" s="176"/>
      <c r="F718" s="176"/>
      <c r="G718" s="176"/>
      <c r="H718" s="176"/>
      <c r="I718" s="176"/>
    </row>
    <row r="719" spans="1:10" x14ac:dyDescent="0.25">
      <c r="A719" s="178" t="s">
        <v>39</v>
      </c>
      <c r="B719" s="15" t="s">
        <v>403</v>
      </c>
      <c r="C719" s="3">
        <f>SUM(D719:I719)</f>
        <v>309.39999999999998</v>
      </c>
      <c r="D719" s="3">
        <f t="shared" ref="D719:I719" si="182">D720+D721+D723</f>
        <v>0</v>
      </c>
      <c r="E719" s="3">
        <f t="shared" si="182"/>
        <v>0</v>
      </c>
      <c r="F719" s="3">
        <f>F720+F721+F723+F722</f>
        <v>309.39999999999998</v>
      </c>
      <c r="G719" s="3">
        <f t="shared" si="182"/>
        <v>0</v>
      </c>
      <c r="H719" s="3">
        <f t="shared" si="182"/>
        <v>0</v>
      </c>
      <c r="I719" s="3">
        <f t="shared" si="182"/>
        <v>0</v>
      </c>
    </row>
    <row r="720" spans="1:10" x14ac:dyDescent="0.25">
      <c r="A720" s="178"/>
      <c r="B720" s="15" t="s">
        <v>292</v>
      </c>
      <c r="C720" s="3">
        <f>SUM(D720:I720)</f>
        <v>255.9</v>
      </c>
      <c r="D720" s="9"/>
      <c r="E720" s="9"/>
      <c r="F720" s="9">
        <v>255.9</v>
      </c>
      <c r="G720" s="9"/>
      <c r="H720" s="9"/>
      <c r="I720" s="9"/>
    </row>
    <row r="721" spans="1:10" x14ac:dyDescent="0.25">
      <c r="A721" s="178"/>
      <c r="B721" s="15" t="s">
        <v>293</v>
      </c>
      <c r="C721" s="3">
        <f>SUM(D721:I721)</f>
        <v>42.8</v>
      </c>
      <c r="D721" s="9"/>
      <c r="E721" s="9"/>
      <c r="F721" s="9">
        <f>53.5-F722</f>
        <v>42.8</v>
      </c>
      <c r="G721" s="9"/>
      <c r="H721" s="9"/>
      <c r="I721" s="9"/>
    </row>
    <row r="722" spans="1:10" x14ac:dyDescent="0.25">
      <c r="A722" s="178"/>
      <c r="B722" s="15" t="s">
        <v>294</v>
      </c>
      <c r="C722" s="3">
        <f>SUM(D722:I722)</f>
        <v>10.700000000000001</v>
      </c>
      <c r="D722" s="9"/>
      <c r="E722" s="9"/>
      <c r="F722" s="9">
        <f>53.5/100*20</f>
        <v>10.700000000000001</v>
      </c>
      <c r="G722" s="9"/>
      <c r="H722" s="9"/>
      <c r="I722" s="9"/>
    </row>
    <row r="723" spans="1:10" ht="24" customHeight="1" x14ac:dyDescent="0.25">
      <c r="A723" s="178"/>
      <c r="B723" s="15" t="s">
        <v>295</v>
      </c>
      <c r="C723" s="9"/>
      <c r="D723" s="9"/>
      <c r="E723" s="9"/>
      <c r="F723" s="9"/>
      <c r="G723" s="9"/>
      <c r="H723" s="9"/>
      <c r="I723" s="9"/>
    </row>
    <row r="724" spans="1:10" x14ac:dyDescent="0.25">
      <c r="A724" s="173" t="s">
        <v>672</v>
      </c>
      <c r="B724" s="62" t="s">
        <v>403</v>
      </c>
      <c r="C724" s="3">
        <f>SUM(D724:I724)</f>
        <v>68.05</v>
      </c>
      <c r="D724" s="3">
        <f t="shared" ref="D724:I724" si="183">D725+D726+D728</f>
        <v>0</v>
      </c>
      <c r="E724" s="3">
        <f>E725+E726+E727+E728</f>
        <v>68.05</v>
      </c>
      <c r="F724" s="3">
        <f t="shared" si="183"/>
        <v>0</v>
      </c>
      <c r="G724" s="3">
        <f t="shared" si="183"/>
        <v>0</v>
      </c>
      <c r="H724" s="3">
        <f t="shared" si="183"/>
        <v>0</v>
      </c>
      <c r="I724" s="3">
        <f t="shared" si="183"/>
        <v>0</v>
      </c>
      <c r="J724" s="18"/>
    </row>
    <row r="725" spans="1:10" x14ac:dyDescent="0.25">
      <c r="A725" s="173"/>
      <c r="B725" s="62" t="s">
        <v>292</v>
      </c>
      <c r="C725" s="3">
        <f>SUM(D725:I725)</f>
        <v>0</v>
      </c>
      <c r="D725" s="9"/>
      <c r="E725" s="9"/>
      <c r="F725" s="9"/>
      <c r="G725" s="9"/>
      <c r="H725" s="9"/>
      <c r="I725" s="9"/>
    </row>
    <row r="726" spans="1:10" x14ac:dyDescent="0.25">
      <c r="A726" s="173"/>
      <c r="B726" s="62" t="s">
        <v>293</v>
      </c>
      <c r="C726" s="3">
        <f>SUM(D726:I726)</f>
        <v>54.44</v>
      </c>
      <c r="D726" s="9"/>
      <c r="E726" s="9">
        <v>54.44</v>
      </c>
      <c r="F726" s="9"/>
      <c r="G726" s="9"/>
      <c r="H726" s="9"/>
      <c r="I726" s="9"/>
    </row>
    <row r="727" spans="1:10" x14ac:dyDescent="0.25">
      <c r="A727" s="173"/>
      <c r="B727" s="62" t="s">
        <v>294</v>
      </c>
      <c r="C727" s="3">
        <f>SUM(D727:I727)</f>
        <v>13.61</v>
      </c>
      <c r="D727" s="9"/>
      <c r="E727" s="9">
        <v>13.61</v>
      </c>
      <c r="F727" s="9"/>
      <c r="G727" s="9"/>
      <c r="H727" s="9"/>
      <c r="I727" s="9"/>
    </row>
    <row r="728" spans="1:10" ht="21" customHeight="1" x14ac:dyDescent="0.25">
      <c r="A728" s="173"/>
      <c r="B728" s="62" t="s">
        <v>295</v>
      </c>
      <c r="C728" s="9"/>
      <c r="D728" s="9"/>
      <c r="E728" s="9"/>
      <c r="F728" s="9"/>
      <c r="G728" s="9"/>
      <c r="H728" s="9"/>
      <c r="I728" s="9"/>
    </row>
    <row r="729" spans="1:10" x14ac:dyDescent="0.25">
      <c r="A729" s="178" t="s">
        <v>24</v>
      </c>
      <c r="B729" s="15" t="s">
        <v>403</v>
      </c>
      <c r="C729" s="3">
        <f>SUM(D729:I729)</f>
        <v>1039</v>
      </c>
      <c r="D729" s="3">
        <v>0</v>
      </c>
      <c r="E729" s="3">
        <f t="shared" ref="E729:I729" si="184">E730+E731+E733</f>
        <v>0</v>
      </c>
      <c r="F729" s="3">
        <f>F730+F731+F733+F732</f>
        <v>500</v>
      </c>
      <c r="G729" s="3">
        <f t="shared" ref="G729:H729" si="185">G730+G731+G733+G732</f>
        <v>300</v>
      </c>
      <c r="H729" s="3">
        <f t="shared" si="185"/>
        <v>239</v>
      </c>
      <c r="I729" s="3">
        <f t="shared" si="184"/>
        <v>0</v>
      </c>
    </row>
    <row r="730" spans="1:10" x14ac:dyDescent="0.25">
      <c r="A730" s="178"/>
      <c r="B730" s="15" t="s">
        <v>292</v>
      </c>
      <c r="C730" s="3">
        <f>SUM(D730:I730)</f>
        <v>935.1</v>
      </c>
      <c r="D730" s="9"/>
      <c r="E730" s="9"/>
      <c r="F730" s="9">
        <v>450</v>
      </c>
      <c r="G730" s="9">
        <v>270</v>
      </c>
      <c r="H730" s="9">
        <v>215.1</v>
      </c>
      <c r="I730" s="9"/>
    </row>
    <row r="731" spans="1:10" x14ac:dyDescent="0.25">
      <c r="A731" s="178"/>
      <c r="B731" s="15" t="s">
        <v>293</v>
      </c>
      <c r="C731" s="3">
        <f>SUM(D731:I731)</f>
        <v>83.1</v>
      </c>
      <c r="D731" s="9"/>
      <c r="E731" s="9"/>
      <c r="F731" s="9">
        <f>50-F732</f>
        <v>40</v>
      </c>
      <c r="G731" s="9">
        <f>30-G732</f>
        <v>24</v>
      </c>
      <c r="H731" s="9">
        <f>23.9-H732</f>
        <v>19.099999999999998</v>
      </c>
      <c r="I731" s="9"/>
    </row>
    <row r="732" spans="1:10" x14ac:dyDescent="0.25">
      <c r="A732" s="178"/>
      <c r="B732" s="15" t="s">
        <v>294</v>
      </c>
      <c r="C732" s="3">
        <f>SUM(D732:I732)</f>
        <v>20.8</v>
      </c>
      <c r="D732" s="9"/>
      <c r="E732" s="9"/>
      <c r="F732" s="9">
        <v>10</v>
      </c>
      <c r="G732" s="9">
        <v>6</v>
      </c>
      <c r="H732" s="9">
        <v>4.8</v>
      </c>
      <c r="I732" s="9"/>
    </row>
    <row r="733" spans="1:10" x14ac:dyDescent="0.25">
      <c r="A733" s="178"/>
      <c r="B733" s="15" t="s">
        <v>295</v>
      </c>
      <c r="C733" s="9"/>
      <c r="D733" s="9"/>
      <c r="E733" s="9"/>
      <c r="F733" s="9"/>
      <c r="G733" s="9"/>
      <c r="H733" s="9"/>
      <c r="I733" s="9"/>
    </row>
    <row r="734" spans="1:10" x14ac:dyDescent="0.25">
      <c r="A734" s="178" t="s">
        <v>86</v>
      </c>
      <c r="B734" s="15" t="s">
        <v>403</v>
      </c>
      <c r="C734" s="3">
        <f>SUM(D734:I734)</f>
        <v>109</v>
      </c>
      <c r="D734" s="3">
        <v>0</v>
      </c>
      <c r="E734" s="3">
        <f t="shared" ref="E734:I734" si="186">E735+E736+E738</f>
        <v>0</v>
      </c>
      <c r="F734" s="3">
        <f t="shared" si="186"/>
        <v>0</v>
      </c>
      <c r="G734" s="3">
        <f>G735+G736+G738+G737</f>
        <v>54.5</v>
      </c>
      <c r="H734" s="3">
        <f>H735+H736+H738+H737</f>
        <v>54.5</v>
      </c>
      <c r="I734" s="3">
        <f t="shared" si="186"/>
        <v>0</v>
      </c>
    </row>
    <row r="735" spans="1:10" x14ac:dyDescent="0.25">
      <c r="A735" s="178"/>
      <c r="B735" s="15" t="s">
        <v>292</v>
      </c>
      <c r="C735" s="3">
        <f>SUM(D735:I735)</f>
        <v>103.3</v>
      </c>
      <c r="D735" s="9"/>
      <c r="E735" s="3"/>
      <c r="F735" s="3"/>
      <c r="G735" s="3">
        <v>51.65</v>
      </c>
      <c r="H735" s="3">
        <v>51.65</v>
      </c>
      <c r="I735" s="9"/>
    </row>
    <row r="736" spans="1:10" x14ac:dyDescent="0.25">
      <c r="A736" s="178"/>
      <c r="B736" s="15" t="s">
        <v>293</v>
      </c>
      <c r="C736" s="3">
        <f>SUM(D736:I736)</f>
        <v>4.5</v>
      </c>
      <c r="D736" s="9"/>
      <c r="E736" s="9"/>
      <c r="F736" s="9"/>
      <c r="G736" s="9">
        <f>2.85-G737</f>
        <v>2.25</v>
      </c>
      <c r="H736" s="9">
        <f>2.85-H737</f>
        <v>2.25</v>
      </c>
      <c r="I736" s="9"/>
    </row>
    <row r="737" spans="1:9" x14ac:dyDescent="0.25">
      <c r="A737" s="178"/>
      <c r="B737" s="15" t="s">
        <v>294</v>
      </c>
      <c r="C737" s="3">
        <f>SUM(D737:I737)</f>
        <v>1.2</v>
      </c>
      <c r="D737" s="9"/>
      <c r="E737" s="9"/>
      <c r="F737" s="9"/>
      <c r="G737" s="9">
        <v>0.6</v>
      </c>
      <c r="H737" s="9">
        <v>0.6</v>
      </c>
      <c r="I737" s="9"/>
    </row>
    <row r="738" spans="1:9" x14ac:dyDescent="0.25">
      <c r="A738" s="178"/>
      <c r="B738" s="15" t="s">
        <v>295</v>
      </c>
      <c r="C738" s="9"/>
      <c r="D738" s="9"/>
      <c r="E738" s="9"/>
      <c r="F738" s="9"/>
      <c r="G738" s="9"/>
      <c r="H738" s="9"/>
      <c r="I738" s="9"/>
    </row>
    <row r="739" spans="1:9" x14ac:dyDescent="0.25">
      <c r="A739" s="178" t="s">
        <v>89</v>
      </c>
      <c r="B739" s="15" t="s">
        <v>403</v>
      </c>
      <c r="C739" s="3">
        <f>SUM(D739:I739)</f>
        <v>210</v>
      </c>
      <c r="D739" s="3">
        <v>0</v>
      </c>
      <c r="E739" s="3">
        <f t="shared" ref="E739:I739" si="187">E740+E741+E743</f>
        <v>0</v>
      </c>
      <c r="F739" s="3">
        <f>F740+F741+F743+F742</f>
        <v>10</v>
      </c>
      <c r="G739" s="3">
        <f t="shared" ref="G739:H739" si="188">G740+G741+G743+G742</f>
        <v>100</v>
      </c>
      <c r="H739" s="3">
        <f t="shared" si="188"/>
        <v>100</v>
      </c>
      <c r="I739" s="3">
        <f t="shared" si="187"/>
        <v>0</v>
      </c>
    </row>
    <row r="740" spans="1:9" x14ac:dyDescent="0.25">
      <c r="A740" s="178"/>
      <c r="B740" s="15" t="s">
        <v>292</v>
      </c>
      <c r="C740" s="3">
        <f>SUM(D740:I740)</f>
        <v>207.5</v>
      </c>
      <c r="D740" s="9"/>
      <c r="E740" s="9"/>
      <c r="F740" s="9">
        <v>9.5</v>
      </c>
      <c r="G740" s="9">
        <v>99</v>
      </c>
      <c r="H740" s="9">
        <v>99</v>
      </c>
      <c r="I740" s="9"/>
    </row>
    <row r="741" spans="1:9" x14ac:dyDescent="0.25">
      <c r="A741" s="178"/>
      <c r="B741" s="15" t="s">
        <v>293</v>
      </c>
      <c r="C741" s="3">
        <f>SUM(D741:I741)</f>
        <v>2</v>
      </c>
      <c r="D741" s="9"/>
      <c r="E741" s="9"/>
      <c r="F741" s="9">
        <v>0.4</v>
      </c>
      <c r="G741" s="9">
        <v>0.8</v>
      </c>
      <c r="H741" s="9">
        <v>0.8</v>
      </c>
      <c r="I741" s="9"/>
    </row>
    <row r="742" spans="1:9" x14ac:dyDescent="0.25">
      <c r="A742" s="178"/>
      <c r="B742" s="15" t="s">
        <v>294</v>
      </c>
      <c r="C742" s="3">
        <f>SUM(D742:I742)</f>
        <v>0.5</v>
      </c>
      <c r="D742" s="9"/>
      <c r="E742" s="9"/>
      <c r="F742" s="9">
        <v>0.1</v>
      </c>
      <c r="G742" s="9">
        <v>0.2</v>
      </c>
      <c r="H742" s="9">
        <v>0.2</v>
      </c>
      <c r="I742" s="9"/>
    </row>
    <row r="743" spans="1:9" ht="24" customHeight="1" x14ac:dyDescent="0.25">
      <c r="A743" s="178"/>
      <c r="B743" s="15" t="s">
        <v>295</v>
      </c>
      <c r="C743" s="9"/>
      <c r="D743" s="9"/>
      <c r="E743" s="9"/>
      <c r="F743" s="9"/>
      <c r="G743" s="9"/>
      <c r="H743" s="9"/>
      <c r="I743" s="9"/>
    </row>
    <row r="744" spans="1:9" x14ac:dyDescent="0.25">
      <c r="A744" s="178" t="s">
        <v>90</v>
      </c>
      <c r="B744" s="15" t="s">
        <v>403</v>
      </c>
      <c r="C744" s="3">
        <f>SUM(D744:I744)</f>
        <v>210</v>
      </c>
      <c r="D744" s="3">
        <v>0</v>
      </c>
      <c r="E744" s="3">
        <f t="shared" ref="E744:I744" si="189">E745+E746+E748</f>
        <v>0</v>
      </c>
      <c r="F744" s="3">
        <f t="shared" si="189"/>
        <v>0</v>
      </c>
      <c r="G744" s="3">
        <f>G745+G746+G748+G747</f>
        <v>105</v>
      </c>
      <c r="H744" s="3">
        <f>H745+H746+H748+H747</f>
        <v>105</v>
      </c>
      <c r="I744" s="3">
        <f t="shared" si="189"/>
        <v>0</v>
      </c>
    </row>
    <row r="745" spans="1:9" x14ac:dyDescent="0.25">
      <c r="A745" s="178"/>
      <c r="B745" s="15" t="s">
        <v>292</v>
      </c>
      <c r="C745" s="3">
        <f>SUM(D745:I745)</f>
        <v>207.5</v>
      </c>
      <c r="D745" s="9"/>
      <c r="E745" s="9"/>
      <c r="F745" s="9"/>
      <c r="G745" s="9">
        <v>103.75</v>
      </c>
      <c r="H745" s="9">
        <v>103.75</v>
      </c>
      <c r="I745" s="9"/>
    </row>
    <row r="746" spans="1:9" x14ac:dyDescent="0.25">
      <c r="A746" s="178"/>
      <c r="B746" s="15" t="s">
        <v>293</v>
      </c>
      <c r="C746" s="3">
        <f>SUM(D746:I746)</f>
        <v>2</v>
      </c>
      <c r="D746" s="9"/>
      <c r="E746" s="9"/>
      <c r="F746" s="9"/>
      <c r="G746" s="9">
        <v>1</v>
      </c>
      <c r="H746" s="9">
        <v>1</v>
      </c>
      <c r="I746" s="9"/>
    </row>
    <row r="747" spans="1:9" x14ac:dyDescent="0.25">
      <c r="A747" s="178"/>
      <c r="B747" s="15" t="s">
        <v>294</v>
      </c>
      <c r="C747" s="3">
        <f>SUM(D747:I747)</f>
        <v>0.5</v>
      </c>
      <c r="D747" s="9"/>
      <c r="E747" s="9"/>
      <c r="F747" s="9"/>
      <c r="G747" s="9">
        <v>0.25</v>
      </c>
      <c r="H747" s="9">
        <v>0.25</v>
      </c>
      <c r="I747" s="9"/>
    </row>
    <row r="748" spans="1:9" ht="21.75" customHeight="1" x14ac:dyDescent="0.25">
      <c r="A748" s="178"/>
      <c r="B748" s="15" t="s">
        <v>295</v>
      </c>
      <c r="C748" s="9"/>
      <c r="D748" s="9"/>
      <c r="E748" s="9"/>
      <c r="F748" s="9"/>
      <c r="G748" s="9"/>
      <c r="H748" s="9"/>
      <c r="I748" s="9"/>
    </row>
    <row r="749" spans="1:9" x14ac:dyDescent="0.25">
      <c r="A749" s="178" t="s">
        <v>673</v>
      </c>
      <c r="B749" s="15" t="s">
        <v>403</v>
      </c>
      <c r="C749" s="3">
        <f>SUM(D749:I749)</f>
        <v>146</v>
      </c>
      <c r="D749" s="3">
        <v>0</v>
      </c>
      <c r="E749" s="3">
        <f>E750+E751+E753+E752</f>
        <v>54</v>
      </c>
      <c r="F749" s="3">
        <f>F750+F751+F753+F752</f>
        <v>57</v>
      </c>
      <c r="G749" s="3">
        <f t="shared" ref="G749" si="190">G750+G751+G753+G752</f>
        <v>35</v>
      </c>
      <c r="H749" s="3">
        <f t="shared" ref="H749:I749" si="191">H750+H751+H753</f>
        <v>0</v>
      </c>
      <c r="I749" s="3">
        <f t="shared" si="191"/>
        <v>0</v>
      </c>
    </row>
    <row r="750" spans="1:9" x14ac:dyDescent="0.25">
      <c r="A750" s="178"/>
      <c r="B750" s="15" t="s">
        <v>292</v>
      </c>
      <c r="C750" s="3">
        <f>SUM(D750:I750)</f>
        <v>0</v>
      </c>
      <c r="D750" s="3"/>
      <c r="E750" s="3"/>
      <c r="F750" s="3"/>
      <c r="G750" s="3"/>
      <c r="H750" s="3"/>
      <c r="I750" s="3"/>
    </row>
    <row r="751" spans="1:9" x14ac:dyDescent="0.25">
      <c r="A751" s="178"/>
      <c r="B751" s="15" t="s">
        <v>293</v>
      </c>
      <c r="C751" s="3">
        <f>SUM(D751:I751)</f>
        <v>116.80000000000001</v>
      </c>
      <c r="D751" s="3"/>
      <c r="E751" s="3">
        <f>54-E752</f>
        <v>43.2</v>
      </c>
      <c r="F751" s="3">
        <f>57-F752</f>
        <v>45.6</v>
      </c>
      <c r="G751" s="3">
        <f>35-G752</f>
        <v>28</v>
      </c>
      <c r="H751" s="3"/>
      <c r="I751" s="3"/>
    </row>
    <row r="752" spans="1:9" x14ac:dyDescent="0.25">
      <c r="A752" s="178"/>
      <c r="B752" s="15" t="s">
        <v>294</v>
      </c>
      <c r="C752" s="3">
        <f>SUM(D752:I752)</f>
        <v>29.200000000000003</v>
      </c>
      <c r="D752" s="9"/>
      <c r="E752" s="9">
        <v>10.8</v>
      </c>
      <c r="F752" s="9">
        <v>11.4</v>
      </c>
      <c r="G752" s="9">
        <v>7</v>
      </c>
      <c r="H752" s="9"/>
      <c r="I752" s="9"/>
    </row>
    <row r="753" spans="1:10" ht="21" customHeight="1" x14ac:dyDescent="0.25">
      <c r="A753" s="178"/>
      <c r="B753" s="15" t="s">
        <v>295</v>
      </c>
      <c r="C753" s="9"/>
      <c r="D753" s="9"/>
      <c r="E753" s="9"/>
      <c r="F753" s="9"/>
      <c r="G753" s="9"/>
      <c r="H753" s="9"/>
      <c r="I753" s="9"/>
    </row>
    <row r="754" spans="1:10" x14ac:dyDescent="0.25">
      <c r="A754" s="181" t="s">
        <v>33</v>
      </c>
      <c r="B754" s="15" t="s">
        <v>403</v>
      </c>
      <c r="C754" s="10">
        <f>SUMIF($B$719:$B$753,"Всего*",C$719:C$753)</f>
        <v>2091.4499999999998</v>
      </c>
      <c r="D754" s="10">
        <f t="shared" ref="D754:I754" si="192">SUMIF($B$719:$B$753,"Всего*",D$719:D$753)</f>
        <v>0</v>
      </c>
      <c r="E754" s="10">
        <f t="shared" si="192"/>
        <v>122.05</v>
      </c>
      <c r="F754" s="10">
        <f t="shared" si="192"/>
        <v>876.4</v>
      </c>
      <c r="G754" s="10">
        <f t="shared" si="192"/>
        <v>594.5</v>
      </c>
      <c r="H754" s="10">
        <f t="shared" si="192"/>
        <v>498.5</v>
      </c>
      <c r="I754" s="10">
        <f t="shared" si="192"/>
        <v>0</v>
      </c>
      <c r="J754" s="11"/>
    </row>
    <row r="755" spans="1:10" x14ac:dyDescent="0.25">
      <c r="A755" s="181"/>
      <c r="B755" s="15" t="s">
        <v>292</v>
      </c>
      <c r="C755" s="10">
        <f t="shared" ref="C755:I755" si="193">SUMIF($B$719:$B$753,"фед*",C$719:C$753)</f>
        <v>1709.3</v>
      </c>
      <c r="D755" s="10">
        <f t="shared" si="193"/>
        <v>0</v>
      </c>
      <c r="E755" s="10">
        <f t="shared" si="193"/>
        <v>0</v>
      </c>
      <c r="F755" s="10">
        <f t="shared" si="193"/>
        <v>715.4</v>
      </c>
      <c r="G755" s="10">
        <f t="shared" si="193"/>
        <v>524.4</v>
      </c>
      <c r="H755" s="10">
        <f t="shared" si="193"/>
        <v>469.5</v>
      </c>
      <c r="I755" s="10">
        <f t="shared" si="193"/>
        <v>0</v>
      </c>
      <c r="J755" s="11"/>
    </row>
    <row r="756" spans="1:10" x14ac:dyDescent="0.25">
      <c r="A756" s="181"/>
      <c r="B756" s="15" t="s">
        <v>293</v>
      </c>
      <c r="C756" s="10">
        <f>SUMIF($B$719:$B$753,"респ*",C$719:C$753)</f>
        <v>305.64</v>
      </c>
      <c r="D756" s="10">
        <f t="shared" ref="D756:I756" si="194">SUMIF($B$719:$B$753,"респ*",D$719:D$753)</f>
        <v>0</v>
      </c>
      <c r="E756" s="10">
        <f t="shared" si="194"/>
        <v>97.64</v>
      </c>
      <c r="F756" s="10">
        <f t="shared" si="194"/>
        <v>128.80000000000001</v>
      </c>
      <c r="G756" s="10">
        <f t="shared" si="194"/>
        <v>56.05</v>
      </c>
      <c r="H756" s="10">
        <f t="shared" si="194"/>
        <v>23.15</v>
      </c>
      <c r="I756" s="10">
        <f t="shared" si="194"/>
        <v>0</v>
      </c>
      <c r="J756" s="11"/>
    </row>
    <row r="757" spans="1:10" x14ac:dyDescent="0.25">
      <c r="A757" s="181"/>
      <c r="B757" s="15" t="s">
        <v>294</v>
      </c>
      <c r="C757" s="10">
        <f>SUMIF($B$719:$B$753,"муниц*",C$719:C$753)</f>
        <v>76.510000000000005</v>
      </c>
      <c r="D757" s="10">
        <f t="shared" ref="D757:I757" si="195">SUMIF($B$719:$B$753,"муниц*",D$719:D$753)</f>
        <v>0</v>
      </c>
      <c r="E757" s="10">
        <f t="shared" si="195"/>
        <v>24.41</v>
      </c>
      <c r="F757" s="10">
        <f t="shared" si="195"/>
        <v>32.200000000000003</v>
      </c>
      <c r="G757" s="10">
        <f t="shared" si="195"/>
        <v>14.05</v>
      </c>
      <c r="H757" s="10">
        <f t="shared" si="195"/>
        <v>5.85</v>
      </c>
      <c r="I757" s="10">
        <f t="shared" si="195"/>
        <v>0</v>
      </c>
    </row>
    <row r="758" spans="1:10" ht="27.75" customHeight="1" x14ac:dyDescent="0.25">
      <c r="A758" s="181"/>
      <c r="B758" s="15" t="s">
        <v>295</v>
      </c>
      <c r="C758" s="10">
        <f t="shared" ref="C758:I758" si="196">SUMIF($B$719:$B$753,"вне*",C$719:C$753)</f>
        <v>0</v>
      </c>
      <c r="D758" s="10">
        <f t="shared" si="196"/>
        <v>0</v>
      </c>
      <c r="E758" s="10">
        <f t="shared" si="196"/>
        <v>0</v>
      </c>
      <c r="F758" s="10">
        <f t="shared" si="196"/>
        <v>0</v>
      </c>
      <c r="G758" s="10">
        <f t="shared" si="196"/>
        <v>0</v>
      </c>
      <c r="H758" s="10">
        <f t="shared" si="196"/>
        <v>0</v>
      </c>
      <c r="I758" s="10">
        <f t="shared" si="196"/>
        <v>0</v>
      </c>
    </row>
    <row r="759" spans="1:10" x14ac:dyDescent="0.25">
      <c r="A759" s="176" t="s">
        <v>12</v>
      </c>
      <c r="B759" s="176"/>
      <c r="C759" s="176"/>
      <c r="D759" s="176"/>
      <c r="E759" s="176"/>
      <c r="F759" s="176"/>
      <c r="G759" s="176"/>
      <c r="H759" s="176"/>
      <c r="I759" s="176"/>
    </row>
    <row r="760" spans="1:10" x14ac:dyDescent="0.25">
      <c r="A760" s="178" t="s">
        <v>174</v>
      </c>
      <c r="B760" s="15" t="s">
        <v>403</v>
      </c>
      <c r="C760" s="3">
        <f t="shared" ref="C760:C799" si="197">SUM(D760:I760)</f>
        <v>4000</v>
      </c>
      <c r="D760" s="3">
        <f t="shared" ref="D760:I760" si="198">D761+D762+D764</f>
        <v>0</v>
      </c>
      <c r="E760" s="3">
        <f t="shared" si="198"/>
        <v>0</v>
      </c>
      <c r="F760" s="3">
        <f t="shared" si="198"/>
        <v>0</v>
      </c>
      <c r="G760" s="3">
        <f t="shared" si="198"/>
        <v>1500</v>
      </c>
      <c r="H760" s="3">
        <f t="shared" si="198"/>
        <v>1250</v>
      </c>
      <c r="I760" s="3">
        <f t="shared" si="198"/>
        <v>1250</v>
      </c>
    </row>
    <row r="761" spans="1:10" x14ac:dyDescent="0.25">
      <c r="A761" s="178"/>
      <c r="B761" s="15" t="s">
        <v>292</v>
      </c>
      <c r="C761" s="3">
        <f t="shared" si="197"/>
        <v>3600</v>
      </c>
      <c r="D761" s="3"/>
      <c r="E761" s="3"/>
      <c r="F761" s="3"/>
      <c r="G761" s="3">
        <v>1350</v>
      </c>
      <c r="H761" s="3">
        <v>1125</v>
      </c>
      <c r="I761" s="3">
        <v>1125</v>
      </c>
    </row>
    <row r="762" spans="1:10" x14ac:dyDescent="0.25">
      <c r="A762" s="178"/>
      <c r="B762" s="15" t="s">
        <v>293</v>
      </c>
      <c r="C762" s="3">
        <f t="shared" si="197"/>
        <v>400</v>
      </c>
      <c r="D762" s="3"/>
      <c r="E762" s="3"/>
      <c r="F762" s="3"/>
      <c r="G762" s="3">
        <v>150</v>
      </c>
      <c r="H762" s="3">
        <v>125</v>
      </c>
      <c r="I762" s="3">
        <v>125</v>
      </c>
    </row>
    <row r="763" spans="1:10" x14ac:dyDescent="0.25">
      <c r="A763" s="178"/>
      <c r="B763" s="15" t="s">
        <v>294</v>
      </c>
      <c r="C763" s="3"/>
      <c r="D763" s="9"/>
      <c r="E763" s="9"/>
      <c r="F763" s="9"/>
      <c r="G763" s="9"/>
      <c r="H763" s="9"/>
      <c r="I763" s="9"/>
    </row>
    <row r="764" spans="1:10" x14ac:dyDescent="0.25">
      <c r="A764" s="178"/>
      <c r="B764" s="15" t="s">
        <v>295</v>
      </c>
      <c r="C764" s="3">
        <f t="shared" si="197"/>
        <v>0</v>
      </c>
      <c r="D764" s="3"/>
      <c r="E764" s="3"/>
      <c r="F764" s="3"/>
      <c r="G764" s="3"/>
      <c r="H764" s="3"/>
      <c r="I764" s="3"/>
    </row>
    <row r="765" spans="1:10" x14ac:dyDescent="0.25">
      <c r="A765" s="178" t="s">
        <v>37</v>
      </c>
      <c r="B765" s="15" t="s">
        <v>403</v>
      </c>
      <c r="C765" s="3">
        <f t="shared" ref="C765:C769" si="199">SUM(D765:I765)</f>
        <v>780</v>
      </c>
      <c r="D765" s="3">
        <f t="shared" ref="D765:I765" si="200">D766+D767+D769</f>
        <v>0</v>
      </c>
      <c r="E765" s="3">
        <f t="shared" si="200"/>
        <v>0</v>
      </c>
      <c r="F765" s="3">
        <f t="shared" si="200"/>
        <v>0</v>
      </c>
      <c r="G765" s="3">
        <f>G766+G767+G768+G769</f>
        <v>300</v>
      </c>
      <c r="H765" s="3">
        <f>H766+H767+H768+H769</f>
        <v>479.99999999999994</v>
      </c>
      <c r="I765" s="3">
        <f t="shared" si="200"/>
        <v>0</v>
      </c>
    </row>
    <row r="766" spans="1:10" x14ac:dyDescent="0.25">
      <c r="A766" s="178"/>
      <c r="B766" s="15" t="s">
        <v>292</v>
      </c>
      <c r="C766" s="3">
        <f t="shared" si="199"/>
        <v>772.2</v>
      </c>
      <c r="D766" s="3"/>
      <c r="E766" s="3"/>
      <c r="F766" s="3"/>
      <c r="G766" s="3">
        <v>297</v>
      </c>
      <c r="H766" s="3">
        <v>475.2</v>
      </c>
      <c r="I766" s="3"/>
    </row>
    <row r="767" spans="1:10" x14ac:dyDescent="0.25">
      <c r="A767" s="178"/>
      <c r="B767" s="15" t="s">
        <v>293</v>
      </c>
      <c r="C767" s="3">
        <f t="shared" si="199"/>
        <v>6.24</v>
      </c>
      <c r="D767" s="3"/>
      <c r="E767" s="3"/>
      <c r="F767" s="3"/>
      <c r="G767" s="3">
        <v>2.4</v>
      </c>
      <c r="H767" s="3">
        <v>3.84</v>
      </c>
      <c r="I767" s="3"/>
    </row>
    <row r="768" spans="1:10" x14ac:dyDescent="0.25">
      <c r="A768" s="178"/>
      <c r="B768" s="15" t="s">
        <v>294</v>
      </c>
      <c r="C768" s="3">
        <f t="shared" si="199"/>
        <v>1.56</v>
      </c>
      <c r="D768" s="9"/>
      <c r="E768" s="9"/>
      <c r="F768" s="9"/>
      <c r="G768" s="9">
        <v>0.6</v>
      </c>
      <c r="H768" s="9">
        <v>0.96</v>
      </c>
      <c r="I768" s="9"/>
    </row>
    <row r="769" spans="1:9" x14ac:dyDescent="0.25">
      <c r="A769" s="178"/>
      <c r="B769" s="15" t="s">
        <v>295</v>
      </c>
      <c r="C769" s="3">
        <f t="shared" si="199"/>
        <v>0</v>
      </c>
      <c r="D769" s="3"/>
      <c r="E769" s="3"/>
      <c r="F769" s="3"/>
      <c r="G769" s="3"/>
      <c r="H769" s="3"/>
      <c r="I769" s="3"/>
    </row>
    <row r="770" spans="1:9" x14ac:dyDescent="0.25">
      <c r="A770" s="178" t="s">
        <v>36</v>
      </c>
      <c r="B770" s="15" t="s">
        <v>403</v>
      </c>
      <c r="C770" s="3">
        <f t="shared" si="197"/>
        <v>600</v>
      </c>
      <c r="D770" s="3">
        <f t="shared" ref="D770:H770" si="201">D771+D772+D774</f>
        <v>0</v>
      </c>
      <c r="E770" s="3">
        <f t="shared" si="201"/>
        <v>0</v>
      </c>
      <c r="F770" s="3">
        <f>F771+F772+F774</f>
        <v>0</v>
      </c>
      <c r="G770" s="3">
        <f>G771+G772+G774</f>
        <v>0</v>
      </c>
      <c r="H770" s="3">
        <f t="shared" si="201"/>
        <v>0</v>
      </c>
      <c r="I770" s="3">
        <f>I771+I772+I773+I774</f>
        <v>600</v>
      </c>
    </row>
    <row r="771" spans="1:9" x14ac:dyDescent="0.25">
      <c r="A771" s="178"/>
      <c r="B771" s="15" t="s">
        <v>292</v>
      </c>
      <c r="C771" s="3">
        <f t="shared" si="197"/>
        <v>594</v>
      </c>
      <c r="D771" s="3"/>
      <c r="E771" s="3"/>
      <c r="F771" s="3"/>
      <c r="G771" s="3"/>
      <c r="H771" s="3"/>
      <c r="I771" s="3">
        <v>594</v>
      </c>
    </row>
    <row r="772" spans="1:9" x14ac:dyDescent="0.25">
      <c r="A772" s="178"/>
      <c r="B772" s="15" t="s">
        <v>293</v>
      </c>
      <c r="C772" s="3">
        <f t="shared" si="197"/>
        <v>4.8</v>
      </c>
      <c r="D772" s="3"/>
      <c r="E772" s="3"/>
      <c r="F772" s="3"/>
      <c r="G772" s="3"/>
      <c r="H772" s="3"/>
      <c r="I772" s="3">
        <v>4.8</v>
      </c>
    </row>
    <row r="773" spans="1:9" x14ac:dyDescent="0.25">
      <c r="A773" s="178"/>
      <c r="B773" s="15" t="s">
        <v>294</v>
      </c>
      <c r="C773" s="3">
        <f t="shared" si="197"/>
        <v>1.2</v>
      </c>
      <c r="D773" s="9"/>
      <c r="E773" s="9"/>
      <c r="F773" s="9"/>
      <c r="G773" s="9"/>
      <c r="H773" s="9"/>
      <c r="I773" s="9">
        <v>1.2</v>
      </c>
    </row>
    <row r="774" spans="1:9" x14ac:dyDescent="0.25">
      <c r="A774" s="178"/>
      <c r="B774" s="15" t="s">
        <v>295</v>
      </c>
      <c r="C774" s="3">
        <f t="shared" si="197"/>
        <v>0</v>
      </c>
      <c r="D774" s="3"/>
      <c r="E774" s="3"/>
      <c r="F774" s="3"/>
      <c r="G774" s="3"/>
      <c r="H774" s="3"/>
      <c r="I774" s="3"/>
    </row>
    <row r="775" spans="1:9" x14ac:dyDescent="0.25">
      <c r="A775" s="178" t="s">
        <v>38</v>
      </c>
      <c r="B775" s="15" t="s">
        <v>403</v>
      </c>
      <c r="C775" s="3">
        <f t="shared" si="197"/>
        <v>361.59999999999997</v>
      </c>
      <c r="D775" s="3">
        <f t="shared" ref="D775:I775" si="202">D776+D777+D779</f>
        <v>0</v>
      </c>
      <c r="E775" s="3">
        <f t="shared" si="202"/>
        <v>0</v>
      </c>
      <c r="F775" s="3">
        <f t="shared" si="202"/>
        <v>0</v>
      </c>
      <c r="G775" s="3">
        <f>G776+G777+G778+G779</f>
        <v>361.59999999999997</v>
      </c>
      <c r="H775" s="3">
        <f t="shared" si="202"/>
        <v>0</v>
      </c>
      <c r="I775" s="3">
        <f t="shared" si="202"/>
        <v>0</v>
      </c>
    </row>
    <row r="776" spans="1:9" x14ac:dyDescent="0.25">
      <c r="A776" s="178"/>
      <c r="B776" s="15" t="s">
        <v>292</v>
      </c>
      <c r="C776" s="3">
        <f t="shared" si="197"/>
        <v>358.7</v>
      </c>
      <c r="D776" s="3"/>
      <c r="E776" s="3"/>
      <c r="F776" s="3"/>
      <c r="G776" s="3">
        <v>358.7</v>
      </c>
      <c r="H776" s="3"/>
      <c r="I776" s="3"/>
    </row>
    <row r="777" spans="1:9" x14ac:dyDescent="0.25">
      <c r="A777" s="178"/>
      <c r="B777" s="15" t="s">
        <v>293</v>
      </c>
      <c r="C777" s="3">
        <f t="shared" si="197"/>
        <v>2.3199999999999998</v>
      </c>
      <c r="D777" s="3"/>
      <c r="E777" s="3"/>
      <c r="F777" s="3"/>
      <c r="G777" s="3">
        <v>2.3199999999999998</v>
      </c>
      <c r="H777" s="3"/>
      <c r="I777" s="3"/>
    </row>
    <row r="778" spans="1:9" x14ac:dyDescent="0.25">
      <c r="A778" s="178"/>
      <c r="B778" s="15" t="s">
        <v>294</v>
      </c>
      <c r="C778" s="3">
        <f t="shared" si="197"/>
        <v>0.57999999999999996</v>
      </c>
      <c r="D778" s="9"/>
      <c r="E778" s="9"/>
      <c r="F778" s="9"/>
      <c r="G778" s="9">
        <v>0.57999999999999996</v>
      </c>
      <c r="H778" s="9"/>
      <c r="I778" s="9"/>
    </row>
    <row r="779" spans="1:9" x14ac:dyDescent="0.25">
      <c r="A779" s="178"/>
      <c r="B779" s="15" t="s">
        <v>295</v>
      </c>
      <c r="C779" s="3">
        <f t="shared" si="197"/>
        <v>0</v>
      </c>
      <c r="D779" s="3"/>
      <c r="E779" s="3"/>
      <c r="F779" s="3"/>
      <c r="G779" s="3"/>
      <c r="H779" s="3"/>
      <c r="I779" s="3"/>
    </row>
    <row r="780" spans="1:9" x14ac:dyDescent="0.25">
      <c r="A780" s="178" t="s">
        <v>172</v>
      </c>
      <c r="B780" s="15" t="s">
        <v>403</v>
      </c>
      <c r="C780" s="3">
        <f t="shared" si="197"/>
        <v>100</v>
      </c>
      <c r="D780" s="3">
        <f t="shared" ref="D780:E780" si="203">D781+D782+D784</f>
        <v>0</v>
      </c>
      <c r="E780" s="3">
        <f t="shared" si="203"/>
        <v>0</v>
      </c>
      <c r="F780" s="3">
        <f>F781+F782+F784</f>
        <v>0</v>
      </c>
      <c r="G780" s="3">
        <f>G781+G782+G784</f>
        <v>0</v>
      </c>
      <c r="H780" s="3">
        <f t="shared" ref="H780" si="204">H781+H782+H784</f>
        <v>0</v>
      </c>
      <c r="I780" s="3">
        <f>I781+I782+I783+I784</f>
        <v>100</v>
      </c>
    </row>
    <row r="781" spans="1:9" x14ac:dyDescent="0.25">
      <c r="A781" s="178"/>
      <c r="B781" s="15" t="s">
        <v>292</v>
      </c>
      <c r="C781" s="3">
        <f t="shared" si="197"/>
        <v>99</v>
      </c>
      <c r="D781" s="17"/>
      <c r="E781" s="17"/>
      <c r="F781" s="17"/>
      <c r="G781" s="17"/>
      <c r="H781" s="17"/>
      <c r="I781" s="9">
        <v>99</v>
      </c>
    </row>
    <row r="782" spans="1:9" x14ac:dyDescent="0.25">
      <c r="A782" s="178"/>
      <c r="B782" s="15" t="s">
        <v>293</v>
      </c>
      <c r="C782" s="3">
        <f t="shared" si="197"/>
        <v>0.8</v>
      </c>
      <c r="D782" s="17"/>
      <c r="E782" s="17"/>
      <c r="F782" s="17"/>
      <c r="G782" s="17"/>
      <c r="H782" s="17"/>
      <c r="I782" s="9">
        <v>0.8</v>
      </c>
    </row>
    <row r="783" spans="1:9" x14ac:dyDescent="0.25">
      <c r="A783" s="178"/>
      <c r="B783" s="15" t="s">
        <v>294</v>
      </c>
      <c r="C783" s="3">
        <f t="shared" si="197"/>
        <v>0.2</v>
      </c>
      <c r="D783" s="9"/>
      <c r="E783" s="9"/>
      <c r="F783" s="9"/>
      <c r="G783" s="9"/>
      <c r="H783" s="9"/>
      <c r="I783" s="9">
        <v>0.2</v>
      </c>
    </row>
    <row r="784" spans="1:9" x14ac:dyDescent="0.25">
      <c r="A784" s="178"/>
      <c r="B784" s="15" t="s">
        <v>295</v>
      </c>
      <c r="C784" s="3">
        <f t="shared" si="197"/>
        <v>0</v>
      </c>
      <c r="D784" s="3"/>
      <c r="E784" s="3"/>
      <c r="F784" s="3"/>
      <c r="G784" s="3"/>
      <c r="H784" s="3"/>
      <c r="I784" s="3"/>
    </row>
    <row r="785" spans="1:9" x14ac:dyDescent="0.25">
      <c r="A785" s="178" t="s">
        <v>91</v>
      </c>
      <c r="B785" s="15" t="s">
        <v>403</v>
      </c>
      <c r="C785" s="3">
        <f t="shared" si="197"/>
        <v>50</v>
      </c>
      <c r="D785" s="3">
        <f t="shared" ref="D785:H785" si="205">D786+D787+D789</f>
        <v>0</v>
      </c>
      <c r="E785" s="3">
        <f t="shared" si="205"/>
        <v>0</v>
      </c>
      <c r="F785" s="3">
        <f t="shared" si="205"/>
        <v>0</v>
      </c>
      <c r="G785" s="3">
        <f t="shared" si="205"/>
        <v>0</v>
      </c>
      <c r="H785" s="3">
        <f t="shared" si="205"/>
        <v>0</v>
      </c>
      <c r="I785" s="3">
        <f>I786+I787+I788+I789</f>
        <v>50</v>
      </c>
    </row>
    <row r="786" spans="1:9" x14ac:dyDescent="0.25">
      <c r="A786" s="178"/>
      <c r="B786" s="15" t="s">
        <v>292</v>
      </c>
      <c r="C786" s="3">
        <f t="shared" si="197"/>
        <v>49.5</v>
      </c>
      <c r="D786" s="3"/>
      <c r="E786" s="3"/>
      <c r="F786" s="3"/>
      <c r="G786" s="3"/>
      <c r="H786" s="3"/>
      <c r="I786" s="3">
        <v>49.5</v>
      </c>
    </row>
    <row r="787" spans="1:9" x14ac:dyDescent="0.25">
      <c r="A787" s="178"/>
      <c r="B787" s="15" t="s">
        <v>293</v>
      </c>
      <c r="C787" s="3">
        <f t="shared" si="197"/>
        <v>0.4</v>
      </c>
      <c r="D787" s="3"/>
      <c r="E787" s="3"/>
      <c r="F787" s="3"/>
      <c r="G787" s="3"/>
      <c r="H787" s="3"/>
      <c r="I787" s="3">
        <v>0.4</v>
      </c>
    </row>
    <row r="788" spans="1:9" x14ac:dyDescent="0.25">
      <c r="A788" s="178"/>
      <c r="B788" s="15" t="s">
        <v>294</v>
      </c>
      <c r="C788" s="3">
        <f t="shared" si="197"/>
        <v>0.1</v>
      </c>
      <c r="D788" s="9"/>
      <c r="E788" s="9"/>
      <c r="F788" s="9"/>
      <c r="G788" s="9"/>
      <c r="H788" s="9"/>
      <c r="I788" s="9">
        <v>0.1</v>
      </c>
    </row>
    <row r="789" spans="1:9" ht="24" customHeight="1" x14ac:dyDescent="0.25">
      <c r="A789" s="178"/>
      <c r="B789" s="15" t="s">
        <v>295</v>
      </c>
      <c r="C789" s="3">
        <f t="shared" si="197"/>
        <v>0</v>
      </c>
      <c r="D789" s="3"/>
      <c r="E789" s="3"/>
      <c r="F789" s="3"/>
      <c r="G789" s="3"/>
      <c r="H789" s="3"/>
      <c r="I789" s="3"/>
    </row>
    <row r="790" spans="1:9" x14ac:dyDescent="0.25">
      <c r="A790" s="178" t="s">
        <v>173</v>
      </c>
      <c r="B790" s="15" t="s">
        <v>403</v>
      </c>
      <c r="C790" s="3">
        <f t="shared" si="197"/>
        <v>50</v>
      </c>
      <c r="D790" s="3">
        <f t="shared" ref="D790:H790" si="206">D791+D792+D794</f>
        <v>0</v>
      </c>
      <c r="E790" s="3">
        <f t="shared" si="206"/>
        <v>0</v>
      </c>
      <c r="F790" s="3">
        <f>F791+F792+F793+F794</f>
        <v>50</v>
      </c>
      <c r="G790" s="3">
        <f t="shared" si="206"/>
        <v>0</v>
      </c>
      <c r="H790" s="3">
        <f t="shared" si="206"/>
        <v>0</v>
      </c>
      <c r="I790" s="3"/>
    </row>
    <row r="791" spans="1:9" x14ac:dyDescent="0.25">
      <c r="A791" s="178"/>
      <c r="B791" s="15" t="s">
        <v>292</v>
      </c>
      <c r="C791" s="3">
        <f t="shared" si="197"/>
        <v>49.5</v>
      </c>
      <c r="D791" s="3"/>
      <c r="E791" s="3"/>
      <c r="F791" s="3">
        <v>49.5</v>
      </c>
      <c r="G791" s="3"/>
      <c r="H791" s="3"/>
      <c r="I791" s="3"/>
    </row>
    <row r="792" spans="1:9" x14ac:dyDescent="0.25">
      <c r="A792" s="178"/>
      <c r="B792" s="15" t="s">
        <v>293</v>
      </c>
      <c r="C792" s="3">
        <f t="shared" si="197"/>
        <v>0.4</v>
      </c>
      <c r="D792" s="3"/>
      <c r="E792" s="3"/>
      <c r="F792" s="3">
        <v>0.4</v>
      </c>
      <c r="G792" s="3"/>
      <c r="H792" s="3"/>
      <c r="I792" s="3"/>
    </row>
    <row r="793" spans="1:9" x14ac:dyDescent="0.25">
      <c r="A793" s="178"/>
      <c r="B793" s="15" t="s">
        <v>294</v>
      </c>
      <c r="C793" s="3">
        <f t="shared" si="197"/>
        <v>0.1</v>
      </c>
      <c r="D793" s="9"/>
      <c r="E793" s="9"/>
      <c r="F793" s="9">
        <v>0.1</v>
      </c>
      <c r="G793" s="9"/>
      <c r="H793" s="9"/>
      <c r="I793" s="9"/>
    </row>
    <row r="794" spans="1:9" x14ac:dyDescent="0.25">
      <c r="A794" s="178"/>
      <c r="B794" s="15" t="s">
        <v>295</v>
      </c>
      <c r="C794" s="3">
        <f t="shared" si="197"/>
        <v>0</v>
      </c>
      <c r="D794" s="3"/>
      <c r="E794" s="3"/>
      <c r="F794" s="3"/>
      <c r="G794" s="3"/>
      <c r="H794" s="3"/>
      <c r="I794" s="3"/>
    </row>
    <row r="795" spans="1:9" x14ac:dyDescent="0.25">
      <c r="A795" s="178" t="s">
        <v>100</v>
      </c>
      <c r="B795" s="15" t="s">
        <v>403</v>
      </c>
      <c r="C795" s="3">
        <f t="shared" si="197"/>
        <v>305.39999999999998</v>
      </c>
      <c r="D795" s="3">
        <f t="shared" ref="D795:E795" si="207">D796+D797+D798+D799</f>
        <v>5.4</v>
      </c>
      <c r="E795" s="3">
        <f t="shared" si="207"/>
        <v>150</v>
      </c>
      <c r="F795" s="3">
        <f>F796+F797+F798+F799</f>
        <v>150</v>
      </c>
      <c r="G795" s="3">
        <f t="shared" ref="G795:I795" si="208">SUM(G796:G797)</f>
        <v>0</v>
      </c>
      <c r="H795" s="3">
        <f t="shared" si="208"/>
        <v>0</v>
      </c>
      <c r="I795" s="3">
        <f t="shared" si="208"/>
        <v>0</v>
      </c>
    </row>
    <row r="796" spans="1:9" x14ac:dyDescent="0.25">
      <c r="A796" s="178"/>
      <c r="B796" s="15" t="s">
        <v>292</v>
      </c>
      <c r="C796" s="3">
        <f t="shared" si="197"/>
        <v>297</v>
      </c>
      <c r="D796" s="3"/>
      <c r="E796" s="3">
        <v>148.5</v>
      </c>
      <c r="F796" s="3">
        <v>148.5</v>
      </c>
      <c r="G796" s="3"/>
      <c r="H796" s="3"/>
      <c r="I796" s="3"/>
    </row>
    <row r="797" spans="1:9" x14ac:dyDescent="0.25">
      <c r="A797" s="178"/>
      <c r="B797" s="15" t="s">
        <v>293</v>
      </c>
      <c r="C797" s="3">
        <f t="shared" si="197"/>
        <v>2.4</v>
      </c>
      <c r="D797" s="3">
        <v>0</v>
      </c>
      <c r="E797" s="3">
        <v>1.2</v>
      </c>
      <c r="F797" s="3">
        <v>1.2</v>
      </c>
      <c r="G797" s="3"/>
      <c r="H797" s="3"/>
      <c r="I797" s="3"/>
    </row>
    <row r="798" spans="1:9" x14ac:dyDescent="0.25">
      <c r="A798" s="178"/>
      <c r="B798" s="15" t="s">
        <v>294</v>
      </c>
      <c r="C798" s="3">
        <f t="shared" si="197"/>
        <v>6</v>
      </c>
      <c r="D798" s="9">
        <v>5.4</v>
      </c>
      <c r="E798" s="9">
        <v>0.3</v>
      </c>
      <c r="F798" s="9">
        <v>0.3</v>
      </c>
      <c r="G798" s="9"/>
      <c r="H798" s="9"/>
      <c r="I798" s="9"/>
    </row>
    <row r="799" spans="1:9" x14ac:dyDescent="0.25">
      <c r="A799" s="178"/>
      <c r="B799" s="15" t="s">
        <v>295</v>
      </c>
      <c r="C799" s="3">
        <f t="shared" si="197"/>
        <v>0</v>
      </c>
      <c r="D799" s="3"/>
      <c r="E799" s="3"/>
      <c r="F799" s="3"/>
      <c r="G799" s="3"/>
      <c r="H799" s="3"/>
      <c r="I799" s="3"/>
    </row>
    <row r="800" spans="1:9" x14ac:dyDescent="0.25">
      <c r="A800" s="178" t="s">
        <v>92</v>
      </c>
      <c r="B800" s="15" t="s">
        <v>403</v>
      </c>
      <c r="C800" s="3">
        <f>SUM(D800:I800)</f>
        <v>900</v>
      </c>
      <c r="D800" s="3">
        <f t="shared" ref="D800:E800" si="209">D801+D802+D804</f>
        <v>0</v>
      </c>
      <c r="E800" s="3">
        <f t="shared" si="209"/>
        <v>0</v>
      </c>
      <c r="F800" s="3">
        <f t="shared" ref="F800:H800" si="210">F801+F802+F803+F804</f>
        <v>225</v>
      </c>
      <c r="G800" s="3">
        <f t="shared" si="210"/>
        <v>225</v>
      </c>
      <c r="H800" s="3">
        <f t="shared" si="210"/>
        <v>225</v>
      </c>
      <c r="I800" s="3">
        <f>I801+I802+I803+I804</f>
        <v>225</v>
      </c>
    </row>
    <row r="801" spans="1:11" x14ac:dyDescent="0.25">
      <c r="A801" s="178"/>
      <c r="B801" s="15" t="s">
        <v>292</v>
      </c>
      <c r="C801" s="3">
        <f>SUM(D801:I801)</f>
        <v>891</v>
      </c>
      <c r="D801" s="3"/>
      <c r="E801" s="3"/>
      <c r="F801" s="3">
        <v>222.75</v>
      </c>
      <c r="G801" s="3">
        <v>222.75</v>
      </c>
      <c r="H801" s="3">
        <v>222.75</v>
      </c>
      <c r="I801" s="3">
        <v>222.75</v>
      </c>
    </row>
    <row r="802" spans="1:11" x14ac:dyDescent="0.25">
      <c r="A802" s="178"/>
      <c r="B802" s="15" t="s">
        <v>293</v>
      </c>
      <c r="C802" s="3">
        <f>SUM(D802:I802)</f>
        <v>7.2</v>
      </c>
      <c r="D802" s="3"/>
      <c r="E802" s="3"/>
      <c r="F802" s="3">
        <v>1.8</v>
      </c>
      <c r="G802" s="3">
        <v>1.8</v>
      </c>
      <c r="H802" s="3">
        <v>1.8</v>
      </c>
      <c r="I802" s="3">
        <v>1.8</v>
      </c>
    </row>
    <row r="803" spans="1:11" x14ac:dyDescent="0.25">
      <c r="A803" s="178"/>
      <c r="B803" s="15" t="s">
        <v>294</v>
      </c>
      <c r="C803" s="3">
        <f>SUM(D803:I803)</f>
        <v>1.8</v>
      </c>
      <c r="D803" s="9"/>
      <c r="E803" s="9"/>
      <c r="F803" s="9">
        <v>0.45</v>
      </c>
      <c r="G803" s="9">
        <v>0.45</v>
      </c>
      <c r="H803" s="9">
        <v>0.45</v>
      </c>
      <c r="I803" s="9">
        <v>0.45</v>
      </c>
    </row>
    <row r="804" spans="1:11" x14ac:dyDescent="0.25">
      <c r="A804" s="178"/>
      <c r="B804" s="15" t="s">
        <v>295</v>
      </c>
      <c r="C804" s="9"/>
      <c r="D804" s="3"/>
      <c r="E804" s="3"/>
      <c r="F804" s="3"/>
      <c r="G804" s="3"/>
      <c r="H804" s="3"/>
      <c r="I804" s="3"/>
    </row>
    <row r="805" spans="1:11" collapsed="1" x14ac:dyDescent="0.25">
      <c r="A805" s="179" t="s">
        <v>34</v>
      </c>
      <c r="B805" s="21" t="s">
        <v>403</v>
      </c>
      <c r="C805" s="10">
        <f>SUMIF($B$760:$B$804,"Всего*",C$760:C$804)</f>
        <v>7147</v>
      </c>
      <c r="D805" s="10">
        <f t="shared" ref="D805:I805" si="211">SUMIF($B$760:$B$804,"Всего*",D$760:D$804)</f>
        <v>5.4</v>
      </c>
      <c r="E805" s="10">
        <f t="shared" si="211"/>
        <v>150</v>
      </c>
      <c r="F805" s="10">
        <f t="shared" si="211"/>
        <v>425</v>
      </c>
      <c r="G805" s="10">
        <f t="shared" si="211"/>
        <v>2386.6</v>
      </c>
      <c r="H805" s="10">
        <f t="shared" si="211"/>
        <v>1955</v>
      </c>
      <c r="I805" s="10">
        <f t="shared" si="211"/>
        <v>2225</v>
      </c>
      <c r="J805" s="11"/>
    </row>
    <row r="806" spans="1:11" x14ac:dyDescent="0.25">
      <c r="A806" s="179"/>
      <c r="B806" s="21" t="s">
        <v>292</v>
      </c>
      <c r="C806" s="10">
        <f>SUMIF($B$760:$B$804,"фед*",C$760:C$804)</f>
        <v>6710.9</v>
      </c>
      <c r="D806" s="10">
        <f t="shared" ref="D806:I806" si="212">SUMIF($B$760:$B$804,"фед*",D$760:D$804)</f>
        <v>0</v>
      </c>
      <c r="E806" s="10">
        <f t="shared" si="212"/>
        <v>148.5</v>
      </c>
      <c r="F806" s="10">
        <f t="shared" si="212"/>
        <v>420.75</v>
      </c>
      <c r="G806" s="10">
        <f t="shared" si="212"/>
        <v>2228.4499999999998</v>
      </c>
      <c r="H806" s="10">
        <f t="shared" si="212"/>
        <v>1822.95</v>
      </c>
      <c r="I806" s="10">
        <f t="shared" si="212"/>
        <v>2090.25</v>
      </c>
      <c r="J806" s="11"/>
    </row>
    <row r="807" spans="1:11" x14ac:dyDescent="0.25">
      <c r="A807" s="179"/>
      <c r="B807" s="21" t="s">
        <v>293</v>
      </c>
      <c r="C807" s="10">
        <f>SUMIF($B$760:$B$804,"респ*",C$760:C$804)</f>
        <v>424.55999999999995</v>
      </c>
      <c r="D807" s="10">
        <f t="shared" ref="D807:I807" si="213">SUMIF($B$760:$B$804,"респ*",D$760:D$804)</f>
        <v>0</v>
      </c>
      <c r="E807" s="10">
        <f t="shared" si="213"/>
        <v>1.2</v>
      </c>
      <c r="F807" s="10">
        <f t="shared" si="213"/>
        <v>3.4000000000000004</v>
      </c>
      <c r="G807" s="10">
        <f t="shared" si="213"/>
        <v>156.52000000000001</v>
      </c>
      <c r="H807" s="10">
        <f t="shared" si="213"/>
        <v>130.64000000000001</v>
      </c>
      <c r="I807" s="10">
        <f t="shared" si="213"/>
        <v>132.80000000000004</v>
      </c>
      <c r="J807" s="11"/>
    </row>
    <row r="808" spans="1:11" x14ac:dyDescent="0.25">
      <c r="A808" s="179"/>
      <c r="B808" s="21" t="s">
        <v>294</v>
      </c>
      <c r="C808" s="10">
        <f>SUMIF($B$760:$B$804,"муниц*",C$760:C$804)</f>
        <v>11.540000000000001</v>
      </c>
      <c r="D808" s="10">
        <f t="shared" ref="D808:I808" si="214">SUMIF($B$760:$B$804,"муниц*",D$760:D$804)</f>
        <v>5.4</v>
      </c>
      <c r="E808" s="10">
        <f t="shared" si="214"/>
        <v>0.3</v>
      </c>
      <c r="F808" s="10">
        <f t="shared" si="214"/>
        <v>0.85000000000000009</v>
      </c>
      <c r="G808" s="10">
        <f t="shared" si="214"/>
        <v>1.63</v>
      </c>
      <c r="H808" s="10">
        <f t="shared" si="214"/>
        <v>1.41</v>
      </c>
      <c r="I808" s="10">
        <f t="shared" si="214"/>
        <v>1.95</v>
      </c>
    </row>
    <row r="809" spans="1:11" x14ac:dyDescent="0.25">
      <c r="A809" s="179"/>
      <c r="B809" s="21" t="s">
        <v>295</v>
      </c>
      <c r="C809" s="10">
        <f>SUMIF($B$760:$B$804,"вне*",C$760:C$804)</f>
        <v>0</v>
      </c>
      <c r="D809" s="10">
        <f t="shared" ref="D809:I809" si="215">SUMIF($B$760:$B$804,"вне*",D$760:D$804)</f>
        <v>0</v>
      </c>
      <c r="E809" s="10">
        <f t="shared" si="215"/>
        <v>0</v>
      </c>
      <c r="F809" s="10">
        <f t="shared" si="215"/>
        <v>0</v>
      </c>
      <c r="G809" s="10">
        <f t="shared" si="215"/>
        <v>0</v>
      </c>
      <c r="H809" s="10">
        <f t="shared" si="215"/>
        <v>0</v>
      </c>
      <c r="I809" s="10">
        <f t="shared" si="215"/>
        <v>0</v>
      </c>
    </row>
    <row r="810" spans="1:11" x14ac:dyDescent="0.25">
      <c r="A810" s="179" t="s">
        <v>35</v>
      </c>
      <c r="B810" s="21" t="s">
        <v>403</v>
      </c>
      <c r="C810" s="10">
        <f t="shared" ref="C810" si="216">C37+C163+C384+C500+C631+C657+C713+C754+C805</f>
        <v>68417.230390000012</v>
      </c>
      <c r="D810" s="10">
        <f>D37+D163+D384+D500+D631+D657+D713+D754+D805</f>
        <v>1357.5600000000002</v>
      </c>
      <c r="E810" s="10">
        <f t="shared" ref="E810:I810" si="217">E37+E163+E384+E500+E631+E657+E713+E754+E805</f>
        <v>8162.2713999999987</v>
      </c>
      <c r="F810" s="10">
        <f t="shared" si="217"/>
        <v>10995.41469</v>
      </c>
      <c r="G810" s="10">
        <f t="shared" si="217"/>
        <v>14173.234300000002</v>
      </c>
      <c r="H810" s="10">
        <f t="shared" si="217"/>
        <v>18018.510000000002</v>
      </c>
      <c r="I810" s="10">
        <f t="shared" si="217"/>
        <v>15710.24</v>
      </c>
      <c r="J810" s="11"/>
      <c r="K810" s="11"/>
    </row>
    <row r="811" spans="1:11" x14ac:dyDescent="0.25">
      <c r="A811" s="179"/>
      <c r="B811" s="21" t="s">
        <v>292</v>
      </c>
      <c r="C811" s="10">
        <f t="shared" ref="C811:I811" si="218">C38+C164+C385+C501+C632+C658+C714+C755+C806</f>
        <v>48865.732234000003</v>
      </c>
      <c r="D811" s="10">
        <f t="shared" si="218"/>
        <v>1000.72</v>
      </c>
      <c r="E811" s="10">
        <f t="shared" si="218"/>
        <v>4790.14084</v>
      </c>
      <c r="F811" s="10">
        <f t="shared" si="218"/>
        <v>6694.8628140000001</v>
      </c>
      <c r="G811" s="10">
        <f t="shared" si="218"/>
        <v>10099.19858</v>
      </c>
      <c r="H811" s="10">
        <f t="shared" si="218"/>
        <v>13979.98</v>
      </c>
      <c r="I811" s="10">
        <f t="shared" si="218"/>
        <v>12300.83</v>
      </c>
      <c r="J811" s="11"/>
    </row>
    <row r="812" spans="1:11" x14ac:dyDescent="0.25">
      <c r="A812" s="179"/>
      <c r="B812" s="21" t="s">
        <v>293</v>
      </c>
      <c r="C812" s="10">
        <f t="shared" ref="C812:I812" si="219">C39+C165+C386+C502+C633+C659+C715+C756+C807</f>
        <v>14182.189157499997</v>
      </c>
      <c r="D812" s="10">
        <f t="shared" si="219"/>
        <v>291.84299999999996</v>
      </c>
      <c r="E812" s="10">
        <f t="shared" si="219"/>
        <v>2442.4660493999995</v>
      </c>
      <c r="F812" s="10">
        <f t="shared" si="219"/>
        <v>3292.6893911000006</v>
      </c>
      <c r="G812" s="10">
        <f t="shared" si="219"/>
        <v>2878.2527170000003</v>
      </c>
      <c r="H812" s="10">
        <f t="shared" si="219"/>
        <v>2911.7120000000004</v>
      </c>
      <c r="I812" s="10">
        <f t="shared" si="219"/>
        <v>2365.2260000000006</v>
      </c>
      <c r="J812" s="11"/>
    </row>
    <row r="813" spans="1:11" x14ac:dyDescent="0.25">
      <c r="A813" s="179"/>
      <c r="B813" s="21" t="s">
        <v>294</v>
      </c>
      <c r="C813" s="10">
        <f t="shared" ref="C813:I813" si="220">C40+C166+C387+C503+C634+C660+C716+C757+C808</f>
        <v>2141.3000000000002</v>
      </c>
      <c r="D813" s="10">
        <f t="shared" si="220"/>
        <v>63.25</v>
      </c>
      <c r="E813" s="10">
        <f t="shared" si="220"/>
        <v>434.1</v>
      </c>
      <c r="F813" s="10">
        <f t="shared" si="220"/>
        <v>571</v>
      </c>
      <c r="G813" s="10">
        <f t="shared" si="220"/>
        <v>392.01</v>
      </c>
      <c r="H813" s="10">
        <f t="shared" si="220"/>
        <v>363.37000000000006</v>
      </c>
      <c r="I813" s="10">
        <f t="shared" si="220"/>
        <v>317.56999999999994</v>
      </c>
      <c r="J813" s="11"/>
    </row>
    <row r="814" spans="1:11" x14ac:dyDescent="0.25">
      <c r="A814" s="179"/>
      <c r="B814" s="21" t="s">
        <v>295</v>
      </c>
      <c r="C814" s="10">
        <f t="shared" ref="C814:I814" si="221">C41+C167+C388+C504+C635+C661+C717+C758+C809</f>
        <v>3228.0089985</v>
      </c>
      <c r="D814" s="10">
        <f t="shared" si="221"/>
        <v>1.6470000000000002</v>
      </c>
      <c r="E814" s="10">
        <f t="shared" si="221"/>
        <v>495.66451059999991</v>
      </c>
      <c r="F814" s="10">
        <f t="shared" si="221"/>
        <v>436.86248489999991</v>
      </c>
      <c r="G814" s="10">
        <f t="shared" si="221"/>
        <v>803.77300300000002</v>
      </c>
      <c r="H814" s="10">
        <f t="shared" si="221"/>
        <v>763.44800000000009</v>
      </c>
      <c r="I814" s="10">
        <f t="shared" si="221"/>
        <v>726.61400000000003</v>
      </c>
      <c r="J814" s="11"/>
    </row>
    <row r="815" spans="1:11" x14ac:dyDescent="0.25">
      <c r="J815" s="11"/>
    </row>
    <row r="816" spans="1:11" x14ac:dyDescent="0.25">
      <c r="A816" s="67" t="s">
        <v>679</v>
      </c>
    </row>
    <row r="817" spans="1:10" x14ac:dyDescent="0.25">
      <c r="A817" s="173" t="s">
        <v>289</v>
      </c>
      <c r="B817" s="175" t="s">
        <v>683</v>
      </c>
      <c r="C817" s="175"/>
      <c r="D817" s="175"/>
      <c r="E817" s="175"/>
      <c r="F817" s="175"/>
      <c r="G817" s="175"/>
      <c r="H817" s="175"/>
      <c r="I817" s="175"/>
    </row>
    <row r="818" spans="1:10" x14ac:dyDescent="0.25">
      <c r="A818" s="174"/>
      <c r="B818" s="65" t="s">
        <v>290</v>
      </c>
      <c r="C818" s="66" t="s">
        <v>291</v>
      </c>
      <c r="D818" s="66">
        <v>2020</v>
      </c>
      <c r="E818" s="66">
        <v>2021</v>
      </c>
      <c r="F818" s="66">
        <v>2022</v>
      </c>
      <c r="G818" s="66">
        <v>2023</v>
      </c>
      <c r="H818" s="66">
        <v>2024</v>
      </c>
      <c r="I818" s="66">
        <v>2025</v>
      </c>
    </row>
    <row r="819" spans="1:10" x14ac:dyDescent="0.25">
      <c r="A819" s="180" t="s">
        <v>680</v>
      </c>
      <c r="B819" s="180"/>
      <c r="C819" s="180"/>
      <c r="D819" s="180"/>
      <c r="E819" s="180"/>
      <c r="F819" s="180"/>
      <c r="G819" s="180"/>
      <c r="H819" s="180"/>
      <c r="I819" s="180"/>
    </row>
    <row r="820" spans="1:10" x14ac:dyDescent="0.25">
      <c r="A820" s="173" t="s">
        <v>280</v>
      </c>
      <c r="B820" s="21" t="s">
        <v>403</v>
      </c>
      <c r="C820" s="3">
        <f>SUM(D820:I820)</f>
        <v>2441.3700000000003</v>
      </c>
      <c r="D820" s="3">
        <f t="shared" ref="D820:I820" si="222">SUM(D821:D824)</f>
        <v>0</v>
      </c>
      <c r="E820" s="3">
        <f t="shared" si="222"/>
        <v>0</v>
      </c>
      <c r="F820" s="3">
        <f t="shared" ref="F820:H820" si="223">F821+F822+F824</f>
        <v>774</v>
      </c>
      <c r="G820" s="3">
        <f t="shared" si="223"/>
        <v>810.57</v>
      </c>
      <c r="H820" s="3">
        <f t="shared" si="223"/>
        <v>856.80000000000007</v>
      </c>
      <c r="I820" s="15">
        <f t="shared" si="222"/>
        <v>0</v>
      </c>
    </row>
    <row r="821" spans="1:10" ht="33.75" customHeight="1" x14ac:dyDescent="0.25">
      <c r="A821" s="173"/>
      <c r="B821" s="21" t="s">
        <v>292</v>
      </c>
      <c r="C821" s="3">
        <f>SUM(D821:I821)</f>
        <v>2319.33</v>
      </c>
      <c r="D821" s="9"/>
      <c r="E821" s="9"/>
      <c r="F821" s="3">
        <v>735.3</v>
      </c>
      <c r="G821" s="3">
        <v>770.07</v>
      </c>
      <c r="H821" s="3">
        <v>813.96</v>
      </c>
      <c r="I821" s="16"/>
    </row>
    <row r="822" spans="1:10" x14ac:dyDescent="0.25">
      <c r="A822" s="173"/>
      <c r="B822" s="21" t="s">
        <v>293</v>
      </c>
      <c r="C822" s="3">
        <f>SUM(D822:I822)</f>
        <v>122.04</v>
      </c>
      <c r="D822" s="9"/>
      <c r="E822" s="9"/>
      <c r="F822" s="3">
        <v>38.700000000000003</v>
      </c>
      <c r="G822" s="3">
        <v>40.5</v>
      </c>
      <c r="H822" s="3">
        <v>42.84</v>
      </c>
      <c r="I822" s="16"/>
    </row>
    <row r="823" spans="1:10" x14ac:dyDescent="0.25">
      <c r="A823" s="173"/>
      <c r="B823" s="21" t="s">
        <v>294</v>
      </c>
      <c r="C823" s="3"/>
      <c r="D823" s="9"/>
      <c r="E823" s="9"/>
      <c r="F823" s="9"/>
      <c r="G823" s="9"/>
      <c r="H823" s="9"/>
      <c r="I823" s="16"/>
    </row>
    <row r="824" spans="1:10" x14ac:dyDescent="0.25">
      <c r="A824" s="173"/>
      <c r="B824" s="21" t="s">
        <v>295</v>
      </c>
      <c r="C824" s="9"/>
      <c r="D824" s="9"/>
      <c r="E824" s="9"/>
      <c r="F824" s="17"/>
      <c r="G824" s="17"/>
      <c r="H824" s="17"/>
      <c r="I824" s="16"/>
    </row>
    <row r="825" spans="1:10" x14ac:dyDescent="0.25">
      <c r="A825" s="173" t="s">
        <v>282</v>
      </c>
      <c r="B825" s="21" t="s">
        <v>403</v>
      </c>
      <c r="C825" s="3">
        <f>SUM(D825:I825)</f>
        <v>5384.1</v>
      </c>
      <c r="D825" s="3">
        <f t="shared" ref="D825" si="224">SUM(D826:D829)</f>
        <v>0</v>
      </c>
      <c r="E825" s="3"/>
      <c r="F825" s="3">
        <f t="shared" ref="F825:H825" si="225">F826+F827+F829</f>
        <v>1780</v>
      </c>
      <c r="G825" s="3">
        <f t="shared" si="225"/>
        <v>1790</v>
      </c>
      <c r="H825" s="3">
        <f t="shared" si="225"/>
        <v>1814.1000000000001</v>
      </c>
      <c r="I825" s="15">
        <v>0</v>
      </c>
    </row>
    <row r="826" spans="1:10" x14ac:dyDescent="0.25">
      <c r="A826" s="173"/>
      <c r="B826" s="21" t="s">
        <v>292</v>
      </c>
      <c r="C826" s="3">
        <f>SUM(D826:I826)</f>
        <v>5330.26</v>
      </c>
      <c r="D826" s="9"/>
      <c r="E826" s="9">
        <v>0</v>
      </c>
      <c r="F826" s="3">
        <v>1762.2</v>
      </c>
      <c r="G826" s="3">
        <v>1772.1</v>
      </c>
      <c r="H826" s="3">
        <v>1795.96</v>
      </c>
      <c r="I826" s="16">
        <v>0</v>
      </c>
    </row>
    <row r="827" spans="1:10" x14ac:dyDescent="0.25">
      <c r="A827" s="173"/>
      <c r="B827" s="21" t="s">
        <v>293</v>
      </c>
      <c r="C827" s="3">
        <f>SUM(D827:I827)</f>
        <v>53.84</v>
      </c>
      <c r="D827" s="9"/>
      <c r="E827" s="9"/>
      <c r="F827" s="3">
        <v>17.8</v>
      </c>
      <c r="G827" s="3">
        <v>17.899999999999999</v>
      </c>
      <c r="H827" s="3">
        <v>18.14</v>
      </c>
      <c r="I827" s="15">
        <v>0</v>
      </c>
    </row>
    <row r="828" spans="1:10" x14ac:dyDescent="0.25">
      <c r="A828" s="173"/>
      <c r="B828" s="21" t="s">
        <v>294</v>
      </c>
      <c r="C828" s="3"/>
      <c r="D828" s="9"/>
      <c r="E828" s="9"/>
      <c r="F828" s="9"/>
      <c r="G828" s="9"/>
      <c r="H828" s="9"/>
      <c r="I828" s="16"/>
    </row>
    <row r="829" spans="1:10" x14ac:dyDescent="0.25">
      <c r="A829" s="173"/>
      <c r="B829" s="21" t="s">
        <v>295</v>
      </c>
      <c r="C829" s="9"/>
      <c r="D829" s="9"/>
      <c r="E829" s="9"/>
      <c r="F829" s="3"/>
      <c r="G829" s="3"/>
      <c r="H829" s="3"/>
      <c r="I829" s="16"/>
    </row>
    <row r="830" spans="1:10" collapsed="1" x14ac:dyDescent="0.25">
      <c r="A830" s="179" t="s">
        <v>283</v>
      </c>
      <c r="B830" s="21" t="s">
        <v>403</v>
      </c>
      <c r="C830" s="10">
        <f t="shared" ref="C830:I830" si="226">SUMIF($B$820:$B$829,"Всего*",C$820:C$829)</f>
        <v>7825.4700000000012</v>
      </c>
      <c r="D830" s="10">
        <f t="shared" si="226"/>
        <v>0</v>
      </c>
      <c r="E830" s="10">
        <f t="shared" si="226"/>
        <v>0</v>
      </c>
      <c r="F830" s="10">
        <f t="shared" si="226"/>
        <v>2554</v>
      </c>
      <c r="G830" s="10">
        <f t="shared" si="226"/>
        <v>2600.5700000000002</v>
      </c>
      <c r="H830" s="10">
        <f t="shared" si="226"/>
        <v>2670.9</v>
      </c>
      <c r="I830" s="10">
        <f t="shared" si="226"/>
        <v>0</v>
      </c>
      <c r="J830" s="11"/>
    </row>
    <row r="831" spans="1:10" x14ac:dyDescent="0.25">
      <c r="A831" s="179"/>
      <c r="B831" s="21" t="s">
        <v>292</v>
      </c>
      <c r="C831" s="10">
        <f t="shared" ref="C831:I831" si="227">SUMIF($B$820:$B$829,"фед*",C$820:C$829)</f>
        <v>7649.59</v>
      </c>
      <c r="D831" s="10">
        <f t="shared" si="227"/>
        <v>0</v>
      </c>
      <c r="E831" s="10">
        <f t="shared" si="227"/>
        <v>0</v>
      </c>
      <c r="F831" s="10">
        <f t="shared" si="227"/>
        <v>2497.5</v>
      </c>
      <c r="G831" s="10">
        <f t="shared" si="227"/>
        <v>2542.17</v>
      </c>
      <c r="H831" s="10">
        <f t="shared" si="227"/>
        <v>2609.92</v>
      </c>
      <c r="I831" s="10">
        <f t="shared" si="227"/>
        <v>0</v>
      </c>
      <c r="J831" s="11"/>
    </row>
    <row r="832" spans="1:10" x14ac:dyDescent="0.25">
      <c r="A832" s="179"/>
      <c r="B832" s="21" t="s">
        <v>293</v>
      </c>
      <c r="C832" s="10">
        <f t="shared" ref="C832:I832" si="228">SUMIF($B$820:$B$829,"респ*",C$820:C$829)</f>
        <v>175.88</v>
      </c>
      <c r="D832" s="10">
        <f t="shared" si="228"/>
        <v>0</v>
      </c>
      <c r="E832" s="10">
        <f t="shared" si="228"/>
        <v>0</v>
      </c>
      <c r="F832" s="10">
        <f t="shared" si="228"/>
        <v>56.5</v>
      </c>
      <c r="G832" s="10">
        <f t="shared" si="228"/>
        <v>58.4</v>
      </c>
      <c r="H832" s="10">
        <f t="shared" si="228"/>
        <v>60.980000000000004</v>
      </c>
      <c r="I832" s="10">
        <f t="shared" si="228"/>
        <v>0</v>
      </c>
      <c r="J832" s="11"/>
    </row>
    <row r="833" spans="1:10" x14ac:dyDescent="0.25">
      <c r="A833" s="179"/>
      <c r="B833" s="21" t="s">
        <v>294</v>
      </c>
      <c r="C833" s="10">
        <f t="shared" ref="C833:I833" si="229">SUMIF($B$820:$B$829,"муниц*",C$820:C$829)</f>
        <v>0</v>
      </c>
      <c r="D833" s="10">
        <f t="shared" si="229"/>
        <v>0</v>
      </c>
      <c r="E833" s="10">
        <f t="shared" si="229"/>
        <v>0</v>
      </c>
      <c r="F833" s="10">
        <f t="shared" si="229"/>
        <v>0</v>
      </c>
      <c r="G833" s="10">
        <f t="shared" si="229"/>
        <v>0</v>
      </c>
      <c r="H833" s="10">
        <f t="shared" si="229"/>
        <v>0</v>
      </c>
      <c r="I833" s="10">
        <f t="shared" si="229"/>
        <v>0</v>
      </c>
    </row>
    <row r="834" spans="1:10" x14ac:dyDescent="0.25">
      <c r="A834" s="179"/>
      <c r="B834" s="21" t="s">
        <v>295</v>
      </c>
      <c r="C834" s="10">
        <f t="shared" ref="C834:I834" si="230">SUMIF($B$820:$B$829,"вне*",C$820:C$829)</f>
        <v>0</v>
      </c>
      <c r="D834" s="10">
        <f t="shared" si="230"/>
        <v>0</v>
      </c>
      <c r="E834" s="10">
        <f t="shared" si="230"/>
        <v>0</v>
      </c>
      <c r="F834" s="10">
        <f t="shared" si="230"/>
        <v>0</v>
      </c>
      <c r="G834" s="10">
        <f t="shared" si="230"/>
        <v>0</v>
      </c>
      <c r="H834" s="10">
        <f t="shared" si="230"/>
        <v>0</v>
      </c>
      <c r="I834" s="10">
        <f t="shared" si="230"/>
        <v>0</v>
      </c>
      <c r="J834" s="11"/>
    </row>
    <row r="835" spans="1:10" x14ac:dyDescent="0.25">
      <c r="A835" s="68" t="s">
        <v>682</v>
      </c>
    </row>
  </sheetData>
  <mergeCells count="178">
    <mergeCell ref="A785:A789"/>
    <mergeCell ref="A790:A794"/>
    <mergeCell ref="A795:A799"/>
    <mergeCell ref="A800:A804"/>
    <mergeCell ref="A805:A809"/>
    <mergeCell ref="A810:A814"/>
    <mergeCell ref="A759:I759"/>
    <mergeCell ref="A760:A764"/>
    <mergeCell ref="A765:A769"/>
    <mergeCell ref="A770:A774"/>
    <mergeCell ref="A775:A779"/>
    <mergeCell ref="A780:A784"/>
    <mergeCell ref="A729:A733"/>
    <mergeCell ref="A734:A738"/>
    <mergeCell ref="A739:A743"/>
    <mergeCell ref="A744:A748"/>
    <mergeCell ref="A749:A753"/>
    <mergeCell ref="A754:A758"/>
    <mergeCell ref="A703:A707"/>
    <mergeCell ref="A708:A712"/>
    <mergeCell ref="A713:A717"/>
    <mergeCell ref="A718:I718"/>
    <mergeCell ref="A719:A723"/>
    <mergeCell ref="A724:A728"/>
    <mergeCell ref="A673:A677"/>
    <mergeCell ref="A678:A682"/>
    <mergeCell ref="A683:A687"/>
    <mergeCell ref="A688:A692"/>
    <mergeCell ref="A693:A697"/>
    <mergeCell ref="A698:A702"/>
    <mergeCell ref="A647:A651"/>
    <mergeCell ref="A652:A656"/>
    <mergeCell ref="A657:A661"/>
    <mergeCell ref="A662:I662"/>
    <mergeCell ref="A663:A667"/>
    <mergeCell ref="A668:A672"/>
    <mergeCell ref="A621:A625"/>
    <mergeCell ref="A626:A630"/>
    <mergeCell ref="A631:A635"/>
    <mergeCell ref="A636:I636"/>
    <mergeCell ref="A637:A641"/>
    <mergeCell ref="A642:A646"/>
    <mergeCell ref="A591:A595"/>
    <mergeCell ref="A596:A600"/>
    <mergeCell ref="A601:A605"/>
    <mergeCell ref="A606:A610"/>
    <mergeCell ref="A611:A615"/>
    <mergeCell ref="A616:A620"/>
    <mergeCell ref="A561:A565"/>
    <mergeCell ref="A566:A570"/>
    <mergeCell ref="A571:A575"/>
    <mergeCell ref="A576:A580"/>
    <mergeCell ref="A581:A585"/>
    <mergeCell ref="A586:A590"/>
    <mergeCell ref="A531:A535"/>
    <mergeCell ref="A536:A540"/>
    <mergeCell ref="A541:A545"/>
    <mergeCell ref="A546:A550"/>
    <mergeCell ref="A551:A555"/>
    <mergeCell ref="A556:A560"/>
    <mergeCell ref="A430:A434"/>
    <mergeCell ref="A435:A439"/>
    <mergeCell ref="A440:A444"/>
    <mergeCell ref="A505:I505"/>
    <mergeCell ref="A506:A510"/>
    <mergeCell ref="A511:A515"/>
    <mergeCell ref="A516:A520"/>
    <mergeCell ref="A521:A525"/>
    <mergeCell ref="A526:A530"/>
    <mergeCell ref="A475:A479"/>
    <mergeCell ref="A480:A484"/>
    <mergeCell ref="A485:A489"/>
    <mergeCell ref="A490:A494"/>
    <mergeCell ref="A495:A499"/>
    <mergeCell ref="A500:A504"/>
    <mergeCell ref="A830:A834"/>
    <mergeCell ref="A389:I389"/>
    <mergeCell ref="A390:A394"/>
    <mergeCell ref="A395:A399"/>
    <mergeCell ref="A405:A409"/>
    <mergeCell ref="A410:A414"/>
    <mergeCell ref="A374:A378"/>
    <mergeCell ref="A379:A383"/>
    <mergeCell ref="A384:A388"/>
    <mergeCell ref="A819:I819"/>
    <mergeCell ref="A820:A824"/>
    <mergeCell ref="A825:A829"/>
    <mergeCell ref="A400:A404"/>
    <mergeCell ref="A817:A818"/>
    <mergeCell ref="B817:I817"/>
    <mergeCell ref="A445:A449"/>
    <mergeCell ref="A450:A454"/>
    <mergeCell ref="A455:A459"/>
    <mergeCell ref="A460:A464"/>
    <mergeCell ref="A465:A469"/>
    <mergeCell ref="A470:A474"/>
    <mergeCell ref="A415:A419"/>
    <mergeCell ref="A420:A424"/>
    <mergeCell ref="A425:A429"/>
    <mergeCell ref="A344:A348"/>
    <mergeCell ref="A349:A353"/>
    <mergeCell ref="A354:A358"/>
    <mergeCell ref="A359:A363"/>
    <mergeCell ref="A364:A368"/>
    <mergeCell ref="A369:A373"/>
    <mergeCell ref="A314:A318"/>
    <mergeCell ref="A319:A323"/>
    <mergeCell ref="A324:A328"/>
    <mergeCell ref="A329:A333"/>
    <mergeCell ref="A334:A338"/>
    <mergeCell ref="A339:A343"/>
    <mergeCell ref="A284:A288"/>
    <mergeCell ref="A289:A293"/>
    <mergeCell ref="A294:A298"/>
    <mergeCell ref="A299:A303"/>
    <mergeCell ref="A304:A308"/>
    <mergeCell ref="A309:A313"/>
    <mergeCell ref="A254:A258"/>
    <mergeCell ref="A259:A263"/>
    <mergeCell ref="A264:A268"/>
    <mergeCell ref="A269:A273"/>
    <mergeCell ref="A274:A278"/>
    <mergeCell ref="A279:A283"/>
    <mergeCell ref="A224:A228"/>
    <mergeCell ref="A229:A233"/>
    <mergeCell ref="A234:A238"/>
    <mergeCell ref="A239:A243"/>
    <mergeCell ref="A244:A248"/>
    <mergeCell ref="A249:A253"/>
    <mergeCell ref="A194:A198"/>
    <mergeCell ref="A199:A203"/>
    <mergeCell ref="A204:A208"/>
    <mergeCell ref="A209:A213"/>
    <mergeCell ref="A214:A218"/>
    <mergeCell ref="A219:A223"/>
    <mergeCell ref="A168:I168"/>
    <mergeCell ref="A169:A173"/>
    <mergeCell ref="A174:A178"/>
    <mergeCell ref="A179:A183"/>
    <mergeCell ref="A184:A188"/>
    <mergeCell ref="A189:A193"/>
    <mergeCell ref="A138:A142"/>
    <mergeCell ref="A143:A147"/>
    <mergeCell ref="A148:A152"/>
    <mergeCell ref="A153:A157"/>
    <mergeCell ref="A158:A162"/>
    <mergeCell ref="A163:A167"/>
    <mergeCell ref="A108:A112"/>
    <mergeCell ref="A113:A117"/>
    <mergeCell ref="A118:A122"/>
    <mergeCell ref="A123:A127"/>
    <mergeCell ref="A128:A132"/>
    <mergeCell ref="A133:A137"/>
    <mergeCell ref="A78:A82"/>
    <mergeCell ref="A83:A87"/>
    <mergeCell ref="A88:A92"/>
    <mergeCell ref="A93:A97"/>
    <mergeCell ref="A98:A102"/>
    <mergeCell ref="A103:A107"/>
    <mergeCell ref="A58:A62"/>
    <mergeCell ref="A63:A67"/>
    <mergeCell ref="A68:A72"/>
    <mergeCell ref="A73:A77"/>
    <mergeCell ref="A22:A26"/>
    <mergeCell ref="A27:A31"/>
    <mergeCell ref="A32:A36"/>
    <mergeCell ref="A37:A41"/>
    <mergeCell ref="A42:I42"/>
    <mergeCell ref="A43:A47"/>
    <mergeCell ref="E1:I1"/>
    <mergeCell ref="A4:A5"/>
    <mergeCell ref="B4:I4"/>
    <mergeCell ref="A6:I6"/>
    <mergeCell ref="A7:A11"/>
    <mergeCell ref="A12:A16"/>
    <mergeCell ref="A17:A21"/>
    <mergeCell ref="A48:A52"/>
    <mergeCell ref="A53:A57"/>
  </mergeCells>
  <conditionalFormatting sqref="C41:I41 C167:I167 C388:I388 C504:I504 C635:I635 C661:I661 C717:I717 C758:I758 C809:I809 C37:I39 C163:I165 C384:I386 C500:I502 C631:I633 C657:I659 C713:I715 C754:I756 C805:I807">
    <cfRule type="cellIs" dxfId="200" priority="202" operator="equal">
      <formula>0</formula>
    </cfRule>
  </conditionalFormatting>
  <conditionalFormatting sqref="A836:A1048576 A805:A807 A713:A715 A4:A14 A754:A756 A163:A165 A384:A386 A631:A633 A652:A654 A500:A502 A16:A19 A21:A24 A26:A29 A31:A34 A36:A39 A41:A42 A167:A168 A388:A389 A504:A505 A635:A639 A641:A644 A646 A656:A659 A661:A662 A717:A718 A758:A759 A809:A812 A814:A816">
    <cfRule type="duplicateValues" dxfId="199" priority="201"/>
  </conditionalFormatting>
  <conditionalFormatting sqref="B5">
    <cfRule type="cellIs" dxfId="198" priority="200" operator="equal">
      <formula>0</formula>
    </cfRule>
  </conditionalFormatting>
  <conditionalFormatting sqref="B4:I4">
    <cfRule type="cellIs" dxfId="197" priority="199" operator="equal">
      <formula>0</formula>
    </cfRule>
  </conditionalFormatting>
  <conditionalFormatting sqref="A169:A171 A379:A381 A173:A176 A178:A181 A183:A186 A188 A383">
    <cfRule type="duplicateValues" dxfId="196" priority="198"/>
  </conditionalFormatting>
  <conditionalFormatting sqref="A647:A649 A651">
    <cfRule type="duplicateValues" dxfId="195" priority="197"/>
  </conditionalFormatting>
  <conditionalFormatting sqref="A189:A191 A193:A196 A198:A201 A203">
    <cfRule type="duplicateValues" dxfId="194" priority="196"/>
  </conditionalFormatting>
  <conditionalFormatting sqref="A204:A206 A208:A211 A213:A216 A218">
    <cfRule type="duplicateValues" dxfId="193" priority="195"/>
  </conditionalFormatting>
  <conditionalFormatting sqref="A219:A221 A269:A271 A374:A376 A223 A273 A378">
    <cfRule type="duplicateValues" dxfId="192" priority="194"/>
  </conditionalFormatting>
  <conditionalFormatting sqref="A224:A226 A228:A231 A233:A236 A238">
    <cfRule type="duplicateValues" dxfId="191" priority="193"/>
  </conditionalFormatting>
  <conditionalFormatting sqref="A239:A241 A243:A246 A248:A251 A253">
    <cfRule type="duplicateValues" dxfId="190" priority="192"/>
  </conditionalFormatting>
  <conditionalFormatting sqref="A254:A256 A258:A261 A263:A266 A268">
    <cfRule type="duplicateValues" dxfId="189" priority="191"/>
  </conditionalFormatting>
  <conditionalFormatting sqref="A319:A321 A323">
    <cfRule type="duplicateValues" dxfId="188" priority="190"/>
  </conditionalFormatting>
  <conditionalFormatting sqref="A274:A276 A278:A281 A283:A286 A288">
    <cfRule type="duplicateValues" dxfId="187" priority="189"/>
  </conditionalFormatting>
  <conditionalFormatting sqref="A289:A291 A293:A296 A298:A301 A303">
    <cfRule type="duplicateValues" dxfId="186" priority="188"/>
  </conditionalFormatting>
  <conditionalFormatting sqref="A304:A306 A308:A311 A313:A316 A318">
    <cfRule type="duplicateValues" dxfId="185" priority="187"/>
  </conditionalFormatting>
  <conditionalFormatting sqref="A369:A371 A373">
    <cfRule type="duplicateValues" dxfId="184" priority="186"/>
  </conditionalFormatting>
  <conditionalFormatting sqref="A324:A326 A328:A331 A333:A336 A338">
    <cfRule type="duplicateValues" dxfId="183" priority="185"/>
  </conditionalFormatting>
  <conditionalFormatting sqref="A339:A341 A343:A346 A348:A351 A353">
    <cfRule type="duplicateValues" dxfId="182" priority="184"/>
  </conditionalFormatting>
  <conditionalFormatting sqref="A354:A356 A358:A361 A363:A366 A368">
    <cfRule type="duplicateValues" dxfId="181" priority="183"/>
  </conditionalFormatting>
  <conditionalFormatting sqref="C834:I834 C830:I832">
    <cfRule type="cellIs" dxfId="180" priority="181" operator="equal">
      <formula>0</formula>
    </cfRule>
  </conditionalFormatting>
  <conditionalFormatting sqref="A830:A832 A819 A834">
    <cfRule type="duplicateValues" dxfId="179" priority="180"/>
  </conditionalFormatting>
  <conditionalFormatting sqref="F820:H822 F824:H827 F829:H829">
    <cfRule type="cellIs" dxfId="178" priority="179" operator="equal">
      <formula>0</formula>
    </cfRule>
  </conditionalFormatting>
  <conditionalFormatting sqref="A15">
    <cfRule type="duplicateValues" dxfId="177" priority="178"/>
  </conditionalFormatting>
  <conditionalFormatting sqref="A20">
    <cfRule type="duplicateValues" dxfId="176" priority="177"/>
  </conditionalFormatting>
  <conditionalFormatting sqref="A25">
    <cfRule type="duplicateValues" dxfId="175" priority="176"/>
  </conditionalFormatting>
  <conditionalFormatting sqref="A30">
    <cfRule type="duplicateValues" dxfId="174" priority="175"/>
  </conditionalFormatting>
  <conditionalFormatting sqref="A35">
    <cfRule type="duplicateValues" dxfId="173" priority="174"/>
  </conditionalFormatting>
  <conditionalFormatting sqref="A40">
    <cfRule type="duplicateValues" dxfId="172" priority="173"/>
  </conditionalFormatting>
  <conditionalFormatting sqref="A46">
    <cfRule type="duplicateValues" dxfId="171" priority="172"/>
  </conditionalFormatting>
  <conditionalFormatting sqref="A51">
    <cfRule type="duplicateValues" dxfId="170" priority="171"/>
  </conditionalFormatting>
  <conditionalFormatting sqref="A56">
    <cfRule type="duplicateValues" dxfId="169" priority="170"/>
  </conditionalFormatting>
  <conditionalFormatting sqref="A61">
    <cfRule type="duplicateValues" dxfId="168" priority="169"/>
  </conditionalFormatting>
  <conditionalFormatting sqref="A66">
    <cfRule type="duplicateValues" dxfId="167" priority="168"/>
  </conditionalFormatting>
  <conditionalFormatting sqref="A71">
    <cfRule type="duplicateValues" dxfId="166" priority="167"/>
  </conditionalFormatting>
  <conditionalFormatting sqref="A76">
    <cfRule type="duplicateValues" dxfId="165" priority="166"/>
  </conditionalFormatting>
  <conditionalFormatting sqref="A81">
    <cfRule type="duplicateValues" dxfId="164" priority="165"/>
  </conditionalFormatting>
  <conditionalFormatting sqref="A86">
    <cfRule type="duplicateValues" dxfId="163" priority="164"/>
  </conditionalFormatting>
  <conditionalFormatting sqref="A91">
    <cfRule type="duplicateValues" dxfId="162" priority="163"/>
  </conditionalFormatting>
  <conditionalFormatting sqref="A96">
    <cfRule type="duplicateValues" dxfId="161" priority="162"/>
  </conditionalFormatting>
  <conditionalFormatting sqref="A101">
    <cfRule type="duplicateValues" dxfId="160" priority="161"/>
  </conditionalFormatting>
  <conditionalFormatting sqref="A106">
    <cfRule type="duplicateValues" dxfId="159" priority="160"/>
  </conditionalFormatting>
  <conditionalFormatting sqref="A111">
    <cfRule type="duplicateValues" dxfId="158" priority="159"/>
  </conditionalFormatting>
  <conditionalFormatting sqref="A116">
    <cfRule type="duplicateValues" dxfId="157" priority="158"/>
  </conditionalFormatting>
  <conditionalFormatting sqref="A121">
    <cfRule type="duplicateValues" dxfId="156" priority="157"/>
  </conditionalFormatting>
  <conditionalFormatting sqref="A126">
    <cfRule type="duplicateValues" dxfId="155" priority="156"/>
  </conditionalFormatting>
  <conditionalFormatting sqref="A131">
    <cfRule type="duplicateValues" dxfId="154" priority="155"/>
  </conditionalFormatting>
  <conditionalFormatting sqref="A136">
    <cfRule type="duplicateValues" dxfId="153" priority="154"/>
  </conditionalFormatting>
  <conditionalFormatting sqref="A141">
    <cfRule type="duplicateValues" dxfId="152" priority="153"/>
  </conditionalFormatting>
  <conditionalFormatting sqref="A146">
    <cfRule type="duplicateValues" dxfId="151" priority="152"/>
  </conditionalFormatting>
  <conditionalFormatting sqref="A151">
    <cfRule type="duplicateValues" dxfId="150" priority="151"/>
  </conditionalFormatting>
  <conditionalFormatting sqref="A156">
    <cfRule type="duplicateValues" dxfId="149" priority="150"/>
  </conditionalFormatting>
  <conditionalFormatting sqref="A161">
    <cfRule type="duplicateValues" dxfId="148" priority="149"/>
  </conditionalFormatting>
  <conditionalFormatting sqref="A166">
    <cfRule type="duplicateValues" dxfId="147" priority="148"/>
  </conditionalFormatting>
  <conditionalFormatting sqref="A172">
    <cfRule type="duplicateValues" dxfId="146" priority="147"/>
  </conditionalFormatting>
  <conditionalFormatting sqref="A177">
    <cfRule type="duplicateValues" dxfId="145" priority="146"/>
  </conditionalFormatting>
  <conditionalFormatting sqref="A182">
    <cfRule type="duplicateValues" dxfId="144" priority="145"/>
  </conditionalFormatting>
  <conditionalFormatting sqref="A187">
    <cfRule type="duplicateValues" dxfId="143" priority="144"/>
  </conditionalFormatting>
  <conditionalFormatting sqref="A192">
    <cfRule type="duplicateValues" dxfId="142" priority="143"/>
  </conditionalFormatting>
  <conditionalFormatting sqref="A197">
    <cfRule type="duplicateValues" dxfId="141" priority="142"/>
  </conditionalFormatting>
  <conditionalFormatting sqref="A202">
    <cfRule type="duplicateValues" dxfId="140" priority="141"/>
  </conditionalFormatting>
  <conditionalFormatting sqref="A207">
    <cfRule type="duplicateValues" dxfId="139" priority="140"/>
  </conditionalFormatting>
  <conditionalFormatting sqref="A212">
    <cfRule type="duplicateValues" dxfId="138" priority="139"/>
  </conditionalFormatting>
  <conditionalFormatting sqref="A217">
    <cfRule type="duplicateValues" dxfId="137" priority="138"/>
  </conditionalFormatting>
  <conditionalFormatting sqref="A222">
    <cfRule type="duplicateValues" dxfId="136" priority="137"/>
  </conditionalFormatting>
  <conditionalFormatting sqref="A227">
    <cfRule type="duplicateValues" dxfId="135" priority="136"/>
  </conditionalFormatting>
  <conditionalFormatting sqref="A232">
    <cfRule type="duplicateValues" dxfId="134" priority="135"/>
  </conditionalFormatting>
  <conditionalFormatting sqref="A237">
    <cfRule type="duplicateValues" dxfId="133" priority="134"/>
  </conditionalFormatting>
  <conditionalFormatting sqref="A242">
    <cfRule type="duplicateValues" dxfId="132" priority="133"/>
  </conditionalFormatting>
  <conditionalFormatting sqref="A247">
    <cfRule type="duplicateValues" dxfId="131" priority="132"/>
  </conditionalFormatting>
  <conditionalFormatting sqref="A252">
    <cfRule type="duplicateValues" dxfId="130" priority="131"/>
  </conditionalFormatting>
  <conditionalFormatting sqref="A257">
    <cfRule type="duplicateValues" dxfId="129" priority="130"/>
  </conditionalFormatting>
  <conditionalFormatting sqref="A262">
    <cfRule type="duplicateValues" dxfId="128" priority="129"/>
  </conditionalFormatting>
  <conditionalFormatting sqref="A267">
    <cfRule type="duplicateValues" dxfId="127" priority="128"/>
  </conditionalFormatting>
  <conditionalFormatting sqref="A272">
    <cfRule type="duplicateValues" dxfId="126" priority="127"/>
  </conditionalFormatting>
  <conditionalFormatting sqref="A277">
    <cfRule type="duplicateValues" dxfId="125" priority="126"/>
  </conditionalFormatting>
  <conditionalFormatting sqref="A282">
    <cfRule type="duplicateValues" dxfId="124" priority="125"/>
  </conditionalFormatting>
  <conditionalFormatting sqref="A287">
    <cfRule type="duplicateValues" dxfId="123" priority="124"/>
  </conditionalFormatting>
  <conditionalFormatting sqref="A292">
    <cfRule type="duplicateValues" dxfId="122" priority="123"/>
  </conditionalFormatting>
  <conditionalFormatting sqref="A297">
    <cfRule type="duplicateValues" dxfId="121" priority="122"/>
  </conditionalFormatting>
  <conditionalFormatting sqref="A302">
    <cfRule type="duplicateValues" dxfId="120" priority="121"/>
  </conditionalFormatting>
  <conditionalFormatting sqref="A307">
    <cfRule type="duplicateValues" dxfId="119" priority="120"/>
  </conditionalFormatting>
  <conditionalFormatting sqref="A312">
    <cfRule type="duplicateValues" dxfId="118" priority="119"/>
  </conditionalFormatting>
  <conditionalFormatting sqref="A317">
    <cfRule type="duplicateValues" dxfId="117" priority="118"/>
  </conditionalFormatting>
  <conditionalFormatting sqref="A322">
    <cfRule type="duplicateValues" dxfId="116" priority="117"/>
  </conditionalFormatting>
  <conditionalFormatting sqref="A327">
    <cfRule type="duplicateValues" dxfId="115" priority="116"/>
  </conditionalFormatting>
  <conditionalFormatting sqref="A332">
    <cfRule type="duplicateValues" dxfId="114" priority="115"/>
  </conditionalFormatting>
  <conditionalFormatting sqref="A337">
    <cfRule type="duplicateValues" dxfId="113" priority="114"/>
  </conditionalFormatting>
  <conditionalFormatting sqref="A342">
    <cfRule type="duplicateValues" dxfId="112" priority="113"/>
  </conditionalFormatting>
  <conditionalFormatting sqref="A347">
    <cfRule type="duplicateValues" dxfId="111" priority="112"/>
  </conditionalFormatting>
  <conditionalFormatting sqref="A352">
    <cfRule type="duplicateValues" dxfId="110" priority="111"/>
  </conditionalFormatting>
  <conditionalFormatting sqref="A357">
    <cfRule type="duplicateValues" dxfId="109" priority="110"/>
  </conditionalFormatting>
  <conditionalFormatting sqref="A362">
    <cfRule type="duplicateValues" dxfId="108" priority="109"/>
  </conditionalFormatting>
  <conditionalFormatting sqref="A367">
    <cfRule type="duplicateValues" dxfId="107" priority="108"/>
  </conditionalFormatting>
  <conditionalFormatting sqref="A372">
    <cfRule type="duplicateValues" dxfId="106" priority="107"/>
  </conditionalFormatting>
  <conditionalFormatting sqref="A377">
    <cfRule type="duplicateValues" dxfId="105" priority="106"/>
  </conditionalFormatting>
  <conditionalFormatting sqref="A382">
    <cfRule type="duplicateValues" dxfId="104" priority="105"/>
  </conditionalFormatting>
  <conditionalFormatting sqref="A387">
    <cfRule type="duplicateValues" dxfId="103" priority="104"/>
  </conditionalFormatting>
  <conditionalFormatting sqref="A823">
    <cfRule type="duplicateValues" dxfId="102" priority="103"/>
  </conditionalFormatting>
  <conditionalFormatting sqref="A828">
    <cfRule type="duplicateValues" dxfId="101" priority="102"/>
  </conditionalFormatting>
  <conditionalFormatting sqref="A833">
    <cfRule type="duplicateValues" dxfId="100" priority="101"/>
  </conditionalFormatting>
  <conditionalFormatting sqref="A393">
    <cfRule type="duplicateValues" dxfId="99" priority="100"/>
  </conditionalFormatting>
  <conditionalFormatting sqref="A398">
    <cfRule type="duplicateValues" dxfId="98" priority="99"/>
  </conditionalFormatting>
  <conditionalFormatting sqref="A408">
    <cfRule type="duplicateValues" dxfId="97" priority="98"/>
  </conditionalFormatting>
  <conditionalFormatting sqref="A413">
    <cfRule type="duplicateValues" dxfId="96" priority="97"/>
  </conditionalFormatting>
  <conditionalFormatting sqref="A418">
    <cfRule type="duplicateValues" dxfId="95" priority="96"/>
  </conditionalFormatting>
  <conditionalFormatting sqref="A423">
    <cfRule type="duplicateValues" dxfId="94" priority="95"/>
  </conditionalFormatting>
  <conditionalFormatting sqref="A428">
    <cfRule type="duplicateValues" dxfId="93" priority="94"/>
  </conditionalFormatting>
  <conditionalFormatting sqref="A433">
    <cfRule type="duplicateValues" dxfId="92" priority="93"/>
  </conditionalFormatting>
  <conditionalFormatting sqref="A438">
    <cfRule type="duplicateValues" dxfId="91" priority="92"/>
  </conditionalFormatting>
  <conditionalFormatting sqref="A443">
    <cfRule type="duplicateValues" dxfId="90" priority="91"/>
  </conditionalFormatting>
  <conditionalFormatting sqref="A448">
    <cfRule type="duplicateValues" dxfId="89" priority="90"/>
  </conditionalFormatting>
  <conditionalFormatting sqref="A453">
    <cfRule type="duplicateValues" dxfId="88" priority="89"/>
  </conditionalFormatting>
  <conditionalFormatting sqref="A458">
    <cfRule type="duplicateValues" dxfId="87" priority="88"/>
  </conditionalFormatting>
  <conditionalFormatting sqref="A463">
    <cfRule type="duplicateValues" dxfId="86" priority="87"/>
  </conditionalFormatting>
  <conditionalFormatting sqref="A468">
    <cfRule type="duplicateValues" dxfId="85" priority="86"/>
  </conditionalFormatting>
  <conditionalFormatting sqref="A473">
    <cfRule type="duplicateValues" dxfId="84" priority="85"/>
  </conditionalFormatting>
  <conditionalFormatting sqref="A478">
    <cfRule type="duplicateValues" dxfId="83" priority="84"/>
  </conditionalFormatting>
  <conditionalFormatting sqref="A483">
    <cfRule type="duplicateValues" dxfId="82" priority="83"/>
  </conditionalFormatting>
  <conditionalFormatting sqref="A488">
    <cfRule type="duplicateValues" dxfId="81" priority="82"/>
  </conditionalFormatting>
  <conditionalFormatting sqref="A493">
    <cfRule type="duplicateValues" dxfId="80" priority="81"/>
  </conditionalFormatting>
  <conditionalFormatting sqref="A498">
    <cfRule type="duplicateValues" dxfId="79" priority="80"/>
  </conditionalFormatting>
  <conditionalFormatting sqref="A503">
    <cfRule type="duplicateValues" dxfId="78" priority="79"/>
  </conditionalFormatting>
  <conditionalFormatting sqref="A509">
    <cfRule type="duplicateValues" dxfId="77" priority="78"/>
  </conditionalFormatting>
  <conditionalFormatting sqref="A514">
    <cfRule type="duplicateValues" dxfId="76" priority="77"/>
  </conditionalFormatting>
  <conditionalFormatting sqref="A519">
    <cfRule type="duplicateValues" dxfId="75" priority="76"/>
  </conditionalFormatting>
  <conditionalFormatting sqref="A524">
    <cfRule type="duplicateValues" dxfId="74" priority="75"/>
  </conditionalFormatting>
  <conditionalFormatting sqref="A529">
    <cfRule type="duplicateValues" dxfId="73" priority="74"/>
  </conditionalFormatting>
  <conditionalFormatting sqref="A534">
    <cfRule type="duplicateValues" dxfId="72" priority="73"/>
  </conditionalFormatting>
  <conditionalFormatting sqref="A539">
    <cfRule type="duplicateValues" dxfId="71" priority="72"/>
  </conditionalFormatting>
  <conditionalFormatting sqref="A544">
    <cfRule type="duplicateValues" dxfId="70" priority="71"/>
  </conditionalFormatting>
  <conditionalFormatting sqref="A549">
    <cfRule type="duplicateValues" dxfId="69" priority="70"/>
  </conditionalFormatting>
  <conditionalFormatting sqref="A554">
    <cfRule type="duplicateValues" dxfId="68" priority="69"/>
  </conditionalFormatting>
  <conditionalFormatting sqref="A559">
    <cfRule type="duplicateValues" dxfId="67" priority="68"/>
  </conditionalFormatting>
  <conditionalFormatting sqref="A564">
    <cfRule type="duplicateValues" dxfId="66" priority="67"/>
  </conditionalFormatting>
  <conditionalFormatting sqref="A569">
    <cfRule type="duplicateValues" dxfId="65" priority="66"/>
  </conditionalFormatting>
  <conditionalFormatting sqref="A574">
    <cfRule type="duplicateValues" dxfId="64" priority="65"/>
  </conditionalFormatting>
  <conditionalFormatting sqref="A579">
    <cfRule type="duplicateValues" dxfId="63" priority="64"/>
  </conditionalFormatting>
  <conditionalFormatting sqref="A584">
    <cfRule type="duplicateValues" dxfId="62" priority="63"/>
  </conditionalFormatting>
  <conditionalFormatting sqref="A589">
    <cfRule type="duplicateValues" dxfId="61" priority="62"/>
  </conditionalFormatting>
  <conditionalFormatting sqref="A594">
    <cfRule type="duplicateValues" dxfId="60" priority="61"/>
  </conditionalFormatting>
  <conditionalFormatting sqref="A599">
    <cfRule type="duplicateValues" dxfId="59" priority="60"/>
  </conditionalFormatting>
  <conditionalFormatting sqref="A604">
    <cfRule type="duplicateValues" dxfId="58" priority="59"/>
  </conditionalFormatting>
  <conditionalFormatting sqref="A609">
    <cfRule type="duplicateValues" dxfId="57" priority="58"/>
  </conditionalFormatting>
  <conditionalFormatting sqref="A614">
    <cfRule type="duplicateValues" dxfId="56" priority="57"/>
  </conditionalFormatting>
  <conditionalFormatting sqref="A619">
    <cfRule type="duplicateValues" dxfId="55" priority="56"/>
  </conditionalFormatting>
  <conditionalFormatting sqref="A624">
    <cfRule type="duplicateValues" dxfId="54" priority="55"/>
  </conditionalFormatting>
  <conditionalFormatting sqref="A629">
    <cfRule type="duplicateValues" dxfId="53" priority="54"/>
  </conditionalFormatting>
  <conditionalFormatting sqref="A634">
    <cfRule type="duplicateValues" dxfId="52" priority="53"/>
  </conditionalFormatting>
  <conditionalFormatting sqref="A640">
    <cfRule type="duplicateValues" dxfId="51" priority="52"/>
  </conditionalFormatting>
  <conditionalFormatting sqref="A645">
    <cfRule type="duplicateValues" dxfId="50" priority="51"/>
  </conditionalFormatting>
  <conditionalFormatting sqref="A650">
    <cfRule type="duplicateValues" dxfId="49" priority="50"/>
  </conditionalFormatting>
  <conditionalFormatting sqref="A655">
    <cfRule type="duplicateValues" dxfId="48" priority="49"/>
  </conditionalFormatting>
  <conditionalFormatting sqref="A660">
    <cfRule type="duplicateValues" dxfId="47" priority="48"/>
  </conditionalFormatting>
  <conditionalFormatting sqref="A666">
    <cfRule type="duplicateValues" dxfId="46" priority="47"/>
  </conditionalFormatting>
  <conditionalFormatting sqref="A671">
    <cfRule type="duplicateValues" dxfId="45" priority="46"/>
  </conditionalFormatting>
  <conditionalFormatting sqref="A676">
    <cfRule type="duplicateValues" dxfId="44" priority="45"/>
  </conditionalFormatting>
  <conditionalFormatting sqref="A681">
    <cfRule type="duplicateValues" dxfId="43" priority="44"/>
  </conditionalFormatting>
  <conditionalFormatting sqref="A686">
    <cfRule type="duplicateValues" dxfId="42" priority="43"/>
  </conditionalFormatting>
  <conditionalFormatting sqref="A691">
    <cfRule type="duplicateValues" dxfId="41" priority="42"/>
  </conditionalFormatting>
  <conditionalFormatting sqref="A696">
    <cfRule type="duplicateValues" dxfId="40" priority="41"/>
  </conditionalFormatting>
  <conditionalFormatting sqref="A701">
    <cfRule type="duplicateValues" dxfId="39" priority="40"/>
  </conditionalFormatting>
  <conditionalFormatting sqref="A706">
    <cfRule type="duplicateValues" dxfId="38" priority="39"/>
  </conditionalFormatting>
  <conditionalFormatting sqref="A711">
    <cfRule type="duplicateValues" dxfId="37" priority="38"/>
  </conditionalFormatting>
  <conditionalFormatting sqref="A716">
    <cfRule type="duplicateValues" dxfId="36" priority="37"/>
  </conditionalFormatting>
  <conditionalFormatting sqref="A722">
    <cfRule type="duplicateValues" dxfId="35" priority="36"/>
  </conditionalFormatting>
  <conditionalFormatting sqref="A727">
    <cfRule type="duplicateValues" dxfId="34" priority="35"/>
  </conditionalFormatting>
  <conditionalFormatting sqref="A732">
    <cfRule type="duplicateValues" dxfId="33" priority="34"/>
  </conditionalFormatting>
  <conditionalFormatting sqref="A737">
    <cfRule type="duplicateValues" dxfId="32" priority="33"/>
  </conditionalFormatting>
  <conditionalFormatting sqref="A742">
    <cfRule type="duplicateValues" dxfId="31" priority="32"/>
  </conditionalFormatting>
  <conditionalFormatting sqref="A747">
    <cfRule type="duplicateValues" dxfId="30" priority="31"/>
  </conditionalFormatting>
  <conditionalFormatting sqref="A752">
    <cfRule type="duplicateValues" dxfId="29" priority="30"/>
  </conditionalFormatting>
  <conditionalFormatting sqref="A757">
    <cfRule type="duplicateValues" dxfId="28" priority="29"/>
  </conditionalFormatting>
  <conditionalFormatting sqref="A763">
    <cfRule type="duplicateValues" dxfId="27" priority="28"/>
  </conditionalFormatting>
  <conditionalFormatting sqref="A768">
    <cfRule type="duplicateValues" dxfId="26" priority="27"/>
  </conditionalFormatting>
  <conditionalFormatting sqref="A773">
    <cfRule type="duplicateValues" dxfId="25" priority="26"/>
  </conditionalFormatting>
  <conditionalFormatting sqref="A778">
    <cfRule type="duplicateValues" dxfId="24" priority="25"/>
  </conditionalFormatting>
  <conditionalFormatting sqref="A783">
    <cfRule type="duplicateValues" dxfId="23" priority="24"/>
  </conditionalFormatting>
  <conditionalFormatting sqref="A788">
    <cfRule type="duplicateValues" dxfId="22" priority="23"/>
  </conditionalFormatting>
  <conditionalFormatting sqref="A793">
    <cfRule type="duplicateValues" dxfId="21" priority="22"/>
  </conditionalFormatting>
  <conditionalFormatting sqref="A798">
    <cfRule type="duplicateValues" dxfId="20" priority="21"/>
  </conditionalFormatting>
  <conditionalFormatting sqref="A803">
    <cfRule type="duplicateValues" dxfId="19" priority="20"/>
  </conditionalFormatting>
  <conditionalFormatting sqref="A808">
    <cfRule type="duplicateValues" dxfId="18" priority="19"/>
  </conditionalFormatting>
  <conditionalFormatting sqref="A813">
    <cfRule type="duplicateValues" dxfId="17" priority="18"/>
  </conditionalFormatting>
  <conditionalFormatting sqref="D40:I40">
    <cfRule type="cellIs" dxfId="16" priority="17" operator="equal">
      <formula>0</formula>
    </cfRule>
  </conditionalFormatting>
  <conditionalFormatting sqref="C166:I166">
    <cfRule type="cellIs" dxfId="15" priority="16" operator="equal">
      <formula>0</formula>
    </cfRule>
  </conditionalFormatting>
  <conditionalFormatting sqref="C387:I387">
    <cfRule type="cellIs" dxfId="14" priority="15" operator="equal">
      <formula>0</formula>
    </cfRule>
  </conditionalFormatting>
  <conditionalFormatting sqref="C833:I833">
    <cfRule type="cellIs" dxfId="13" priority="14" operator="equal">
      <formula>0</formula>
    </cfRule>
  </conditionalFormatting>
  <conditionalFormatting sqref="C503:I503">
    <cfRule type="cellIs" dxfId="12" priority="13" operator="equal">
      <formula>0</formula>
    </cfRule>
  </conditionalFormatting>
  <conditionalFormatting sqref="C634:I634">
    <cfRule type="cellIs" dxfId="11" priority="12" operator="equal">
      <formula>0</formula>
    </cfRule>
  </conditionalFormatting>
  <conditionalFormatting sqref="C660:I660">
    <cfRule type="cellIs" dxfId="10" priority="11" operator="equal">
      <formula>0</formula>
    </cfRule>
  </conditionalFormatting>
  <conditionalFormatting sqref="C716:I716">
    <cfRule type="cellIs" dxfId="9" priority="10" operator="equal">
      <formula>0</formula>
    </cfRule>
  </conditionalFormatting>
  <conditionalFormatting sqref="C757:I757">
    <cfRule type="cellIs" dxfId="8" priority="9" operator="equal">
      <formula>0</formula>
    </cfRule>
  </conditionalFormatting>
  <conditionalFormatting sqref="C808:I808">
    <cfRule type="cellIs" dxfId="7" priority="8" operator="equal">
      <formula>0</formula>
    </cfRule>
  </conditionalFormatting>
  <conditionalFormatting sqref="C40">
    <cfRule type="cellIs" dxfId="6" priority="7" operator="equal">
      <formula>0</formula>
    </cfRule>
  </conditionalFormatting>
  <conditionalFormatting sqref="A403">
    <cfRule type="duplicateValues" dxfId="5" priority="6"/>
  </conditionalFormatting>
  <conditionalFormatting sqref="A817:A818">
    <cfRule type="duplicateValues" dxfId="4" priority="5"/>
  </conditionalFormatting>
  <conditionalFormatting sqref="B818">
    <cfRule type="cellIs" dxfId="3" priority="4" operator="equal">
      <formula>0</formula>
    </cfRule>
  </conditionalFormatting>
  <conditionalFormatting sqref="B817:I817">
    <cfRule type="cellIs" dxfId="2" priority="3" operator="equal">
      <formula>0</formula>
    </cfRule>
  </conditionalFormatting>
  <conditionalFormatting sqref="A835">
    <cfRule type="duplicateValues" dxfId="1" priority="2"/>
  </conditionalFormatting>
  <conditionalFormatting sqref="D38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scale="95" firstPageNumber="180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view="pageLayout" zoomScaleNormal="85" workbookViewId="0">
      <selection activeCell="F99" sqref="F99"/>
    </sheetView>
  </sheetViews>
  <sheetFormatPr defaultRowHeight="15" x14ac:dyDescent="0.25"/>
  <cols>
    <col min="1" max="1" width="3.28515625" bestFit="1" customWidth="1"/>
    <col min="2" max="2" width="16.140625" customWidth="1"/>
    <col min="3" max="3" width="10.28515625" customWidth="1"/>
    <col min="4" max="4" width="48.140625" customWidth="1"/>
    <col min="5" max="5" width="13.7109375" customWidth="1"/>
    <col min="6" max="6" width="42.42578125" customWidth="1"/>
    <col min="7" max="7" width="17.28515625" customWidth="1"/>
  </cols>
  <sheetData>
    <row r="1" spans="1:7" ht="106.5" customHeight="1" x14ac:dyDescent="0.25">
      <c r="A1" s="6"/>
      <c r="B1" s="6"/>
      <c r="C1" s="6"/>
      <c r="D1" s="6"/>
      <c r="E1" s="184" t="s">
        <v>693</v>
      </c>
      <c r="F1" s="184"/>
      <c r="G1" s="184"/>
    </row>
    <row r="2" spans="1:7" ht="15.75" x14ac:dyDescent="0.25">
      <c r="A2" s="182" t="s">
        <v>687</v>
      </c>
      <c r="B2" s="183"/>
      <c r="C2" s="183"/>
      <c r="D2" s="183"/>
      <c r="E2" s="183"/>
      <c r="F2" s="183"/>
      <c r="G2" s="183"/>
    </row>
    <row r="4" spans="1:7" ht="31.5" x14ac:dyDescent="0.25">
      <c r="A4" s="25" t="s">
        <v>512</v>
      </c>
      <c r="B4" s="25" t="s">
        <v>662</v>
      </c>
      <c r="C4" s="25" t="s">
        <v>513</v>
      </c>
      <c r="D4" s="25" t="s">
        <v>514</v>
      </c>
      <c r="E4" s="25" t="s">
        <v>515</v>
      </c>
      <c r="F4" s="25" t="s">
        <v>516</v>
      </c>
      <c r="G4" s="25" t="s">
        <v>663</v>
      </c>
    </row>
    <row r="5" spans="1:7" ht="148.5" x14ac:dyDescent="0.25">
      <c r="A5" s="26">
        <v>1</v>
      </c>
      <c r="B5" s="27" t="s">
        <v>517</v>
      </c>
      <c r="C5" s="27" t="s">
        <v>518</v>
      </c>
      <c r="D5" s="28" t="s">
        <v>479</v>
      </c>
      <c r="E5" s="25" t="s">
        <v>167</v>
      </c>
      <c r="F5" s="28" t="s">
        <v>519</v>
      </c>
      <c r="G5" s="29">
        <v>8000</v>
      </c>
    </row>
    <row r="6" spans="1:7" ht="96" x14ac:dyDescent="0.25">
      <c r="A6" s="26">
        <f>A5+1</f>
        <v>2</v>
      </c>
      <c r="B6" s="27"/>
      <c r="C6" s="27" t="s">
        <v>520</v>
      </c>
      <c r="D6" s="28" t="s">
        <v>448</v>
      </c>
      <c r="E6" s="25" t="s">
        <v>406</v>
      </c>
      <c r="F6" s="28" t="s">
        <v>521</v>
      </c>
      <c r="G6" s="29">
        <v>50</v>
      </c>
    </row>
    <row r="7" spans="1:7" ht="63" x14ac:dyDescent="0.25">
      <c r="A7" s="26">
        <f t="shared" ref="A7:A70" si="0">A6+1</f>
        <v>3</v>
      </c>
      <c r="B7" s="27"/>
      <c r="C7" s="27"/>
      <c r="D7" s="28" t="s">
        <v>461</v>
      </c>
      <c r="E7" s="25" t="s">
        <v>167</v>
      </c>
      <c r="F7" s="28" t="s">
        <v>522</v>
      </c>
      <c r="G7" s="29">
        <v>1</v>
      </c>
    </row>
    <row r="8" spans="1:7" ht="96.75" x14ac:dyDescent="0.25">
      <c r="A8" s="26">
        <f t="shared" si="0"/>
        <v>4</v>
      </c>
      <c r="B8" s="27"/>
      <c r="C8" s="27" t="s">
        <v>523</v>
      </c>
      <c r="D8" s="28" t="s">
        <v>433</v>
      </c>
      <c r="E8" s="25" t="s">
        <v>524</v>
      </c>
      <c r="F8" s="28" t="s">
        <v>525</v>
      </c>
      <c r="G8" s="29">
        <v>767.89</v>
      </c>
    </row>
    <row r="9" spans="1:7" ht="63" x14ac:dyDescent="0.25">
      <c r="A9" s="26">
        <f t="shared" si="0"/>
        <v>5</v>
      </c>
      <c r="B9" s="27"/>
      <c r="C9" s="27"/>
      <c r="D9" s="28" t="s">
        <v>442</v>
      </c>
      <c r="E9" s="25" t="s">
        <v>167</v>
      </c>
      <c r="F9" s="28" t="s">
        <v>526</v>
      </c>
      <c r="G9" s="29">
        <v>50</v>
      </c>
    </row>
    <row r="10" spans="1:7" ht="189" x14ac:dyDescent="0.25">
      <c r="A10" s="26">
        <f t="shared" si="0"/>
        <v>6</v>
      </c>
      <c r="B10" s="27"/>
      <c r="C10" s="27"/>
      <c r="D10" s="28" t="s">
        <v>451</v>
      </c>
      <c r="E10" s="25" t="s">
        <v>406</v>
      </c>
      <c r="F10" s="28" t="s">
        <v>527</v>
      </c>
      <c r="G10" s="29">
        <v>180</v>
      </c>
    </row>
    <row r="11" spans="1:7" ht="78.75" x14ac:dyDescent="0.25">
      <c r="A11" s="26">
        <f t="shared" si="0"/>
        <v>7</v>
      </c>
      <c r="B11" s="27"/>
      <c r="C11" s="27"/>
      <c r="D11" s="28" t="s">
        <v>455</v>
      </c>
      <c r="E11" s="25" t="s">
        <v>528</v>
      </c>
      <c r="F11" s="28" t="s">
        <v>529</v>
      </c>
      <c r="G11" s="29">
        <v>30</v>
      </c>
    </row>
    <row r="12" spans="1:7" ht="94.5" x14ac:dyDescent="0.25">
      <c r="A12" s="26">
        <f t="shared" si="0"/>
        <v>8</v>
      </c>
      <c r="B12" s="27"/>
      <c r="C12" s="27"/>
      <c r="D12" s="28" t="s">
        <v>459</v>
      </c>
      <c r="E12" s="25" t="s">
        <v>22</v>
      </c>
      <c r="F12" s="28" t="s">
        <v>530</v>
      </c>
      <c r="G12" s="29">
        <v>53.4</v>
      </c>
    </row>
    <row r="13" spans="1:7" ht="63" x14ac:dyDescent="0.25">
      <c r="A13" s="26">
        <f t="shared" si="0"/>
        <v>9</v>
      </c>
      <c r="B13" s="27"/>
      <c r="C13" s="27"/>
      <c r="D13" s="28" t="s">
        <v>460</v>
      </c>
      <c r="E13" s="25" t="s">
        <v>166</v>
      </c>
      <c r="F13" s="28" t="s">
        <v>531</v>
      </c>
      <c r="G13" s="29">
        <v>80</v>
      </c>
    </row>
    <row r="14" spans="1:7" ht="47.25" x14ac:dyDescent="0.25">
      <c r="A14" s="26">
        <f t="shared" si="0"/>
        <v>10</v>
      </c>
      <c r="B14" s="27"/>
      <c r="C14" s="27"/>
      <c r="D14" s="28" t="s">
        <v>462</v>
      </c>
      <c r="E14" s="25" t="s">
        <v>25</v>
      </c>
      <c r="F14" s="28" t="s">
        <v>532</v>
      </c>
      <c r="G14" s="29">
        <v>300</v>
      </c>
    </row>
    <row r="15" spans="1:7" ht="78.75" x14ac:dyDescent="0.25">
      <c r="A15" s="26">
        <f t="shared" si="0"/>
        <v>11</v>
      </c>
      <c r="B15" s="27"/>
      <c r="C15" s="27"/>
      <c r="D15" s="28" t="s">
        <v>466</v>
      </c>
      <c r="E15" s="25" t="s">
        <v>533</v>
      </c>
      <c r="F15" s="28" t="s">
        <v>534</v>
      </c>
      <c r="G15" s="29">
        <v>50</v>
      </c>
    </row>
    <row r="16" spans="1:7" ht="126" x14ac:dyDescent="0.25">
      <c r="A16" s="26">
        <f t="shared" si="0"/>
        <v>12</v>
      </c>
      <c r="B16" s="27"/>
      <c r="C16" s="27"/>
      <c r="D16" s="28" t="s">
        <v>470</v>
      </c>
      <c r="E16" s="25" t="s">
        <v>535</v>
      </c>
      <c r="F16" s="28" t="s">
        <v>536</v>
      </c>
      <c r="G16" s="29">
        <v>125</v>
      </c>
    </row>
    <row r="17" spans="1:7" ht="157.5" x14ac:dyDescent="0.25">
      <c r="A17" s="26">
        <f t="shared" si="0"/>
        <v>13</v>
      </c>
      <c r="B17" s="27"/>
      <c r="C17" s="27"/>
      <c r="D17" s="28" t="s">
        <v>472</v>
      </c>
      <c r="E17" s="25" t="s">
        <v>399</v>
      </c>
      <c r="F17" s="28" t="s">
        <v>537</v>
      </c>
      <c r="G17" s="29">
        <v>10</v>
      </c>
    </row>
    <row r="18" spans="1:7" ht="94.5" x14ac:dyDescent="0.25">
      <c r="A18" s="26">
        <f t="shared" si="0"/>
        <v>14</v>
      </c>
      <c r="B18" s="27"/>
      <c r="C18" s="27"/>
      <c r="D18" s="28" t="s">
        <v>474</v>
      </c>
      <c r="E18" s="25" t="s">
        <v>399</v>
      </c>
      <c r="F18" s="28" t="s">
        <v>538</v>
      </c>
      <c r="G18" s="29">
        <v>10.5</v>
      </c>
    </row>
    <row r="19" spans="1:7" ht="110.25" x14ac:dyDescent="0.25">
      <c r="A19" s="26">
        <f t="shared" si="0"/>
        <v>15</v>
      </c>
      <c r="B19" s="27"/>
      <c r="C19" s="27"/>
      <c r="D19" s="28" t="s">
        <v>475</v>
      </c>
      <c r="E19" s="25" t="s">
        <v>286</v>
      </c>
      <c r="F19" s="28" t="s">
        <v>539</v>
      </c>
      <c r="G19" s="29">
        <v>67.400000000000006</v>
      </c>
    </row>
    <row r="20" spans="1:7" ht="110.25" x14ac:dyDescent="0.25">
      <c r="A20" s="26">
        <f t="shared" si="0"/>
        <v>16</v>
      </c>
      <c r="B20" s="27"/>
      <c r="C20" s="27"/>
      <c r="D20" s="28" t="s">
        <v>476</v>
      </c>
      <c r="E20" s="25" t="s">
        <v>535</v>
      </c>
      <c r="F20" s="28" t="s">
        <v>540</v>
      </c>
      <c r="G20" s="29">
        <v>62.6</v>
      </c>
    </row>
    <row r="21" spans="1:7" ht="141.75" x14ac:dyDescent="0.25">
      <c r="A21" s="26">
        <f t="shared" si="0"/>
        <v>17</v>
      </c>
      <c r="B21" s="27"/>
      <c r="C21" s="27"/>
      <c r="D21" s="28" t="s">
        <v>484</v>
      </c>
      <c r="E21" s="25" t="s">
        <v>22</v>
      </c>
      <c r="F21" s="28" t="s">
        <v>541</v>
      </c>
      <c r="G21" s="29">
        <v>1000</v>
      </c>
    </row>
    <row r="22" spans="1:7" ht="63" x14ac:dyDescent="0.25">
      <c r="A22" s="26">
        <f t="shared" si="0"/>
        <v>18</v>
      </c>
      <c r="B22" s="27"/>
      <c r="C22" s="27"/>
      <c r="D22" s="28" t="s">
        <v>486</v>
      </c>
      <c r="E22" s="25" t="s">
        <v>542</v>
      </c>
      <c r="F22" s="28" t="s">
        <v>543</v>
      </c>
      <c r="G22" s="29">
        <v>61.4</v>
      </c>
    </row>
    <row r="23" spans="1:7" ht="63" x14ac:dyDescent="0.25">
      <c r="A23" s="26">
        <f t="shared" si="0"/>
        <v>19</v>
      </c>
      <c r="B23" s="27"/>
      <c r="C23" s="27"/>
      <c r="D23" s="28" t="s">
        <v>487</v>
      </c>
      <c r="E23" s="25" t="s">
        <v>544</v>
      </c>
      <c r="F23" s="28" t="s">
        <v>543</v>
      </c>
      <c r="G23" s="29">
        <v>50</v>
      </c>
    </row>
    <row r="24" spans="1:7" ht="78.75" x14ac:dyDescent="0.25">
      <c r="A24" s="26">
        <f t="shared" si="0"/>
        <v>20</v>
      </c>
      <c r="B24" s="27"/>
      <c r="C24" s="27"/>
      <c r="D24" s="28" t="s">
        <v>490</v>
      </c>
      <c r="E24" s="25" t="s">
        <v>535</v>
      </c>
      <c r="F24" s="28" t="s">
        <v>545</v>
      </c>
      <c r="G24" s="29">
        <v>106</v>
      </c>
    </row>
    <row r="25" spans="1:7" ht="63" x14ac:dyDescent="0.25">
      <c r="A25" s="26">
        <f t="shared" si="0"/>
        <v>21</v>
      </c>
      <c r="B25" s="27"/>
      <c r="C25" s="27"/>
      <c r="D25" s="28" t="s">
        <v>491</v>
      </c>
      <c r="E25" s="25" t="s">
        <v>546</v>
      </c>
      <c r="F25" s="28" t="s">
        <v>547</v>
      </c>
      <c r="G25" s="29">
        <v>21</v>
      </c>
    </row>
    <row r="26" spans="1:7" ht="63" x14ac:dyDescent="0.25">
      <c r="A26" s="26">
        <f t="shared" si="0"/>
        <v>22</v>
      </c>
      <c r="B26" s="27"/>
      <c r="C26" s="27"/>
      <c r="D26" s="28" t="s">
        <v>493</v>
      </c>
      <c r="E26" s="25" t="s">
        <v>25</v>
      </c>
      <c r="F26" s="28" t="s">
        <v>548</v>
      </c>
      <c r="G26" s="29">
        <v>2000</v>
      </c>
    </row>
    <row r="27" spans="1:7" ht="78.75" x14ac:dyDescent="0.25">
      <c r="A27" s="26">
        <f t="shared" si="0"/>
        <v>23</v>
      </c>
      <c r="B27" s="27"/>
      <c r="C27" s="27"/>
      <c r="D27" s="28" t="s">
        <v>494</v>
      </c>
      <c r="E27" s="25" t="s">
        <v>399</v>
      </c>
      <c r="F27" s="28" t="s">
        <v>549</v>
      </c>
      <c r="G27" s="29">
        <v>181.2</v>
      </c>
    </row>
    <row r="28" spans="1:7" ht="315" x14ac:dyDescent="0.25">
      <c r="A28" s="26">
        <f t="shared" si="0"/>
        <v>24</v>
      </c>
      <c r="B28" s="27"/>
      <c r="C28" s="27"/>
      <c r="D28" s="28" t="s">
        <v>505</v>
      </c>
      <c r="E28" s="25" t="s">
        <v>524</v>
      </c>
      <c r="F28" s="28" t="s">
        <v>550</v>
      </c>
      <c r="G28" s="29">
        <v>50.1</v>
      </c>
    </row>
    <row r="29" spans="1:7" ht="82.5" x14ac:dyDescent="0.25">
      <c r="A29" s="26">
        <f t="shared" si="0"/>
        <v>25</v>
      </c>
      <c r="B29" s="27"/>
      <c r="C29" s="27" t="s">
        <v>551</v>
      </c>
      <c r="D29" s="28" t="s">
        <v>457</v>
      </c>
      <c r="E29" s="25" t="s">
        <v>22</v>
      </c>
      <c r="F29" s="28" t="s">
        <v>552</v>
      </c>
      <c r="G29" s="29">
        <v>30</v>
      </c>
    </row>
    <row r="30" spans="1:7" ht="63" x14ac:dyDescent="0.25">
      <c r="A30" s="26">
        <f t="shared" si="0"/>
        <v>26</v>
      </c>
      <c r="B30" s="27"/>
      <c r="C30" s="27"/>
      <c r="D30" s="28" t="s">
        <v>468</v>
      </c>
      <c r="E30" s="25" t="s">
        <v>533</v>
      </c>
      <c r="F30" s="28" t="s">
        <v>553</v>
      </c>
      <c r="G30" s="29">
        <v>165</v>
      </c>
    </row>
    <row r="31" spans="1:7" ht="204.75" x14ac:dyDescent="0.25">
      <c r="A31" s="26">
        <f t="shared" si="0"/>
        <v>27</v>
      </c>
      <c r="B31" s="27"/>
      <c r="C31" s="27"/>
      <c r="D31" s="28" t="s">
        <v>469</v>
      </c>
      <c r="E31" s="25" t="s">
        <v>554</v>
      </c>
      <c r="F31" s="28" t="s">
        <v>555</v>
      </c>
      <c r="G31" s="29">
        <v>56</v>
      </c>
    </row>
    <row r="32" spans="1:7" ht="157.5" x14ac:dyDescent="0.25">
      <c r="A32" s="26">
        <f t="shared" si="0"/>
        <v>28</v>
      </c>
      <c r="B32" s="27"/>
      <c r="C32" s="27"/>
      <c r="D32" s="28" t="s">
        <v>483</v>
      </c>
      <c r="E32" s="25" t="s">
        <v>22</v>
      </c>
      <c r="F32" s="28" t="s">
        <v>556</v>
      </c>
      <c r="G32" s="29">
        <v>1080</v>
      </c>
    </row>
    <row r="33" spans="1:7" ht="78.75" x14ac:dyDescent="0.25">
      <c r="A33" s="26">
        <f t="shared" si="0"/>
        <v>29</v>
      </c>
      <c r="B33" s="27"/>
      <c r="C33" s="27"/>
      <c r="D33" s="28" t="s">
        <v>501</v>
      </c>
      <c r="E33" s="25" t="s">
        <v>557</v>
      </c>
      <c r="F33" s="28" t="s">
        <v>558</v>
      </c>
      <c r="G33" s="29">
        <v>125</v>
      </c>
    </row>
    <row r="34" spans="1:7" ht="78" x14ac:dyDescent="0.25">
      <c r="A34" s="26">
        <f t="shared" si="0"/>
        <v>30</v>
      </c>
      <c r="B34" s="27"/>
      <c r="C34" s="27" t="s">
        <v>559</v>
      </c>
      <c r="D34" s="28" t="s">
        <v>467</v>
      </c>
      <c r="E34" s="25" t="s">
        <v>533</v>
      </c>
      <c r="F34" s="28" t="s">
        <v>560</v>
      </c>
      <c r="G34" s="29">
        <v>45</v>
      </c>
    </row>
    <row r="35" spans="1:7" ht="96" x14ac:dyDescent="0.25">
      <c r="A35" s="26">
        <f t="shared" si="0"/>
        <v>31</v>
      </c>
      <c r="B35" s="27"/>
      <c r="C35" s="27" t="s">
        <v>561</v>
      </c>
      <c r="D35" s="28" t="s">
        <v>447</v>
      </c>
      <c r="E35" s="25" t="s">
        <v>542</v>
      </c>
      <c r="F35" s="28" t="s">
        <v>562</v>
      </c>
      <c r="G35" s="29">
        <v>70</v>
      </c>
    </row>
    <row r="36" spans="1:7" ht="110.25" x14ac:dyDescent="0.25">
      <c r="A36" s="26">
        <f t="shared" si="0"/>
        <v>32</v>
      </c>
      <c r="B36" s="27"/>
      <c r="C36" s="27"/>
      <c r="D36" s="28" t="s">
        <v>449</v>
      </c>
      <c r="E36" s="25" t="s">
        <v>535</v>
      </c>
      <c r="F36" s="28" t="s">
        <v>563</v>
      </c>
      <c r="G36" s="29">
        <v>40.6</v>
      </c>
    </row>
    <row r="37" spans="1:7" ht="78.75" x14ac:dyDescent="0.25">
      <c r="A37" s="26">
        <f t="shared" si="0"/>
        <v>33</v>
      </c>
      <c r="B37" s="27"/>
      <c r="C37" s="27" t="s">
        <v>564</v>
      </c>
      <c r="D37" s="28" t="s">
        <v>492</v>
      </c>
      <c r="E37" s="25" t="s">
        <v>533</v>
      </c>
      <c r="F37" s="28" t="s">
        <v>565</v>
      </c>
      <c r="G37" s="29">
        <v>52</v>
      </c>
    </row>
    <row r="38" spans="1:7" ht="220.5" x14ac:dyDescent="0.25">
      <c r="A38" s="26">
        <f t="shared" si="0"/>
        <v>34</v>
      </c>
      <c r="B38" s="27"/>
      <c r="C38" s="27"/>
      <c r="D38" s="28" t="s">
        <v>504</v>
      </c>
      <c r="E38" s="25" t="s">
        <v>566</v>
      </c>
      <c r="F38" s="28" t="s">
        <v>567</v>
      </c>
      <c r="G38" s="29">
        <v>693</v>
      </c>
    </row>
    <row r="39" spans="1:7" ht="90.75" x14ac:dyDescent="0.25">
      <c r="A39" s="26">
        <f t="shared" si="0"/>
        <v>35</v>
      </c>
      <c r="B39" s="27"/>
      <c r="C39" s="27" t="s">
        <v>568</v>
      </c>
      <c r="D39" s="28" t="s">
        <v>446</v>
      </c>
      <c r="E39" s="25" t="s">
        <v>554</v>
      </c>
      <c r="F39" s="28" t="s">
        <v>569</v>
      </c>
      <c r="G39" s="29">
        <v>250</v>
      </c>
    </row>
    <row r="40" spans="1:7" ht="126" x14ac:dyDescent="0.25">
      <c r="A40" s="26">
        <f t="shared" si="0"/>
        <v>36</v>
      </c>
      <c r="B40" s="27"/>
      <c r="C40" s="27"/>
      <c r="D40" s="28" t="s">
        <v>450</v>
      </c>
      <c r="E40" s="25" t="s">
        <v>22</v>
      </c>
      <c r="F40" s="28" t="s">
        <v>570</v>
      </c>
      <c r="G40" s="29">
        <v>40</v>
      </c>
    </row>
    <row r="41" spans="1:7" ht="141.75" x14ac:dyDescent="0.25">
      <c r="A41" s="26">
        <f t="shared" si="0"/>
        <v>37</v>
      </c>
      <c r="B41" s="27"/>
      <c r="C41" s="27"/>
      <c r="D41" s="28" t="s">
        <v>471</v>
      </c>
      <c r="E41" s="25" t="s">
        <v>399</v>
      </c>
      <c r="F41" s="28" t="s">
        <v>571</v>
      </c>
      <c r="G41" s="29">
        <v>60</v>
      </c>
    </row>
    <row r="42" spans="1:7" ht="110.25" x14ac:dyDescent="0.25">
      <c r="A42" s="26">
        <f t="shared" si="0"/>
        <v>38</v>
      </c>
      <c r="B42" s="27"/>
      <c r="C42" s="27" t="s">
        <v>572</v>
      </c>
      <c r="D42" s="28" t="s">
        <v>444</v>
      </c>
      <c r="E42" s="25" t="s">
        <v>166</v>
      </c>
      <c r="F42" s="28" t="s">
        <v>573</v>
      </c>
      <c r="G42" s="29">
        <v>52</v>
      </c>
    </row>
    <row r="43" spans="1:7" ht="173.25" x14ac:dyDescent="0.25">
      <c r="A43" s="26">
        <f t="shared" si="0"/>
        <v>39</v>
      </c>
      <c r="B43" s="27"/>
      <c r="C43" s="27"/>
      <c r="D43" s="28" t="s">
        <v>452</v>
      </c>
      <c r="E43" s="25" t="s">
        <v>574</v>
      </c>
      <c r="F43" s="28" t="s">
        <v>575</v>
      </c>
      <c r="G43" s="29">
        <v>1000</v>
      </c>
    </row>
    <row r="44" spans="1:7" ht="141.75" x14ac:dyDescent="0.25">
      <c r="A44" s="26">
        <f t="shared" si="0"/>
        <v>40</v>
      </c>
      <c r="B44" s="27"/>
      <c r="C44" s="27"/>
      <c r="D44" s="28" t="s">
        <v>453</v>
      </c>
      <c r="E44" s="25" t="s">
        <v>576</v>
      </c>
      <c r="F44" s="28" t="s">
        <v>577</v>
      </c>
      <c r="G44" s="29">
        <v>257.5</v>
      </c>
    </row>
    <row r="45" spans="1:7" ht="110.25" x14ac:dyDescent="0.25">
      <c r="A45" s="26">
        <f t="shared" si="0"/>
        <v>41</v>
      </c>
      <c r="B45" s="27"/>
      <c r="C45" s="27"/>
      <c r="D45" s="28" t="s">
        <v>454</v>
      </c>
      <c r="E45" s="25" t="s">
        <v>578</v>
      </c>
      <c r="F45" s="28" t="s">
        <v>579</v>
      </c>
      <c r="G45" s="29">
        <v>251.1</v>
      </c>
    </row>
    <row r="46" spans="1:7" ht="63" x14ac:dyDescent="0.25">
      <c r="A46" s="26">
        <f t="shared" si="0"/>
        <v>42</v>
      </c>
      <c r="B46" s="27"/>
      <c r="C46" s="27"/>
      <c r="D46" s="28" t="s">
        <v>463</v>
      </c>
      <c r="E46" s="25" t="s">
        <v>580</v>
      </c>
      <c r="F46" s="28" t="s">
        <v>581</v>
      </c>
      <c r="G46" s="29">
        <v>30</v>
      </c>
    </row>
    <row r="47" spans="1:7" ht="189" x14ac:dyDescent="0.25">
      <c r="A47" s="26">
        <f t="shared" si="0"/>
        <v>43</v>
      </c>
      <c r="B47" s="27"/>
      <c r="C47" s="27"/>
      <c r="D47" s="28" t="s">
        <v>464</v>
      </c>
      <c r="E47" s="25" t="s">
        <v>524</v>
      </c>
      <c r="F47" s="28" t="s">
        <v>582</v>
      </c>
      <c r="G47" s="29">
        <v>25</v>
      </c>
    </row>
    <row r="48" spans="1:7" ht="78.75" x14ac:dyDescent="0.25">
      <c r="A48" s="26">
        <f t="shared" si="0"/>
        <v>44</v>
      </c>
      <c r="B48" s="27"/>
      <c r="C48" s="27"/>
      <c r="D48" s="28" t="s">
        <v>473</v>
      </c>
      <c r="E48" s="25" t="s">
        <v>566</v>
      </c>
      <c r="F48" s="28" t="s">
        <v>583</v>
      </c>
      <c r="G48" s="29">
        <v>350</v>
      </c>
    </row>
    <row r="49" spans="1:7" ht="63" x14ac:dyDescent="0.25">
      <c r="A49" s="26">
        <f t="shared" si="0"/>
        <v>45</v>
      </c>
      <c r="B49" s="27"/>
      <c r="C49" s="27"/>
      <c r="D49" s="28" t="s">
        <v>477</v>
      </c>
      <c r="E49" s="25" t="s">
        <v>584</v>
      </c>
      <c r="F49" s="28" t="s">
        <v>585</v>
      </c>
      <c r="G49" s="29">
        <v>188.5</v>
      </c>
    </row>
    <row r="50" spans="1:7" ht="47.25" x14ac:dyDescent="0.25">
      <c r="A50" s="26">
        <f t="shared" si="0"/>
        <v>46</v>
      </c>
      <c r="B50" s="27"/>
      <c r="C50" s="27"/>
      <c r="D50" s="28" t="s">
        <v>478</v>
      </c>
      <c r="E50" s="25" t="s">
        <v>586</v>
      </c>
      <c r="F50" s="28" t="s">
        <v>587</v>
      </c>
      <c r="G50" s="29">
        <v>66</v>
      </c>
    </row>
    <row r="51" spans="1:7" ht="157.5" x14ac:dyDescent="0.25">
      <c r="A51" s="26">
        <f t="shared" si="0"/>
        <v>47</v>
      </c>
      <c r="B51" s="27"/>
      <c r="C51" s="27"/>
      <c r="D51" s="28" t="s">
        <v>485</v>
      </c>
      <c r="E51" s="25" t="s">
        <v>167</v>
      </c>
      <c r="F51" s="28" t="s">
        <v>588</v>
      </c>
      <c r="G51" s="29">
        <v>250</v>
      </c>
    </row>
    <row r="52" spans="1:7" ht="63" x14ac:dyDescent="0.25">
      <c r="A52" s="26">
        <f t="shared" si="0"/>
        <v>48</v>
      </c>
      <c r="B52" s="27"/>
      <c r="C52" s="27"/>
      <c r="D52" s="28" t="s">
        <v>496</v>
      </c>
      <c r="E52" s="25" t="s">
        <v>589</v>
      </c>
      <c r="F52" s="28" t="s">
        <v>590</v>
      </c>
      <c r="G52" s="29">
        <v>285</v>
      </c>
    </row>
    <row r="53" spans="1:7" ht="90.75" x14ac:dyDescent="0.25">
      <c r="A53" s="26">
        <f t="shared" si="0"/>
        <v>49</v>
      </c>
      <c r="B53" s="30" t="s">
        <v>591</v>
      </c>
      <c r="C53" s="27" t="s">
        <v>592</v>
      </c>
      <c r="D53" s="28" t="s">
        <v>430</v>
      </c>
      <c r="E53" s="25" t="s">
        <v>593</v>
      </c>
      <c r="F53" s="28" t="s">
        <v>594</v>
      </c>
      <c r="G53" s="29">
        <v>712</v>
      </c>
    </row>
    <row r="54" spans="1:7" ht="31.5" x14ac:dyDescent="0.25">
      <c r="A54" s="26">
        <f t="shared" si="0"/>
        <v>50</v>
      </c>
      <c r="B54" s="30"/>
      <c r="C54" s="27"/>
      <c r="D54" s="28" t="s">
        <v>435</v>
      </c>
      <c r="E54" s="25" t="s">
        <v>595</v>
      </c>
      <c r="F54" s="28" t="s">
        <v>596</v>
      </c>
      <c r="G54" s="29">
        <v>25</v>
      </c>
    </row>
    <row r="55" spans="1:7" ht="31.5" x14ac:dyDescent="0.25">
      <c r="A55" s="26">
        <f t="shared" si="0"/>
        <v>51</v>
      </c>
      <c r="B55" s="30"/>
      <c r="C55" s="27"/>
      <c r="D55" s="28" t="s">
        <v>436</v>
      </c>
      <c r="E55" s="25" t="s">
        <v>595</v>
      </c>
      <c r="F55" s="28" t="s">
        <v>597</v>
      </c>
      <c r="G55" s="29">
        <v>15.7</v>
      </c>
    </row>
    <row r="56" spans="1:7" ht="31.5" x14ac:dyDescent="0.25">
      <c r="A56" s="26">
        <f t="shared" si="0"/>
        <v>52</v>
      </c>
      <c r="B56" s="30"/>
      <c r="C56" s="27"/>
      <c r="D56" s="28" t="s">
        <v>437</v>
      </c>
      <c r="E56" s="25" t="s">
        <v>399</v>
      </c>
      <c r="F56" s="28" t="s">
        <v>597</v>
      </c>
      <c r="G56" s="29">
        <v>120</v>
      </c>
    </row>
    <row r="57" spans="1:7" ht="31.5" x14ac:dyDescent="0.25">
      <c r="A57" s="26">
        <f t="shared" si="0"/>
        <v>53</v>
      </c>
      <c r="B57" s="30"/>
      <c r="C57" s="27"/>
      <c r="D57" s="28" t="s">
        <v>438</v>
      </c>
      <c r="E57" s="25" t="s">
        <v>595</v>
      </c>
      <c r="F57" s="28" t="s">
        <v>598</v>
      </c>
      <c r="G57" s="29">
        <v>22</v>
      </c>
    </row>
    <row r="58" spans="1:7" ht="63" x14ac:dyDescent="0.25">
      <c r="A58" s="26">
        <f t="shared" si="0"/>
        <v>54</v>
      </c>
      <c r="B58" s="30"/>
      <c r="C58" s="27"/>
      <c r="D58" s="28" t="s">
        <v>439</v>
      </c>
      <c r="E58" s="25" t="s">
        <v>595</v>
      </c>
      <c r="F58" s="28" t="s">
        <v>599</v>
      </c>
      <c r="G58" s="29">
        <v>23.77</v>
      </c>
    </row>
    <row r="59" spans="1:7" ht="63" x14ac:dyDescent="0.25">
      <c r="A59" s="26">
        <f t="shared" si="0"/>
        <v>55</v>
      </c>
      <c r="B59" s="30"/>
      <c r="C59" s="27"/>
      <c r="D59" s="28" t="s">
        <v>441</v>
      </c>
      <c r="E59" s="25" t="s">
        <v>399</v>
      </c>
      <c r="F59" s="28" t="s">
        <v>600</v>
      </c>
      <c r="G59" s="29">
        <v>1280</v>
      </c>
    </row>
    <row r="60" spans="1:7" ht="47.25" x14ac:dyDescent="0.25">
      <c r="A60" s="26">
        <f t="shared" si="0"/>
        <v>56</v>
      </c>
      <c r="B60" s="30"/>
      <c r="C60" s="27"/>
      <c r="D60" s="28" t="s">
        <v>456</v>
      </c>
      <c r="E60" s="25" t="s">
        <v>286</v>
      </c>
      <c r="F60" s="28" t="s">
        <v>601</v>
      </c>
      <c r="G60" s="29">
        <v>50</v>
      </c>
    </row>
    <row r="61" spans="1:7" ht="47.25" x14ac:dyDescent="0.25">
      <c r="A61" s="26">
        <f t="shared" si="0"/>
        <v>57</v>
      </c>
      <c r="B61" s="30"/>
      <c r="C61" s="27"/>
      <c r="D61" s="28" t="s">
        <v>458</v>
      </c>
      <c r="E61" s="25" t="s">
        <v>167</v>
      </c>
      <c r="F61" s="28" t="s">
        <v>602</v>
      </c>
      <c r="G61" s="29">
        <v>45.5</v>
      </c>
    </row>
    <row r="62" spans="1:7" ht="47.25" x14ac:dyDescent="0.25">
      <c r="A62" s="26">
        <f t="shared" si="0"/>
        <v>58</v>
      </c>
      <c r="B62" s="30"/>
      <c r="C62" s="27"/>
      <c r="D62" s="28" t="s">
        <v>481</v>
      </c>
      <c r="E62" s="25" t="s">
        <v>603</v>
      </c>
      <c r="F62" s="28" t="s">
        <v>604</v>
      </c>
      <c r="G62" s="29">
        <v>500</v>
      </c>
    </row>
    <row r="63" spans="1:7" ht="78.75" x14ac:dyDescent="0.25">
      <c r="A63" s="26">
        <f t="shared" si="0"/>
        <v>59</v>
      </c>
      <c r="B63" s="30"/>
      <c r="C63" s="27"/>
      <c r="D63" s="28" t="s">
        <v>507</v>
      </c>
      <c r="E63" s="25" t="s">
        <v>595</v>
      </c>
      <c r="F63" s="28" t="s">
        <v>605</v>
      </c>
      <c r="G63" s="29">
        <v>36</v>
      </c>
    </row>
    <row r="64" spans="1:7" ht="31.5" x14ac:dyDescent="0.25">
      <c r="A64" s="26">
        <f t="shared" si="0"/>
        <v>60</v>
      </c>
      <c r="B64" s="30"/>
      <c r="C64" s="27"/>
      <c r="D64" s="28" t="s">
        <v>509</v>
      </c>
      <c r="E64" s="25" t="s">
        <v>595</v>
      </c>
      <c r="F64" s="28" t="s">
        <v>606</v>
      </c>
      <c r="G64" s="29">
        <v>210</v>
      </c>
    </row>
    <row r="65" spans="1:7" ht="47.25" x14ac:dyDescent="0.25">
      <c r="A65" s="26">
        <f t="shared" si="0"/>
        <v>61</v>
      </c>
      <c r="B65" s="30"/>
      <c r="C65" s="27" t="s">
        <v>607</v>
      </c>
      <c r="D65" s="28" t="s">
        <v>443</v>
      </c>
      <c r="E65" s="25" t="s">
        <v>166</v>
      </c>
      <c r="F65" s="28" t="s">
        <v>608</v>
      </c>
      <c r="G65" s="29">
        <v>17</v>
      </c>
    </row>
    <row r="66" spans="1:7" ht="47.25" x14ac:dyDescent="0.25">
      <c r="A66" s="26">
        <f t="shared" si="0"/>
        <v>62</v>
      </c>
      <c r="B66" s="30"/>
      <c r="C66" s="27"/>
      <c r="D66" s="28" t="s">
        <v>508</v>
      </c>
      <c r="E66" s="25" t="s">
        <v>167</v>
      </c>
      <c r="F66" s="28" t="s">
        <v>609</v>
      </c>
      <c r="G66" s="29">
        <v>5</v>
      </c>
    </row>
    <row r="67" spans="1:7" ht="141" x14ac:dyDescent="0.25">
      <c r="A67" s="26">
        <f t="shared" si="0"/>
        <v>63</v>
      </c>
      <c r="B67" s="30" t="s">
        <v>610</v>
      </c>
      <c r="C67" s="27" t="s">
        <v>8</v>
      </c>
      <c r="D67" s="28" t="s">
        <v>511</v>
      </c>
      <c r="E67" s="25" t="s">
        <v>167</v>
      </c>
      <c r="F67" s="28" t="s">
        <v>611</v>
      </c>
      <c r="G67" s="29">
        <v>12400</v>
      </c>
    </row>
    <row r="68" spans="1:7" ht="141.75" x14ac:dyDescent="0.25">
      <c r="A68" s="26">
        <f t="shared" si="0"/>
        <v>64</v>
      </c>
      <c r="B68" s="30"/>
      <c r="C68" s="27" t="s">
        <v>612</v>
      </c>
      <c r="D68" s="28" t="s">
        <v>480</v>
      </c>
      <c r="E68" s="25" t="s">
        <v>22</v>
      </c>
      <c r="F68" s="28" t="s">
        <v>613</v>
      </c>
      <c r="G68" s="29">
        <v>550</v>
      </c>
    </row>
    <row r="69" spans="1:7" ht="141" x14ac:dyDescent="0.25">
      <c r="A69" s="26">
        <f t="shared" si="0"/>
        <v>65</v>
      </c>
      <c r="B69" s="30" t="s">
        <v>614</v>
      </c>
      <c r="C69" s="27" t="s">
        <v>614</v>
      </c>
      <c r="D69" s="28" t="s">
        <v>419</v>
      </c>
      <c r="E69" s="25" t="s">
        <v>615</v>
      </c>
      <c r="F69" s="28" t="s">
        <v>616</v>
      </c>
      <c r="G69" s="29">
        <v>53108</v>
      </c>
    </row>
    <row r="70" spans="1:7" ht="47.25" x14ac:dyDescent="0.25">
      <c r="A70" s="26">
        <f t="shared" si="0"/>
        <v>66</v>
      </c>
      <c r="B70" s="30"/>
      <c r="C70" s="27"/>
      <c r="D70" s="28" t="s">
        <v>420</v>
      </c>
      <c r="E70" s="25" t="s">
        <v>617</v>
      </c>
      <c r="F70" s="28" t="s">
        <v>618</v>
      </c>
      <c r="G70" s="29">
        <v>13144.4</v>
      </c>
    </row>
    <row r="71" spans="1:7" ht="47.25" x14ac:dyDescent="0.25">
      <c r="A71" s="26">
        <f t="shared" ref="A71:A103" si="1">A70+1</f>
        <v>67</v>
      </c>
      <c r="B71" s="30"/>
      <c r="C71" s="27"/>
      <c r="D71" s="28" t="s">
        <v>421</v>
      </c>
      <c r="E71" s="25" t="s">
        <v>619</v>
      </c>
      <c r="F71" s="28" t="s">
        <v>620</v>
      </c>
      <c r="G71" s="29">
        <v>10764.6</v>
      </c>
    </row>
    <row r="72" spans="1:7" ht="78.75" x14ac:dyDescent="0.25">
      <c r="A72" s="26">
        <f t="shared" si="1"/>
        <v>68</v>
      </c>
      <c r="B72" s="30"/>
      <c r="C72" s="27"/>
      <c r="D72" s="28" t="s">
        <v>422</v>
      </c>
      <c r="E72" s="25" t="s">
        <v>621</v>
      </c>
      <c r="F72" s="28" t="s">
        <v>622</v>
      </c>
      <c r="G72" s="29">
        <v>4249.6000000000004</v>
      </c>
    </row>
    <row r="73" spans="1:7" ht="78.75" x14ac:dyDescent="0.25">
      <c r="A73" s="26">
        <f t="shared" si="1"/>
        <v>69</v>
      </c>
      <c r="B73" s="30"/>
      <c r="C73" s="27"/>
      <c r="D73" s="28" t="s">
        <v>423</v>
      </c>
      <c r="E73" s="25" t="s">
        <v>619</v>
      </c>
      <c r="F73" s="28" t="s">
        <v>623</v>
      </c>
      <c r="G73" s="29">
        <v>8552.9</v>
      </c>
    </row>
    <row r="74" spans="1:7" ht="78.75" x14ac:dyDescent="0.25">
      <c r="A74" s="26">
        <f t="shared" si="1"/>
        <v>70</v>
      </c>
      <c r="B74" s="30"/>
      <c r="C74" s="27"/>
      <c r="D74" s="28" t="s">
        <v>424</v>
      </c>
      <c r="E74" s="25" t="s">
        <v>619</v>
      </c>
      <c r="F74" s="28" t="s">
        <v>624</v>
      </c>
      <c r="G74" s="29">
        <v>8921.7999999999993</v>
      </c>
    </row>
    <row r="75" spans="1:7" ht="47.25" x14ac:dyDescent="0.25">
      <c r="A75" s="26">
        <f t="shared" si="1"/>
        <v>71</v>
      </c>
      <c r="B75" s="30"/>
      <c r="C75" s="27"/>
      <c r="D75" s="28" t="s">
        <v>425</v>
      </c>
      <c r="E75" s="25" t="s">
        <v>619</v>
      </c>
      <c r="F75" s="28" t="s">
        <v>625</v>
      </c>
      <c r="G75" s="29">
        <v>6060.5</v>
      </c>
    </row>
    <row r="76" spans="1:7" ht="110.25" x14ac:dyDescent="0.25">
      <c r="A76" s="26">
        <f t="shared" si="1"/>
        <v>72</v>
      </c>
      <c r="B76" s="30"/>
      <c r="C76" s="27"/>
      <c r="D76" s="28" t="s">
        <v>426</v>
      </c>
      <c r="E76" s="25" t="s">
        <v>621</v>
      </c>
      <c r="F76" s="28" t="s">
        <v>626</v>
      </c>
      <c r="G76" s="29">
        <v>3151</v>
      </c>
    </row>
    <row r="77" spans="1:7" ht="63" x14ac:dyDescent="0.25">
      <c r="A77" s="26">
        <f t="shared" si="1"/>
        <v>73</v>
      </c>
      <c r="B77" s="30"/>
      <c r="C77" s="27"/>
      <c r="D77" s="28" t="s">
        <v>427</v>
      </c>
      <c r="E77" s="25" t="s">
        <v>617</v>
      </c>
      <c r="F77" s="28" t="s">
        <v>627</v>
      </c>
      <c r="G77" s="29">
        <v>5195.2</v>
      </c>
    </row>
    <row r="78" spans="1:7" ht="63" x14ac:dyDescent="0.25">
      <c r="A78" s="26">
        <f t="shared" si="1"/>
        <v>74</v>
      </c>
      <c r="B78" s="30"/>
      <c r="C78" s="27"/>
      <c r="D78" s="28" t="s">
        <v>428</v>
      </c>
      <c r="E78" s="25" t="s">
        <v>167</v>
      </c>
      <c r="F78" s="28" t="s">
        <v>628</v>
      </c>
      <c r="G78" s="29">
        <v>2607.8000000000002</v>
      </c>
    </row>
    <row r="79" spans="1:7" ht="78.75" x14ac:dyDescent="0.25">
      <c r="A79" s="26">
        <f t="shared" si="1"/>
        <v>75</v>
      </c>
      <c r="B79" s="30"/>
      <c r="C79" s="27"/>
      <c r="D79" s="28" t="s">
        <v>429</v>
      </c>
      <c r="E79" s="25" t="s">
        <v>399</v>
      </c>
      <c r="F79" s="28" t="s">
        <v>629</v>
      </c>
      <c r="G79" s="29">
        <v>8193.5</v>
      </c>
    </row>
    <row r="80" spans="1:7" ht="163.5" x14ac:dyDescent="0.25">
      <c r="A80" s="26">
        <f t="shared" si="1"/>
        <v>76</v>
      </c>
      <c r="B80" s="30" t="s">
        <v>630</v>
      </c>
      <c r="C80" s="27" t="s">
        <v>630</v>
      </c>
      <c r="D80" s="28" t="s">
        <v>495</v>
      </c>
      <c r="E80" s="25" t="s">
        <v>615</v>
      </c>
      <c r="F80" s="28" t="s">
        <v>631</v>
      </c>
      <c r="G80" s="29">
        <v>3000</v>
      </c>
    </row>
    <row r="81" spans="1:7" ht="102.75" x14ac:dyDescent="0.25">
      <c r="A81" s="26">
        <f t="shared" si="1"/>
        <v>77</v>
      </c>
      <c r="B81" s="30" t="s">
        <v>632</v>
      </c>
      <c r="C81" s="27" t="s">
        <v>607</v>
      </c>
      <c r="D81" s="28" t="s">
        <v>506</v>
      </c>
      <c r="E81" s="25" t="s">
        <v>167</v>
      </c>
      <c r="F81" s="28" t="s">
        <v>633</v>
      </c>
      <c r="G81" s="29">
        <v>3500</v>
      </c>
    </row>
    <row r="82" spans="1:7" ht="96.75" x14ac:dyDescent="0.25">
      <c r="A82" s="26">
        <f t="shared" si="1"/>
        <v>78</v>
      </c>
      <c r="B82" s="30" t="s">
        <v>634</v>
      </c>
      <c r="C82" s="27" t="s">
        <v>607</v>
      </c>
      <c r="D82" s="28" t="s">
        <v>416</v>
      </c>
      <c r="E82" s="25" t="s">
        <v>167</v>
      </c>
      <c r="F82" s="28" t="s">
        <v>635</v>
      </c>
      <c r="G82" s="29">
        <v>900</v>
      </c>
    </row>
    <row r="83" spans="1:7" ht="78.75" x14ac:dyDescent="0.25">
      <c r="A83" s="26">
        <f t="shared" si="1"/>
        <v>79</v>
      </c>
      <c r="B83" s="30"/>
      <c r="C83" s="27" t="s">
        <v>137</v>
      </c>
      <c r="D83" s="28" t="s">
        <v>413</v>
      </c>
      <c r="E83" s="25" t="s">
        <v>22</v>
      </c>
      <c r="F83" s="28" t="s">
        <v>636</v>
      </c>
      <c r="G83" s="29">
        <v>90</v>
      </c>
    </row>
    <row r="84" spans="1:7" ht="63" x14ac:dyDescent="0.25">
      <c r="A84" s="26">
        <f t="shared" si="1"/>
        <v>80</v>
      </c>
      <c r="B84" s="30"/>
      <c r="C84" s="27"/>
      <c r="D84" s="28" t="s">
        <v>414</v>
      </c>
      <c r="E84" s="25" t="s">
        <v>408</v>
      </c>
      <c r="F84" s="28" t="s">
        <v>637</v>
      </c>
      <c r="G84" s="29">
        <v>50</v>
      </c>
    </row>
    <row r="85" spans="1:7" ht="78.75" x14ac:dyDescent="0.25">
      <c r="A85" s="26">
        <f t="shared" si="1"/>
        <v>81</v>
      </c>
      <c r="B85" s="30"/>
      <c r="C85" s="27"/>
      <c r="D85" s="28" t="s">
        <v>415</v>
      </c>
      <c r="E85" s="25" t="s">
        <v>406</v>
      </c>
      <c r="F85" s="28" t="s">
        <v>638</v>
      </c>
      <c r="G85" s="29">
        <v>30</v>
      </c>
    </row>
    <row r="86" spans="1:7" ht="78.75" x14ac:dyDescent="0.25">
      <c r="A86" s="26">
        <f t="shared" si="1"/>
        <v>82</v>
      </c>
      <c r="B86" s="30"/>
      <c r="C86" s="27"/>
      <c r="D86" s="28" t="s">
        <v>417</v>
      </c>
      <c r="E86" s="25" t="s">
        <v>595</v>
      </c>
      <c r="F86" s="28" t="s">
        <v>639</v>
      </c>
      <c r="G86" s="29">
        <v>190</v>
      </c>
    </row>
    <row r="87" spans="1:7" ht="78.75" x14ac:dyDescent="0.25">
      <c r="A87" s="26">
        <f t="shared" si="1"/>
        <v>83</v>
      </c>
      <c r="B87" s="30"/>
      <c r="C87" s="27"/>
      <c r="D87" s="28" t="s">
        <v>418</v>
      </c>
      <c r="E87" s="25" t="s">
        <v>603</v>
      </c>
      <c r="F87" s="28" t="s">
        <v>640</v>
      </c>
      <c r="G87" s="29">
        <v>800</v>
      </c>
    </row>
    <row r="88" spans="1:7" ht="78.75" x14ac:dyDescent="0.25">
      <c r="A88" s="26">
        <f t="shared" si="1"/>
        <v>84</v>
      </c>
      <c r="B88" s="30"/>
      <c r="C88" s="27"/>
      <c r="D88" s="28" t="s">
        <v>431</v>
      </c>
      <c r="E88" s="25" t="s">
        <v>595</v>
      </c>
      <c r="F88" s="28" t="s">
        <v>641</v>
      </c>
      <c r="G88" s="29">
        <v>175</v>
      </c>
    </row>
    <row r="89" spans="1:7" ht="94.5" x14ac:dyDescent="0.25">
      <c r="A89" s="26">
        <f t="shared" si="1"/>
        <v>85</v>
      </c>
      <c r="B89" s="30"/>
      <c r="C89" s="27"/>
      <c r="D89" s="28" t="s">
        <v>432</v>
      </c>
      <c r="E89" s="25" t="s">
        <v>22</v>
      </c>
      <c r="F89" s="28" t="s">
        <v>642</v>
      </c>
      <c r="G89" s="29">
        <v>310</v>
      </c>
    </row>
    <row r="90" spans="1:7" ht="94.5" x14ac:dyDescent="0.25">
      <c r="A90" s="26">
        <f t="shared" si="1"/>
        <v>86</v>
      </c>
      <c r="B90" s="30"/>
      <c r="C90" s="27"/>
      <c r="D90" s="28" t="s">
        <v>434</v>
      </c>
      <c r="E90" s="25" t="s">
        <v>22</v>
      </c>
      <c r="F90" s="28" t="s">
        <v>643</v>
      </c>
      <c r="G90" s="29">
        <v>45</v>
      </c>
    </row>
    <row r="91" spans="1:7" ht="94.5" x14ac:dyDescent="0.25">
      <c r="A91" s="26">
        <f t="shared" si="1"/>
        <v>87</v>
      </c>
      <c r="B91" s="30"/>
      <c r="C91" s="27"/>
      <c r="D91" s="28" t="s">
        <v>440</v>
      </c>
      <c r="E91" s="25" t="s">
        <v>286</v>
      </c>
      <c r="F91" s="28" t="s">
        <v>644</v>
      </c>
      <c r="G91" s="29">
        <v>1058</v>
      </c>
    </row>
    <row r="92" spans="1:7" ht="78.75" x14ac:dyDescent="0.25">
      <c r="A92" s="26">
        <f t="shared" si="1"/>
        <v>88</v>
      </c>
      <c r="B92" s="30"/>
      <c r="C92" s="27"/>
      <c r="D92" s="28" t="s">
        <v>445</v>
      </c>
      <c r="E92" s="25" t="s">
        <v>53</v>
      </c>
      <c r="F92" s="28" t="s">
        <v>645</v>
      </c>
      <c r="G92" s="29">
        <v>620</v>
      </c>
    </row>
    <row r="93" spans="1:7" ht="94.5" x14ac:dyDescent="0.25">
      <c r="A93" s="26">
        <f t="shared" si="1"/>
        <v>89</v>
      </c>
      <c r="B93" s="30"/>
      <c r="C93" s="27"/>
      <c r="D93" s="28" t="s">
        <v>465</v>
      </c>
      <c r="E93" s="25" t="s">
        <v>554</v>
      </c>
      <c r="F93" s="28" t="s">
        <v>646</v>
      </c>
      <c r="G93" s="29">
        <v>200</v>
      </c>
    </row>
    <row r="94" spans="1:7" ht="78.75" x14ac:dyDescent="0.25">
      <c r="A94" s="26">
        <f t="shared" si="1"/>
        <v>90</v>
      </c>
      <c r="B94" s="30"/>
      <c r="C94" s="27"/>
      <c r="D94" s="28" t="s">
        <v>482</v>
      </c>
      <c r="E94" s="25" t="s">
        <v>406</v>
      </c>
      <c r="F94" s="28" t="s">
        <v>647</v>
      </c>
      <c r="G94" s="29">
        <v>70</v>
      </c>
    </row>
    <row r="95" spans="1:7" ht="47.25" x14ac:dyDescent="0.25">
      <c r="A95" s="26">
        <f t="shared" si="1"/>
        <v>91</v>
      </c>
      <c r="B95" s="30"/>
      <c r="C95" s="27"/>
      <c r="D95" s="28" t="s">
        <v>488</v>
      </c>
      <c r="E95" s="25" t="s">
        <v>408</v>
      </c>
      <c r="F95" s="28" t="s">
        <v>648</v>
      </c>
      <c r="G95" s="29">
        <v>12</v>
      </c>
    </row>
    <row r="96" spans="1:7" ht="157.5" x14ac:dyDescent="0.25">
      <c r="A96" s="26">
        <f t="shared" si="1"/>
        <v>92</v>
      </c>
      <c r="B96" s="30"/>
      <c r="C96" s="27"/>
      <c r="D96" s="28" t="s">
        <v>489</v>
      </c>
      <c r="E96" s="25" t="s">
        <v>399</v>
      </c>
      <c r="F96" s="28" t="s">
        <v>649</v>
      </c>
      <c r="G96" s="29">
        <v>57</v>
      </c>
    </row>
    <row r="97" spans="1:7" ht="78.75" x14ac:dyDescent="0.25">
      <c r="A97" s="26">
        <f t="shared" si="1"/>
        <v>93</v>
      </c>
      <c r="B97" s="30"/>
      <c r="C97" s="27"/>
      <c r="D97" s="28" t="s">
        <v>497</v>
      </c>
      <c r="E97" s="25" t="s">
        <v>44</v>
      </c>
      <c r="F97" s="28" t="s">
        <v>650</v>
      </c>
      <c r="G97" s="29">
        <v>845</v>
      </c>
    </row>
    <row r="98" spans="1:7" ht="78.75" x14ac:dyDescent="0.25">
      <c r="A98" s="26">
        <f t="shared" si="1"/>
        <v>94</v>
      </c>
      <c r="B98" s="30"/>
      <c r="C98" s="27"/>
      <c r="D98" s="28" t="s">
        <v>498</v>
      </c>
      <c r="E98" s="25" t="s">
        <v>595</v>
      </c>
      <c r="F98" s="28" t="s">
        <v>651</v>
      </c>
      <c r="G98" s="29">
        <v>120</v>
      </c>
    </row>
    <row r="99" spans="1:7" ht="63" x14ac:dyDescent="0.25">
      <c r="A99" s="26">
        <f t="shared" si="1"/>
        <v>95</v>
      </c>
      <c r="B99" s="30"/>
      <c r="C99" s="27"/>
      <c r="D99" s="28" t="s">
        <v>499</v>
      </c>
      <c r="E99" s="25" t="s">
        <v>411</v>
      </c>
      <c r="F99" s="28" t="s">
        <v>652</v>
      </c>
      <c r="G99" s="29">
        <v>60</v>
      </c>
    </row>
    <row r="100" spans="1:7" ht="94.5" x14ac:dyDescent="0.25">
      <c r="A100" s="26">
        <f t="shared" si="1"/>
        <v>96</v>
      </c>
      <c r="B100" s="30"/>
      <c r="C100" s="27"/>
      <c r="D100" s="28" t="s">
        <v>500</v>
      </c>
      <c r="E100" s="25" t="s">
        <v>166</v>
      </c>
      <c r="F100" s="28" t="s">
        <v>653</v>
      </c>
      <c r="G100" s="29">
        <v>80</v>
      </c>
    </row>
    <row r="101" spans="1:7" ht="63" x14ac:dyDescent="0.25">
      <c r="A101" s="26">
        <f t="shared" si="1"/>
        <v>97</v>
      </c>
      <c r="B101" s="30"/>
      <c r="C101" s="27"/>
      <c r="D101" s="28" t="s">
        <v>502</v>
      </c>
      <c r="E101" s="25" t="s">
        <v>411</v>
      </c>
      <c r="F101" s="28" t="s">
        <v>654</v>
      </c>
      <c r="G101" s="29">
        <v>90</v>
      </c>
    </row>
    <row r="102" spans="1:7" ht="47.25" x14ac:dyDescent="0.25">
      <c r="A102" s="26">
        <f t="shared" si="1"/>
        <v>98</v>
      </c>
      <c r="B102" s="30"/>
      <c r="C102" s="27"/>
      <c r="D102" s="28" t="s">
        <v>503</v>
      </c>
      <c r="E102" s="25" t="s">
        <v>411</v>
      </c>
      <c r="F102" s="28" t="s">
        <v>655</v>
      </c>
      <c r="G102" s="29">
        <v>20</v>
      </c>
    </row>
    <row r="103" spans="1:7" ht="78.75" x14ac:dyDescent="0.25">
      <c r="A103" s="26">
        <f t="shared" si="1"/>
        <v>99</v>
      </c>
      <c r="B103" s="30"/>
      <c r="C103" s="27"/>
      <c r="D103" s="28" t="s">
        <v>510</v>
      </c>
      <c r="E103" s="25" t="s">
        <v>408</v>
      </c>
      <c r="F103" s="28" t="s">
        <v>656</v>
      </c>
      <c r="G103" s="29">
        <v>80</v>
      </c>
    </row>
  </sheetData>
  <mergeCells count="2">
    <mergeCell ref="A2:G2"/>
    <mergeCell ref="E1:G1"/>
  </mergeCells>
  <pageMargins left="0.23622047244094491" right="0.23622047244094491" top="0.74803149606299213" bottom="0.55118110236220474" header="0.31496062992125984" footer="0.31496062992125984"/>
  <pageSetup paperSize="9" scale="94" firstPageNumber="208" fitToHeight="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view="pageLayout" topLeftCell="A10" zoomScaleNormal="100" workbookViewId="0">
      <selection activeCell="G21" sqref="G21"/>
    </sheetView>
  </sheetViews>
  <sheetFormatPr defaultRowHeight="15" x14ac:dyDescent="0.25"/>
  <cols>
    <col min="1" max="1" width="9.42578125" bestFit="1" customWidth="1"/>
    <col min="2" max="2" width="67.7109375" customWidth="1"/>
    <col min="3" max="8" width="10.7109375" bestFit="1" customWidth="1"/>
    <col min="9" max="9" width="11.85546875" bestFit="1" customWidth="1"/>
  </cols>
  <sheetData>
    <row r="1" spans="1:9" ht="105" customHeight="1" x14ac:dyDescent="0.25">
      <c r="E1" s="184" t="s">
        <v>692</v>
      </c>
      <c r="F1" s="184"/>
      <c r="G1" s="184"/>
      <c r="H1" s="184"/>
      <c r="I1" s="184"/>
    </row>
    <row r="2" spans="1:9" s="78" customFormat="1" ht="15.75" x14ac:dyDescent="0.25">
      <c r="A2" s="77" t="s">
        <v>688</v>
      </c>
      <c r="B2" s="76"/>
      <c r="C2" s="76"/>
      <c r="D2" s="76"/>
      <c r="E2" s="76"/>
      <c r="F2" s="76"/>
      <c r="G2" s="76"/>
      <c r="H2" s="76"/>
      <c r="I2" s="76"/>
    </row>
    <row r="4" spans="1:9" x14ac:dyDescent="0.25">
      <c r="B4" s="23"/>
      <c r="C4" s="23" t="s">
        <v>657</v>
      </c>
      <c r="D4" s="24"/>
      <c r="E4" s="24"/>
      <c r="F4" s="24"/>
      <c r="G4" s="24"/>
      <c r="H4" s="24"/>
      <c r="I4" s="24"/>
    </row>
    <row r="5" spans="1:9" ht="15.75" x14ac:dyDescent="0.25">
      <c r="A5" s="33" t="s">
        <v>512</v>
      </c>
      <c r="B5" s="33" t="s">
        <v>661</v>
      </c>
      <c r="C5" s="25" t="s">
        <v>406</v>
      </c>
      <c r="D5" s="25" t="s">
        <v>407</v>
      </c>
      <c r="E5" s="25" t="s">
        <v>408</v>
      </c>
      <c r="F5" s="25" t="s">
        <v>409</v>
      </c>
      <c r="G5" s="25" t="s">
        <v>410</v>
      </c>
      <c r="H5" s="25" t="s">
        <v>411</v>
      </c>
      <c r="I5" s="25" t="s">
        <v>412</v>
      </c>
    </row>
    <row r="6" spans="1:9" ht="15.75" x14ac:dyDescent="0.25">
      <c r="A6" s="46"/>
      <c r="B6" s="49" t="s">
        <v>664</v>
      </c>
      <c r="C6" s="50">
        <v>14899.993469696969</v>
      </c>
      <c r="D6" s="50">
        <v>21848.601469696969</v>
      </c>
      <c r="E6" s="50">
        <v>17777.271939393941</v>
      </c>
      <c r="F6" s="50">
        <v>17148.247939393943</v>
      </c>
      <c r="G6" s="50">
        <v>18394.016439393941</v>
      </c>
      <c r="H6" s="50">
        <v>16730.440939393942</v>
      </c>
      <c r="I6" s="51">
        <v>106798.57219696963</v>
      </c>
    </row>
    <row r="7" spans="1:9" ht="15.75" x14ac:dyDescent="0.25">
      <c r="A7" s="47"/>
      <c r="B7" s="39" t="s">
        <v>658</v>
      </c>
      <c r="C7" s="40">
        <v>123</v>
      </c>
      <c r="D7" s="40">
        <v>155</v>
      </c>
      <c r="E7" s="40">
        <v>400</v>
      </c>
      <c r="F7" s="40">
        <v>390</v>
      </c>
      <c r="G7" s="40">
        <v>360</v>
      </c>
      <c r="H7" s="40">
        <v>400</v>
      </c>
      <c r="I7" s="41">
        <v>1828</v>
      </c>
    </row>
    <row r="8" spans="1:9" ht="15.75" x14ac:dyDescent="0.25">
      <c r="A8" s="47"/>
      <c r="B8" s="39" t="s">
        <v>659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>
        <v>0</v>
      </c>
    </row>
    <row r="9" spans="1:9" ht="15.75" x14ac:dyDescent="0.25">
      <c r="A9" s="48"/>
      <c r="B9" s="43" t="s">
        <v>660</v>
      </c>
      <c r="C9" s="44">
        <v>14776.993469696969</v>
      </c>
      <c r="D9" s="44">
        <v>21693.601469696969</v>
      </c>
      <c r="E9" s="44">
        <v>17377.271939393941</v>
      </c>
      <c r="F9" s="44">
        <v>16758.247939393943</v>
      </c>
      <c r="G9" s="44">
        <v>18034.016439393941</v>
      </c>
      <c r="H9" s="44">
        <v>16330.44093939394</v>
      </c>
      <c r="I9" s="45">
        <v>104970.57219696963</v>
      </c>
    </row>
    <row r="10" spans="1:9" ht="15.75" x14ac:dyDescent="0.25">
      <c r="A10" s="34" t="s">
        <v>657</v>
      </c>
      <c r="B10" s="49" t="s">
        <v>517</v>
      </c>
      <c r="C10" s="50">
        <v>3679.5176363636369</v>
      </c>
      <c r="D10" s="50">
        <v>3785.8471363636368</v>
      </c>
      <c r="E10" s="50">
        <v>2529.5966363636367</v>
      </c>
      <c r="F10" s="50">
        <v>2723.7606363636364</v>
      </c>
      <c r="G10" s="50">
        <v>2890.5611363636367</v>
      </c>
      <c r="H10" s="50">
        <v>2014.3636363636363</v>
      </c>
      <c r="I10" s="51">
        <v>17623.646818181813</v>
      </c>
    </row>
    <row r="11" spans="1:9" ht="15.75" x14ac:dyDescent="0.25">
      <c r="A11" s="42" t="s">
        <v>657</v>
      </c>
      <c r="B11" s="52" t="s">
        <v>518</v>
      </c>
      <c r="C11" s="53">
        <v>720</v>
      </c>
      <c r="D11" s="53">
        <v>960</v>
      </c>
      <c r="E11" s="53">
        <v>1200</v>
      </c>
      <c r="F11" s="53">
        <v>1520</v>
      </c>
      <c r="G11" s="53">
        <v>2000</v>
      </c>
      <c r="H11" s="53">
        <v>1600</v>
      </c>
      <c r="I11" s="54">
        <v>8000</v>
      </c>
    </row>
    <row r="12" spans="1:9" ht="78.75" x14ac:dyDescent="0.25">
      <c r="A12" s="34">
        <v>1</v>
      </c>
      <c r="B12" s="35" t="s">
        <v>479</v>
      </c>
      <c r="C12" s="36">
        <v>720</v>
      </c>
      <c r="D12" s="36">
        <v>960</v>
      </c>
      <c r="E12" s="36">
        <v>1200</v>
      </c>
      <c r="F12" s="36">
        <v>1520</v>
      </c>
      <c r="G12" s="36">
        <v>2000</v>
      </c>
      <c r="H12" s="36">
        <v>1600</v>
      </c>
      <c r="I12" s="37">
        <v>8000</v>
      </c>
    </row>
    <row r="13" spans="1:9" ht="15.75" x14ac:dyDescent="0.25">
      <c r="A13" s="38" t="s">
        <v>657</v>
      </c>
      <c r="B13" s="39" t="s">
        <v>658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>
        <v>0</v>
      </c>
    </row>
    <row r="14" spans="1:9" ht="15.75" x14ac:dyDescent="0.25">
      <c r="A14" s="38" t="s">
        <v>657</v>
      </c>
      <c r="B14" s="39" t="s">
        <v>659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1">
        <v>0</v>
      </c>
    </row>
    <row r="15" spans="1:9" ht="15.75" x14ac:dyDescent="0.25">
      <c r="A15" s="42" t="s">
        <v>657</v>
      </c>
      <c r="B15" s="43" t="s">
        <v>660</v>
      </c>
      <c r="C15" s="44">
        <v>720</v>
      </c>
      <c r="D15" s="44">
        <v>960</v>
      </c>
      <c r="E15" s="44">
        <v>1200</v>
      </c>
      <c r="F15" s="44">
        <v>1520</v>
      </c>
      <c r="G15" s="44">
        <v>2000</v>
      </c>
      <c r="H15" s="44">
        <v>1600</v>
      </c>
      <c r="I15" s="45">
        <v>8000</v>
      </c>
    </row>
    <row r="16" spans="1:9" ht="15.75" x14ac:dyDescent="0.25">
      <c r="A16" s="38" t="s">
        <v>657</v>
      </c>
      <c r="B16" s="59" t="s">
        <v>520</v>
      </c>
      <c r="C16" s="60">
        <v>50</v>
      </c>
      <c r="D16" s="60">
        <v>1</v>
      </c>
      <c r="E16" s="60">
        <v>0</v>
      </c>
      <c r="F16" s="60">
        <v>0</v>
      </c>
      <c r="G16" s="60">
        <v>0</v>
      </c>
      <c r="H16" s="60">
        <v>0</v>
      </c>
      <c r="I16" s="61">
        <v>51</v>
      </c>
    </row>
    <row r="17" spans="1:9" ht="31.5" x14ac:dyDescent="0.25">
      <c r="A17" s="34">
        <v>2</v>
      </c>
      <c r="B17" s="35" t="s">
        <v>448</v>
      </c>
      <c r="C17" s="36">
        <v>50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7">
        <v>50</v>
      </c>
    </row>
    <row r="18" spans="1:9" ht="15.75" x14ac:dyDescent="0.25">
      <c r="A18" s="38" t="s">
        <v>657</v>
      </c>
      <c r="B18" s="39" t="s">
        <v>658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1">
        <v>0</v>
      </c>
    </row>
    <row r="19" spans="1:9" ht="15.75" x14ac:dyDescent="0.25">
      <c r="A19" s="38" t="s">
        <v>657</v>
      </c>
      <c r="B19" s="39" t="s">
        <v>659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1">
        <v>0</v>
      </c>
    </row>
    <row r="20" spans="1:9" ht="15.75" x14ac:dyDescent="0.25">
      <c r="A20" s="42" t="s">
        <v>657</v>
      </c>
      <c r="B20" s="43" t="s">
        <v>660</v>
      </c>
      <c r="C20" s="44">
        <v>50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50</v>
      </c>
    </row>
    <row r="21" spans="1:9" ht="31.5" x14ac:dyDescent="0.25">
      <c r="A21" s="34">
        <v>3</v>
      </c>
      <c r="B21" s="35" t="s">
        <v>461</v>
      </c>
      <c r="C21" s="36">
        <v>0</v>
      </c>
      <c r="D21" s="36">
        <v>1</v>
      </c>
      <c r="E21" s="36">
        <v>0</v>
      </c>
      <c r="F21" s="36">
        <v>0</v>
      </c>
      <c r="G21" s="36">
        <v>0</v>
      </c>
      <c r="H21" s="36">
        <v>0</v>
      </c>
      <c r="I21" s="37">
        <v>1</v>
      </c>
    </row>
    <row r="22" spans="1:9" ht="15.75" x14ac:dyDescent="0.25">
      <c r="A22" s="38" t="s">
        <v>657</v>
      </c>
      <c r="B22" s="39" t="s">
        <v>658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</row>
    <row r="23" spans="1:9" ht="15.75" x14ac:dyDescent="0.25">
      <c r="A23" s="38" t="s">
        <v>657</v>
      </c>
      <c r="B23" s="39" t="s">
        <v>659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1">
        <v>0</v>
      </c>
    </row>
    <row r="24" spans="1:9" ht="15.75" x14ac:dyDescent="0.25">
      <c r="A24" s="42" t="s">
        <v>657</v>
      </c>
      <c r="B24" s="43" t="s">
        <v>660</v>
      </c>
      <c r="C24" s="44">
        <v>0</v>
      </c>
      <c r="D24" s="44">
        <v>1</v>
      </c>
      <c r="E24" s="44">
        <v>0</v>
      </c>
      <c r="F24" s="44">
        <v>0</v>
      </c>
      <c r="G24" s="44">
        <v>0</v>
      </c>
      <c r="H24" s="44">
        <v>0</v>
      </c>
      <c r="I24" s="45">
        <v>1</v>
      </c>
    </row>
    <row r="25" spans="1:9" ht="15.75" x14ac:dyDescent="0.25">
      <c r="A25" s="38" t="s">
        <v>657</v>
      </c>
      <c r="B25" s="59" t="s">
        <v>523</v>
      </c>
      <c r="C25" s="60">
        <v>1082.049</v>
      </c>
      <c r="D25" s="60">
        <v>1328.5585000000001</v>
      </c>
      <c r="E25" s="60">
        <v>830.95799999999997</v>
      </c>
      <c r="F25" s="60">
        <v>838.89699999999993</v>
      </c>
      <c r="G25" s="60">
        <v>614.09749999999997</v>
      </c>
      <c r="H25" s="60">
        <v>403</v>
      </c>
      <c r="I25" s="61">
        <v>5097.5600000000004</v>
      </c>
    </row>
    <row r="26" spans="1:9" ht="47.25" x14ac:dyDescent="0.25">
      <c r="A26" s="34">
        <v>4</v>
      </c>
      <c r="B26" s="35" t="s">
        <v>433</v>
      </c>
      <c r="C26" s="36">
        <v>76.789000000000001</v>
      </c>
      <c r="D26" s="36">
        <v>115.1835</v>
      </c>
      <c r="E26" s="36">
        <v>153.578</v>
      </c>
      <c r="F26" s="36">
        <v>230.36699999999999</v>
      </c>
      <c r="G26" s="36">
        <v>191.9725</v>
      </c>
      <c r="H26" s="36">
        <v>0</v>
      </c>
      <c r="I26" s="37">
        <v>767.89</v>
      </c>
    </row>
    <row r="27" spans="1:9" ht="15.75" x14ac:dyDescent="0.25">
      <c r="A27" s="38" t="s">
        <v>657</v>
      </c>
      <c r="B27" s="39" t="s">
        <v>658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</row>
    <row r="28" spans="1:9" ht="15.75" x14ac:dyDescent="0.25">
      <c r="A28" s="38" t="s">
        <v>657</v>
      </c>
      <c r="B28" s="39" t="s">
        <v>659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1">
        <v>0</v>
      </c>
    </row>
    <row r="29" spans="1:9" ht="15.75" x14ac:dyDescent="0.25">
      <c r="A29" s="42" t="s">
        <v>657</v>
      </c>
      <c r="B29" s="43" t="s">
        <v>660</v>
      </c>
      <c r="C29" s="44">
        <v>76.789000000000001</v>
      </c>
      <c r="D29" s="44">
        <v>115.1835</v>
      </c>
      <c r="E29" s="44">
        <v>153.578</v>
      </c>
      <c r="F29" s="44">
        <v>230.36699999999999</v>
      </c>
      <c r="G29" s="44">
        <v>191.9725</v>
      </c>
      <c r="H29" s="44">
        <v>0</v>
      </c>
      <c r="I29" s="45">
        <v>767.89</v>
      </c>
    </row>
    <row r="30" spans="1:9" ht="47.25" x14ac:dyDescent="0.25">
      <c r="A30" s="34">
        <v>5</v>
      </c>
      <c r="B30" s="35" t="s">
        <v>442</v>
      </c>
      <c r="C30" s="36">
        <v>11</v>
      </c>
      <c r="D30" s="36">
        <v>9</v>
      </c>
      <c r="E30" s="36">
        <v>12</v>
      </c>
      <c r="F30" s="36">
        <v>10</v>
      </c>
      <c r="G30" s="36">
        <v>5</v>
      </c>
      <c r="H30" s="36">
        <v>3</v>
      </c>
      <c r="I30" s="37">
        <v>50</v>
      </c>
    </row>
    <row r="31" spans="1:9" ht="15.75" x14ac:dyDescent="0.25">
      <c r="A31" s="38" t="s">
        <v>657</v>
      </c>
      <c r="B31" s="39" t="s">
        <v>658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1">
        <v>0</v>
      </c>
    </row>
    <row r="32" spans="1:9" ht="15.75" x14ac:dyDescent="0.25">
      <c r="A32" s="38" t="s">
        <v>657</v>
      </c>
      <c r="B32" s="39" t="s">
        <v>659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1">
        <v>0</v>
      </c>
    </row>
    <row r="33" spans="1:9" ht="15.75" x14ac:dyDescent="0.25">
      <c r="A33" s="42" t="s">
        <v>657</v>
      </c>
      <c r="B33" s="43" t="s">
        <v>660</v>
      </c>
      <c r="C33" s="44">
        <v>11</v>
      </c>
      <c r="D33" s="44">
        <v>9</v>
      </c>
      <c r="E33" s="44">
        <v>12</v>
      </c>
      <c r="F33" s="44">
        <v>10</v>
      </c>
      <c r="G33" s="44">
        <v>5</v>
      </c>
      <c r="H33" s="44">
        <v>3</v>
      </c>
      <c r="I33" s="45">
        <v>50</v>
      </c>
    </row>
    <row r="34" spans="1:9" ht="47.25" x14ac:dyDescent="0.25">
      <c r="A34" s="34">
        <v>6</v>
      </c>
      <c r="B34" s="35" t="s">
        <v>451</v>
      </c>
      <c r="C34" s="36">
        <v>180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7">
        <v>180</v>
      </c>
    </row>
    <row r="35" spans="1:9" ht="15.75" x14ac:dyDescent="0.25">
      <c r="A35" s="38" t="s">
        <v>657</v>
      </c>
      <c r="B35" s="39" t="s">
        <v>658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1">
        <v>0</v>
      </c>
    </row>
    <row r="36" spans="1:9" ht="15.75" x14ac:dyDescent="0.25">
      <c r="A36" s="38" t="s">
        <v>657</v>
      </c>
      <c r="B36" s="39" t="s">
        <v>659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1">
        <v>0</v>
      </c>
    </row>
    <row r="37" spans="1:9" ht="15.75" x14ac:dyDescent="0.25">
      <c r="A37" s="42" t="s">
        <v>657</v>
      </c>
      <c r="B37" s="43" t="s">
        <v>660</v>
      </c>
      <c r="C37" s="44">
        <v>180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5">
        <v>180</v>
      </c>
    </row>
    <row r="38" spans="1:9" ht="63" x14ac:dyDescent="0.25">
      <c r="A38" s="34">
        <v>7</v>
      </c>
      <c r="B38" s="35" t="s">
        <v>455</v>
      </c>
      <c r="C38" s="36">
        <v>15</v>
      </c>
      <c r="D38" s="36">
        <v>15</v>
      </c>
      <c r="E38" s="36">
        <v>0</v>
      </c>
      <c r="F38" s="36">
        <v>0</v>
      </c>
      <c r="G38" s="36">
        <v>0</v>
      </c>
      <c r="H38" s="36">
        <v>0</v>
      </c>
      <c r="I38" s="37">
        <v>30</v>
      </c>
    </row>
    <row r="39" spans="1:9" ht="15.75" x14ac:dyDescent="0.25">
      <c r="A39" s="38" t="s">
        <v>657</v>
      </c>
      <c r="B39" s="39" t="s">
        <v>658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1">
        <v>0</v>
      </c>
    </row>
    <row r="40" spans="1:9" ht="15.75" x14ac:dyDescent="0.25">
      <c r="A40" s="38" t="s">
        <v>657</v>
      </c>
      <c r="B40" s="39" t="s">
        <v>659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1">
        <v>0</v>
      </c>
    </row>
    <row r="41" spans="1:9" ht="15.75" x14ac:dyDescent="0.25">
      <c r="A41" s="42" t="s">
        <v>657</v>
      </c>
      <c r="B41" s="43" t="s">
        <v>660</v>
      </c>
      <c r="C41" s="44">
        <v>15</v>
      </c>
      <c r="D41" s="44">
        <v>15</v>
      </c>
      <c r="E41" s="44">
        <v>0</v>
      </c>
      <c r="F41" s="44">
        <v>0</v>
      </c>
      <c r="G41" s="44">
        <v>0</v>
      </c>
      <c r="H41" s="44">
        <v>0</v>
      </c>
      <c r="I41" s="45">
        <v>30</v>
      </c>
    </row>
    <row r="42" spans="1:9" ht="63" x14ac:dyDescent="0.25">
      <c r="A42" s="34">
        <v>8</v>
      </c>
      <c r="B42" s="35" t="s">
        <v>459</v>
      </c>
      <c r="C42" s="36">
        <v>10.68</v>
      </c>
      <c r="D42" s="36">
        <v>21.36</v>
      </c>
      <c r="E42" s="36">
        <v>21.36</v>
      </c>
      <c r="F42" s="36">
        <v>0</v>
      </c>
      <c r="G42" s="36">
        <v>0</v>
      </c>
      <c r="H42" s="36">
        <v>0</v>
      </c>
      <c r="I42" s="37">
        <v>53.4</v>
      </c>
    </row>
    <row r="43" spans="1:9" ht="15.75" x14ac:dyDescent="0.25">
      <c r="A43" s="38" t="s">
        <v>657</v>
      </c>
      <c r="B43" s="39" t="s">
        <v>658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1">
        <v>0</v>
      </c>
    </row>
    <row r="44" spans="1:9" ht="15.75" x14ac:dyDescent="0.25">
      <c r="A44" s="38" t="s">
        <v>657</v>
      </c>
      <c r="B44" s="39" t="s">
        <v>659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1">
        <v>0</v>
      </c>
    </row>
    <row r="45" spans="1:9" ht="15.75" x14ac:dyDescent="0.25">
      <c r="A45" s="42" t="s">
        <v>657</v>
      </c>
      <c r="B45" s="43" t="s">
        <v>660</v>
      </c>
      <c r="C45" s="44">
        <v>10.68</v>
      </c>
      <c r="D45" s="44">
        <v>21.36</v>
      </c>
      <c r="E45" s="44">
        <v>21.36</v>
      </c>
      <c r="F45" s="44">
        <v>0</v>
      </c>
      <c r="G45" s="44">
        <v>0</v>
      </c>
      <c r="H45" s="44">
        <v>0</v>
      </c>
      <c r="I45" s="45">
        <v>53.4</v>
      </c>
    </row>
    <row r="46" spans="1:9" ht="47.25" x14ac:dyDescent="0.25">
      <c r="A46" s="34">
        <v>9</v>
      </c>
      <c r="B46" s="35" t="s">
        <v>460</v>
      </c>
      <c r="C46" s="36">
        <v>12</v>
      </c>
      <c r="D46" s="36">
        <v>16</v>
      </c>
      <c r="E46" s="36">
        <v>28</v>
      </c>
      <c r="F46" s="36">
        <v>24</v>
      </c>
      <c r="G46" s="36">
        <v>0</v>
      </c>
      <c r="H46" s="36">
        <v>0</v>
      </c>
      <c r="I46" s="37">
        <v>80</v>
      </c>
    </row>
    <row r="47" spans="1:9" ht="15.75" x14ac:dyDescent="0.25">
      <c r="A47" s="38" t="s">
        <v>657</v>
      </c>
      <c r="B47" s="39" t="s">
        <v>658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1">
        <v>0</v>
      </c>
    </row>
    <row r="48" spans="1:9" ht="15.75" x14ac:dyDescent="0.25">
      <c r="A48" s="38" t="s">
        <v>657</v>
      </c>
      <c r="B48" s="39" t="s">
        <v>659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1">
        <v>0</v>
      </c>
    </row>
    <row r="49" spans="1:9" ht="15.75" x14ac:dyDescent="0.25">
      <c r="A49" s="42" t="s">
        <v>657</v>
      </c>
      <c r="B49" s="43" t="s">
        <v>660</v>
      </c>
      <c r="C49" s="44">
        <v>12</v>
      </c>
      <c r="D49" s="44">
        <v>16</v>
      </c>
      <c r="E49" s="44">
        <v>28</v>
      </c>
      <c r="F49" s="44">
        <v>24</v>
      </c>
      <c r="G49" s="44">
        <v>0</v>
      </c>
      <c r="H49" s="44">
        <v>0</v>
      </c>
      <c r="I49" s="45">
        <v>80</v>
      </c>
    </row>
    <row r="50" spans="1:9" ht="15.75" x14ac:dyDescent="0.25">
      <c r="A50" s="34">
        <v>10</v>
      </c>
      <c r="B50" s="35" t="s">
        <v>462</v>
      </c>
      <c r="C50" s="36">
        <v>0</v>
      </c>
      <c r="D50" s="36">
        <v>100</v>
      </c>
      <c r="E50" s="36">
        <v>100</v>
      </c>
      <c r="F50" s="36">
        <v>100</v>
      </c>
      <c r="G50" s="36">
        <v>0</v>
      </c>
      <c r="H50" s="36">
        <v>0</v>
      </c>
      <c r="I50" s="37">
        <v>300</v>
      </c>
    </row>
    <row r="51" spans="1:9" ht="15.75" x14ac:dyDescent="0.25">
      <c r="A51" s="38" t="s">
        <v>657</v>
      </c>
      <c r="B51" s="39" t="s">
        <v>658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1">
        <v>0</v>
      </c>
    </row>
    <row r="52" spans="1:9" ht="15.75" x14ac:dyDescent="0.25">
      <c r="A52" s="38" t="s">
        <v>657</v>
      </c>
      <c r="B52" s="39" t="s">
        <v>659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1">
        <v>0</v>
      </c>
    </row>
    <row r="53" spans="1:9" ht="15.75" x14ac:dyDescent="0.25">
      <c r="A53" s="42" t="s">
        <v>657</v>
      </c>
      <c r="B53" s="43" t="s">
        <v>660</v>
      </c>
      <c r="C53" s="44">
        <v>0</v>
      </c>
      <c r="D53" s="44">
        <v>100</v>
      </c>
      <c r="E53" s="44">
        <v>100</v>
      </c>
      <c r="F53" s="44">
        <v>100</v>
      </c>
      <c r="G53" s="44">
        <v>0</v>
      </c>
      <c r="H53" s="44">
        <v>0</v>
      </c>
      <c r="I53" s="45">
        <v>300</v>
      </c>
    </row>
    <row r="54" spans="1:9" ht="63" x14ac:dyDescent="0.25">
      <c r="A54" s="34">
        <v>11</v>
      </c>
      <c r="B54" s="35" t="s">
        <v>466</v>
      </c>
      <c r="C54" s="36">
        <v>9.5</v>
      </c>
      <c r="D54" s="36">
        <v>12.5</v>
      </c>
      <c r="E54" s="36">
        <v>10</v>
      </c>
      <c r="F54" s="36">
        <v>0</v>
      </c>
      <c r="G54" s="36">
        <v>0</v>
      </c>
      <c r="H54" s="36">
        <v>0</v>
      </c>
      <c r="I54" s="37">
        <v>32</v>
      </c>
    </row>
    <row r="55" spans="1:9" ht="15.75" x14ac:dyDescent="0.25">
      <c r="A55" s="38" t="s">
        <v>657</v>
      </c>
      <c r="B55" s="39" t="s">
        <v>658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1">
        <v>0</v>
      </c>
    </row>
    <row r="56" spans="1:9" ht="15.75" x14ac:dyDescent="0.25">
      <c r="A56" s="38" t="s">
        <v>657</v>
      </c>
      <c r="B56" s="39" t="s">
        <v>659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1">
        <v>0</v>
      </c>
    </row>
    <row r="57" spans="1:9" ht="15.75" x14ac:dyDescent="0.25">
      <c r="A57" s="42" t="s">
        <v>657</v>
      </c>
      <c r="B57" s="43" t="s">
        <v>660</v>
      </c>
      <c r="C57" s="44">
        <v>9.5</v>
      </c>
      <c r="D57" s="44">
        <v>12.5</v>
      </c>
      <c r="E57" s="44">
        <v>10</v>
      </c>
      <c r="F57" s="44">
        <v>0</v>
      </c>
      <c r="G57" s="44">
        <v>0</v>
      </c>
      <c r="H57" s="44">
        <v>0</v>
      </c>
      <c r="I57" s="45">
        <v>32</v>
      </c>
    </row>
    <row r="58" spans="1:9" ht="47.25" x14ac:dyDescent="0.25">
      <c r="A58" s="34">
        <v>12</v>
      </c>
      <c r="B58" s="35" t="s">
        <v>470</v>
      </c>
      <c r="C58" s="36">
        <v>20</v>
      </c>
      <c r="D58" s="36">
        <v>20</v>
      </c>
      <c r="E58" s="36">
        <v>20</v>
      </c>
      <c r="F58" s="36">
        <v>25</v>
      </c>
      <c r="G58" s="36">
        <v>0</v>
      </c>
      <c r="H58" s="36">
        <v>0</v>
      </c>
      <c r="I58" s="37">
        <v>85</v>
      </c>
    </row>
    <row r="59" spans="1:9" ht="15.75" x14ac:dyDescent="0.25">
      <c r="A59" s="38" t="s">
        <v>657</v>
      </c>
      <c r="B59" s="39" t="s">
        <v>658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1">
        <v>0</v>
      </c>
    </row>
    <row r="60" spans="1:9" ht="15.75" x14ac:dyDescent="0.25">
      <c r="A60" s="38" t="s">
        <v>657</v>
      </c>
      <c r="B60" s="39" t="s">
        <v>659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1">
        <v>0</v>
      </c>
    </row>
    <row r="61" spans="1:9" ht="15.75" x14ac:dyDescent="0.25">
      <c r="A61" s="42" t="s">
        <v>657</v>
      </c>
      <c r="B61" s="43" t="s">
        <v>660</v>
      </c>
      <c r="C61" s="44">
        <v>20</v>
      </c>
      <c r="D61" s="44">
        <v>20</v>
      </c>
      <c r="E61" s="44">
        <v>20</v>
      </c>
      <c r="F61" s="44">
        <v>25</v>
      </c>
      <c r="G61" s="44">
        <v>0</v>
      </c>
      <c r="H61" s="44">
        <v>0</v>
      </c>
      <c r="I61" s="45">
        <v>85</v>
      </c>
    </row>
    <row r="62" spans="1:9" ht="47.25" x14ac:dyDescent="0.25">
      <c r="A62" s="34">
        <v>13</v>
      </c>
      <c r="B62" s="35" t="s">
        <v>472</v>
      </c>
      <c r="C62" s="36">
        <v>4.4000000000000004</v>
      </c>
      <c r="D62" s="36">
        <v>5.6</v>
      </c>
      <c r="E62" s="36">
        <v>0</v>
      </c>
      <c r="F62" s="36">
        <v>0</v>
      </c>
      <c r="G62" s="36">
        <v>0</v>
      </c>
      <c r="H62" s="36">
        <v>0</v>
      </c>
      <c r="I62" s="37">
        <v>10</v>
      </c>
    </row>
    <row r="63" spans="1:9" ht="15.75" x14ac:dyDescent="0.25">
      <c r="A63" s="38" t="s">
        <v>657</v>
      </c>
      <c r="B63" s="39" t="s">
        <v>658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1">
        <v>0</v>
      </c>
    </row>
    <row r="64" spans="1:9" ht="15.75" x14ac:dyDescent="0.25">
      <c r="A64" s="38" t="s">
        <v>657</v>
      </c>
      <c r="B64" s="39" t="s">
        <v>659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1">
        <v>0</v>
      </c>
    </row>
    <row r="65" spans="1:9" ht="15.75" x14ac:dyDescent="0.25">
      <c r="A65" s="42" t="s">
        <v>657</v>
      </c>
      <c r="B65" s="43" t="s">
        <v>660</v>
      </c>
      <c r="C65" s="44">
        <v>4.4000000000000004</v>
      </c>
      <c r="D65" s="44">
        <v>5.6</v>
      </c>
      <c r="E65" s="44">
        <v>0</v>
      </c>
      <c r="F65" s="44">
        <v>0</v>
      </c>
      <c r="G65" s="44">
        <v>0</v>
      </c>
      <c r="H65" s="44">
        <v>0</v>
      </c>
      <c r="I65" s="45">
        <v>10</v>
      </c>
    </row>
    <row r="66" spans="1:9" ht="31.5" x14ac:dyDescent="0.25">
      <c r="A66" s="34">
        <v>14</v>
      </c>
      <c r="B66" s="35" t="s">
        <v>474</v>
      </c>
      <c r="C66" s="36">
        <v>10.5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10.5</v>
      </c>
    </row>
    <row r="67" spans="1:9" ht="15.75" x14ac:dyDescent="0.25">
      <c r="A67" s="38" t="s">
        <v>657</v>
      </c>
      <c r="B67" s="39" t="s">
        <v>658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1">
        <v>0</v>
      </c>
    </row>
    <row r="68" spans="1:9" ht="15.75" x14ac:dyDescent="0.25">
      <c r="A68" s="38" t="s">
        <v>657</v>
      </c>
      <c r="B68" s="39" t="s">
        <v>659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1">
        <v>0</v>
      </c>
    </row>
    <row r="69" spans="1:9" ht="15.75" x14ac:dyDescent="0.25">
      <c r="A69" s="42" t="s">
        <v>657</v>
      </c>
      <c r="B69" s="43" t="s">
        <v>660</v>
      </c>
      <c r="C69" s="44">
        <v>10.5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5">
        <v>10.5</v>
      </c>
    </row>
    <row r="70" spans="1:9" ht="31.5" x14ac:dyDescent="0.25">
      <c r="A70" s="34">
        <v>15</v>
      </c>
      <c r="B70" s="35" t="s">
        <v>475</v>
      </c>
      <c r="C70" s="36">
        <v>16</v>
      </c>
      <c r="D70" s="36">
        <v>39.200000000000003</v>
      </c>
      <c r="E70" s="36">
        <v>12.2</v>
      </c>
      <c r="F70" s="36">
        <v>0</v>
      </c>
      <c r="G70" s="36">
        <v>0</v>
      </c>
      <c r="H70" s="36">
        <v>0</v>
      </c>
      <c r="I70" s="37">
        <v>67.400000000000006</v>
      </c>
    </row>
    <row r="71" spans="1:9" ht="15.75" x14ac:dyDescent="0.25">
      <c r="A71" s="38" t="s">
        <v>657</v>
      </c>
      <c r="B71" s="39" t="s">
        <v>658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1">
        <v>0</v>
      </c>
    </row>
    <row r="72" spans="1:9" ht="15.75" x14ac:dyDescent="0.25">
      <c r="A72" s="38" t="s">
        <v>657</v>
      </c>
      <c r="B72" s="39" t="s">
        <v>659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1">
        <v>0</v>
      </c>
    </row>
    <row r="73" spans="1:9" ht="15.75" x14ac:dyDescent="0.25">
      <c r="A73" s="42" t="s">
        <v>657</v>
      </c>
      <c r="B73" s="43" t="s">
        <v>660</v>
      </c>
      <c r="C73" s="44">
        <v>16</v>
      </c>
      <c r="D73" s="44">
        <v>39.200000000000003</v>
      </c>
      <c r="E73" s="44">
        <v>12.2</v>
      </c>
      <c r="F73" s="44">
        <v>0</v>
      </c>
      <c r="G73" s="44">
        <v>0</v>
      </c>
      <c r="H73" s="44">
        <v>0</v>
      </c>
      <c r="I73" s="45">
        <v>67.400000000000006</v>
      </c>
    </row>
    <row r="74" spans="1:9" ht="31.5" x14ac:dyDescent="0.25">
      <c r="A74" s="34">
        <v>16</v>
      </c>
      <c r="B74" s="35" t="s">
        <v>476</v>
      </c>
      <c r="C74" s="36">
        <v>8</v>
      </c>
      <c r="D74" s="36">
        <v>10</v>
      </c>
      <c r="E74" s="36">
        <v>32</v>
      </c>
      <c r="F74" s="36">
        <v>8</v>
      </c>
      <c r="G74" s="36">
        <v>4.5999999999999996</v>
      </c>
      <c r="H74" s="36">
        <v>0</v>
      </c>
      <c r="I74" s="37">
        <v>62.6</v>
      </c>
    </row>
    <row r="75" spans="1:9" ht="15.75" x14ac:dyDescent="0.25">
      <c r="A75" s="38" t="s">
        <v>657</v>
      </c>
      <c r="B75" s="39" t="s">
        <v>658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1">
        <v>0</v>
      </c>
    </row>
    <row r="76" spans="1:9" ht="15.75" x14ac:dyDescent="0.25">
      <c r="A76" s="38" t="s">
        <v>657</v>
      </c>
      <c r="B76" s="39" t="s">
        <v>659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1">
        <v>0</v>
      </c>
    </row>
    <row r="77" spans="1:9" ht="15.75" x14ac:dyDescent="0.25">
      <c r="A77" s="42" t="s">
        <v>657</v>
      </c>
      <c r="B77" s="43" t="s">
        <v>660</v>
      </c>
      <c r="C77" s="44">
        <v>8</v>
      </c>
      <c r="D77" s="44">
        <v>10</v>
      </c>
      <c r="E77" s="44">
        <v>32</v>
      </c>
      <c r="F77" s="44">
        <v>8</v>
      </c>
      <c r="G77" s="44">
        <v>4.5999999999999996</v>
      </c>
      <c r="H77" s="44">
        <v>0</v>
      </c>
      <c r="I77" s="45">
        <v>62.6</v>
      </c>
    </row>
    <row r="78" spans="1:9" ht="47.25" x14ac:dyDescent="0.25">
      <c r="A78" s="34">
        <v>17</v>
      </c>
      <c r="B78" s="35" t="s">
        <v>484</v>
      </c>
      <c r="C78" s="36">
        <v>500</v>
      </c>
      <c r="D78" s="36">
        <v>500</v>
      </c>
      <c r="E78" s="36">
        <v>0</v>
      </c>
      <c r="F78" s="36">
        <v>0</v>
      </c>
      <c r="G78" s="36">
        <v>0</v>
      </c>
      <c r="H78" s="36">
        <v>0</v>
      </c>
      <c r="I78" s="37">
        <v>1000</v>
      </c>
    </row>
    <row r="79" spans="1:9" ht="15.75" x14ac:dyDescent="0.25">
      <c r="A79" s="38" t="s">
        <v>657</v>
      </c>
      <c r="B79" s="39" t="s">
        <v>658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1">
        <v>0</v>
      </c>
    </row>
    <row r="80" spans="1:9" ht="15.75" x14ac:dyDescent="0.25">
      <c r="A80" s="38" t="s">
        <v>657</v>
      </c>
      <c r="B80" s="39" t="s">
        <v>659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1">
        <v>0</v>
      </c>
    </row>
    <row r="81" spans="1:9" ht="15.75" x14ac:dyDescent="0.25">
      <c r="A81" s="42" t="s">
        <v>657</v>
      </c>
      <c r="B81" s="43" t="s">
        <v>660</v>
      </c>
      <c r="C81" s="44">
        <v>500</v>
      </c>
      <c r="D81" s="44">
        <v>500</v>
      </c>
      <c r="E81" s="44">
        <v>0</v>
      </c>
      <c r="F81" s="44">
        <v>0</v>
      </c>
      <c r="G81" s="44">
        <v>0</v>
      </c>
      <c r="H81" s="44">
        <v>0</v>
      </c>
      <c r="I81" s="45">
        <v>1000</v>
      </c>
    </row>
    <row r="82" spans="1:9" ht="47.25" x14ac:dyDescent="0.25">
      <c r="A82" s="34">
        <v>18</v>
      </c>
      <c r="B82" s="35" t="s">
        <v>486</v>
      </c>
      <c r="C82" s="36">
        <v>18.419999999999998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7">
        <v>18.419999999999998</v>
      </c>
    </row>
    <row r="83" spans="1:9" ht="15.75" x14ac:dyDescent="0.25">
      <c r="A83" s="38" t="s">
        <v>657</v>
      </c>
      <c r="B83" s="39" t="s">
        <v>658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1">
        <v>0</v>
      </c>
    </row>
    <row r="84" spans="1:9" ht="15.75" x14ac:dyDescent="0.25">
      <c r="A84" s="38" t="s">
        <v>657</v>
      </c>
      <c r="B84" s="39" t="s">
        <v>659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1">
        <v>0</v>
      </c>
    </row>
    <row r="85" spans="1:9" ht="15.75" x14ac:dyDescent="0.25">
      <c r="A85" s="42" t="s">
        <v>657</v>
      </c>
      <c r="B85" s="43" t="s">
        <v>660</v>
      </c>
      <c r="C85" s="44">
        <v>18.419999999999998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5">
        <v>18.419999999999998</v>
      </c>
    </row>
    <row r="86" spans="1:9" ht="47.25" x14ac:dyDescent="0.25">
      <c r="A86" s="34">
        <v>19</v>
      </c>
      <c r="B86" s="35" t="s">
        <v>487</v>
      </c>
      <c r="C86" s="36">
        <v>10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7">
        <v>10</v>
      </c>
    </row>
    <row r="87" spans="1:9" ht="15.75" x14ac:dyDescent="0.25">
      <c r="A87" s="38" t="s">
        <v>657</v>
      </c>
      <c r="B87" s="39" t="s">
        <v>658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1">
        <v>0</v>
      </c>
    </row>
    <row r="88" spans="1:9" ht="15.75" x14ac:dyDescent="0.25">
      <c r="A88" s="38" t="s">
        <v>657</v>
      </c>
      <c r="B88" s="39" t="s">
        <v>659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1">
        <v>0</v>
      </c>
    </row>
    <row r="89" spans="1:9" ht="15.75" x14ac:dyDescent="0.25">
      <c r="A89" s="42" t="s">
        <v>657</v>
      </c>
      <c r="B89" s="43" t="s">
        <v>660</v>
      </c>
      <c r="C89" s="44">
        <v>10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5">
        <v>10</v>
      </c>
    </row>
    <row r="90" spans="1:9" ht="63" x14ac:dyDescent="0.25">
      <c r="A90" s="34">
        <v>20</v>
      </c>
      <c r="B90" s="35" t="s">
        <v>490</v>
      </c>
      <c r="C90" s="36">
        <v>15.899999999999999</v>
      </c>
      <c r="D90" s="36">
        <v>21.200000000000003</v>
      </c>
      <c r="E90" s="36">
        <v>31.799999999999997</v>
      </c>
      <c r="F90" s="36">
        <v>26.5</v>
      </c>
      <c r="G90" s="36">
        <v>0</v>
      </c>
      <c r="H90" s="36">
        <v>0</v>
      </c>
      <c r="I90" s="37">
        <v>95.4</v>
      </c>
    </row>
    <row r="91" spans="1:9" ht="15.75" x14ac:dyDescent="0.25">
      <c r="A91" s="38" t="s">
        <v>657</v>
      </c>
      <c r="B91" s="39" t="s">
        <v>658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1">
        <v>0</v>
      </c>
    </row>
    <row r="92" spans="1:9" ht="15.75" x14ac:dyDescent="0.25">
      <c r="A92" s="38" t="s">
        <v>657</v>
      </c>
      <c r="B92" s="39" t="s">
        <v>659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1">
        <v>0</v>
      </c>
    </row>
    <row r="93" spans="1:9" ht="15.75" x14ac:dyDescent="0.25">
      <c r="A93" s="42" t="s">
        <v>657</v>
      </c>
      <c r="B93" s="43" t="s">
        <v>660</v>
      </c>
      <c r="C93" s="44">
        <v>15.899999999999999</v>
      </c>
      <c r="D93" s="44">
        <v>21.200000000000003</v>
      </c>
      <c r="E93" s="44">
        <v>31.799999999999997</v>
      </c>
      <c r="F93" s="44">
        <v>26.5</v>
      </c>
      <c r="G93" s="44">
        <v>0</v>
      </c>
      <c r="H93" s="44">
        <v>0</v>
      </c>
      <c r="I93" s="45">
        <v>95.4</v>
      </c>
    </row>
    <row r="94" spans="1:9" ht="47.25" x14ac:dyDescent="0.25">
      <c r="A94" s="34">
        <v>21</v>
      </c>
      <c r="B94" s="35" t="s">
        <v>491</v>
      </c>
      <c r="C94" s="36">
        <v>7.35</v>
      </c>
      <c r="D94" s="36">
        <v>6.3</v>
      </c>
      <c r="E94" s="36">
        <v>0</v>
      </c>
      <c r="F94" s="36">
        <v>0</v>
      </c>
      <c r="G94" s="36">
        <v>0</v>
      </c>
      <c r="H94" s="36">
        <v>0</v>
      </c>
      <c r="I94" s="37">
        <v>13.649999999999999</v>
      </c>
    </row>
    <row r="95" spans="1:9" ht="15.75" x14ac:dyDescent="0.25">
      <c r="A95" s="38" t="s">
        <v>657</v>
      </c>
      <c r="B95" s="39" t="s">
        <v>658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1">
        <v>0</v>
      </c>
    </row>
    <row r="96" spans="1:9" ht="15.75" x14ac:dyDescent="0.25">
      <c r="A96" s="38" t="s">
        <v>657</v>
      </c>
      <c r="B96" s="39" t="s">
        <v>659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1">
        <v>0</v>
      </c>
    </row>
    <row r="97" spans="1:9" ht="15.75" x14ac:dyDescent="0.25">
      <c r="A97" s="42" t="s">
        <v>657</v>
      </c>
      <c r="B97" s="43" t="s">
        <v>660</v>
      </c>
      <c r="C97" s="44">
        <v>7.35</v>
      </c>
      <c r="D97" s="44">
        <v>6.3</v>
      </c>
      <c r="E97" s="44">
        <v>0</v>
      </c>
      <c r="F97" s="44">
        <v>0</v>
      </c>
      <c r="G97" s="44">
        <v>0</v>
      </c>
      <c r="H97" s="44">
        <v>0</v>
      </c>
      <c r="I97" s="45">
        <v>13.649999999999999</v>
      </c>
    </row>
    <row r="98" spans="1:9" ht="47.25" x14ac:dyDescent="0.25">
      <c r="A98" s="34">
        <v>22</v>
      </c>
      <c r="B98" s="35" t="s">
        <v>493</v>
      </c>
      <c r="C98" s="36">
        <v>0</v>
      </c>
      <c r="D98" s="36">
        <v>400</v>
      </c>
      <c r="E98" s="36">
        <v>400</v>
      </c>
      <c r="F98" s="36">
        <v>400</v>
      </c>
      <c r="G98" s="36">
        <v>400</v>
      </c>
      <c r="H98" s="36">
        <v>400</v>
      </c>
      <c r="I98" s="37">
        <v>2000</v>
      </c>
    </row>
    <row r="99" spans="1:9" ht="15.75" x14ac:dyDescent="0.25">
      <c r="A99" s="38" t="s">
        <v>657</v>
      </c>
      <c r="B99" s="39" t="s">
        <v>658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1">
        <v>0</v>
      </c>
    </row>
    <row r="100" spans="1:9" ht="15.75" x14ac:dyDescent="0.25">
      <c r="A100" s="38" t="s">
        <v>657</v>
      </c>
      <c r="B100" s="39" t="s">
        <v>659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1">
        <v>0</v>
      </c>
    </row>
    <row r="101" spans="1:9" ht="15.75" x14ac:dyDescent="0.25">
      <c r="A101" s="42" t="s">
        <v>657</v>
      </c>
      <c r="B101" s="43" t="s">
        <v>660</v>
      </c>
      <c r="C101" s="44">
        <v>0</v>
      </c>
      <c r="D101" s="44">
        <v>400</v>
      </c>
      <c r="E101" s="44">
        <v>400</v>
      </c>
      <c r="F101" s="44">
        <v>400</v>
      </c>
      <c r="G101" s="44">
        <v>400</v>
      </c>
      <c r="H101" s="44">
        <v>400</v>
      </c>
      <c r="I101" s="45">
        <v>2000</v>
      </c>
    </row>
    <row r="102" spans="1:9" ht="47.25" x14ac:dyDescent="0.25">
      <c r="A102" s="34">
        <v>23</v>
      </c>
      <c r="B102" s="35" t="s">
        <v>494</v>
      </c>
      <c r="C102" s="36">
        <v>151.5</v>
      </c>
      <c r="D102" s="36">
        <v>29.7</v>
      </c>
      <c r="E102" s="36">
        <v>0</v>
      </c>
      <c r="F102" s="36">
        <v>0</v>
      </c>
      <c r="G102" s="36">
        <v>0</v>
      </c>
      <c r="H102" s="36">
        <v>0</v>
      </c>
      <c r="I102" s="37">
        <v>181.2</v>
      </c>
    </row>
    <row r="103" spans="1:9" ht="15.75" x14ac:dyDescent="0.25">
      <c r="A103" s="38" t="s">
        <v>657</v>
      </c>
      <c r="B103" s="39" t="s">
        <v>658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1">
        <v>0</v>
      </c>
    </row>
    <row r="104" spans="1:9" ht="15.75" x14ac:dyDescent="0.25">
      <c r="A104" s="38" t="s">
        <v>657</v>
      </c>
      <c r="B104" s="39" t="s">
        <v>659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1">
        <v>0</v>
      </c>
    </row>
    <row r="105" spans="1:9" ht="15.75" x14ac:dyDescent="0.25">
      <c r="A105" s="42" t="s">
        <v>657</v>
      </c>
      <c r="B105" s="43" t="s">
        <v>660</v>
      </c>
      <c r="C105" s="44">
        <v>151.5</v>
      </c>
      <c r="D105" s="44">
        <v>29.7</v>
      </c>
      <c r="E105" s="44">
        <v>0</v>
      </c>
      <c r="F105" s="44">
        <v>0</v>
      </c>
      <c r="G105" s="44">
        <v>0</v>
      </c>
      <c r="H105" s="44">
        <v>0</v>
      </c>
      <c r="I105" s="45">
        <v>181.2</v>
      </c>
    </row>
    <row r="106" spans="1:9" ht="63" x14ac:dyDescent="0.25">
      <c r="A106" s="34">
        <v>24</v>
      </c>
      <c r="B106" s="35" t="s">
        <v>505</v>
      </c>
      <c r="C106" s="36">
        <v>5.0100000000000007</v>
      </c>
      <c r="D106" s="36">
        <v>7.5149999999999997</v>
      </c>
      <c r="E106" s="36">
        <v>10.020000000000001</v>
      </c>
      <c r="F106" s="36">
        <v>15.03</v>
      </c>
      <c r="G106" s="36">
        <v>12.525</v>
      </c>
      <c r="H106" s="36">
        <v>0</v>
      </c>
      <c r="I106" s="37">
        <v>50.1</v>
      </c>
    </row>
    <row r="107" spans="1:9" ht="15.75" x14ac:dyDescent="0.25">
      <c r="A107" s="38" t="s">
        <v>657</v>
      </c>
      <c r="B107" s="39" t="s">
        <v>658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1">
        <v>0</v>
      </c>
    </row>
    <row r="108" spans="1:9" ht="15.75" x14ac:dyDescent="0.25">
      <c r="A108" s="38" t="s">
        <v>657</v>
      </c>
      <c r="B108" s="39" t="s">
        <v>659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1">
        <v>0</v>
      </c>
    </row>
    <row r="109" spans="1:9" ht="15.75" x14ac:dyDescent="0.25">
      <c r="A109" s="42" t="s">
        <v>657</v>
      </c>
      <c r="B109" s="43" t="s">
        <v>660</v>
      </c>
      <c r="C109" s="44">
        <v>5.0100000000000007</v>
      </c>
      <c r="D109" s="44">
        <v>7.5149999999999997</v>
      </c>
      <c r="E109" s="44">
        <v>10.020000000000001</v>
      </c>
      <c r="F109" s="44">
        <v>15.03</v>
      </c>
      <c r="G109" s="44">
        <v>12.525</v>
      </c>
      <c r="H109" s="44">
        <v>0</v>
      </c>
      <c r="I109" s="45">
        <v>50.1</v>
      </c>
    </row>
    <row r="110" spans="1:9" ht="15.75" x14ac:dyDescent="0.25">
      <c r="A110" s="34" t="s">
        <v>657</v>
      </c>
      <c r="B110" s="55" t="s">
        <v>551</v>
      </c>
      <c r="C110" s="50">
        <v>634.7136363636364</v>
      </c>
      <c r="D110" s="50">
        <v>614.61363636363637</v>
      </c>
      <c r="E110" s="50">
        <v>56.36363636363636</v>
      </c>
      <c r="F110" s="50">
        <v>11.363636363636363</v>
      </c>
      <c r="G110" s="50">
        <v>11.363636363636363</v>
      </c>
      <c r="H110" s="50">
        <v>11.363636363636363</v>
      </c>
      <c r="I110" s="51">
        <v>1339.7818181818175</v>
      </c>
    </row>
    <row r="111" spans="1:9" ht="47.25" x14ac:dyDescent="0.25">
      <c r="A111" s="34">
        <v>25</v>
      </c>
      <c r="B111" s="35" t="s">
        <v>457</v>
      </c>
      <c r="C111" s="36">
        <v>6</v>
      </c>
      <c r="D111" s="36">
        <v>12</v>
      </c>
      <c r="E111" s="36">
        <v>12</v>
      </c>
      <c r="F111" s="36">
        <v>0</v>
      </c>
      <c r="G111" s="36">
        <v>0</v>
      </c>
      <c r="H111" s="36">
        <v>0</v>
      </c>
      <c r="I111" s="37">
        <v>30</v>
      </c>
    </row>
    <row r="112" spans="1:9" ht="15.75" x14ac:dyDescent="0.25">
      <c r="A112" s="38" t="s">
        <v>657</v>
      </c>
      <c r="B112" s="39" t="s">
        <v>658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1">
        <v>0</v>
      </c>
    </row>
    <row r="113" spans="1:9" ht="15.75" x14ac:dyDescent="0.25">
      <c r="A113" s="38" t="s">
        <v>657</v>
      </c>
      <c r="B113" s="39" t="s">
        <v>659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1">
        <v>0</v>
      </c>
    </row>
    <row r="114" spans="1:9" ht="15.75" x14ac:dyDescent="0.25">
      <c r="A114" s="42" t="s">
        <v>657</v>
      </c>
      <c r="B114" s="43" t="s">
        <v>660</v>
      </c>
      <c r="C114" s="44">
        <v>6</v>
      </c>
      <c r="D114" s="44">
        <v>12</v>
      </c>
      <c r="E114" s="44">
        <v>12</v>
      </c>
      <c r="F114" s="44">
        <v>0</v>
      </c>
      <c r="G114" s="44">
        <v>0</v>
      </c>
      <c r="H114" s="44">
        <v>0</v>
      </c>
      <c r="I114" s="45">
        <v>30</v>
      </c>
    </row>
    <row r="115" spans="1:9" ht="47.25" x14ac:dyDescent="0.25">
      <c r="A115" s="34">
        <v>26</v>
      </c>
      <c r="B115" s="35" t="s">
        <v>468</v>
      </c>
      <c r="C115" s="36">
        <v>31.35</v>
      </c>
      <c r="D115" s="36">
        <v>41.25</v>
      </c>
      <c r="E115" s="36">
        <v>33</v>
      </c>
      <c r="F115" s="36">
        <v>0</v>
      </c>
      <c r="G115" s="36">
        <v>0</v>
      </c>
      <c r="H115" s="36">
        <v>0</v>
      </c>
      <c r="I115" s="37">
        <v>105.6</v>
      </c>
    </row>
    <row r="116" spans="1:9" ht="15.75" x14ac:dyDescent="0.25">
      <c r="A116" s="38" t="s">
        <v>657</v>
      </c>
      <c r="B116" s="39" t="s">
        <v>658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1">
        <v>0</v>
      </c>
    </row>
    <row r="117" spans="1:9" ht="15.75" x14ac:dyDescent="0.25">
      <c r="A117" s="38" t="s">
        <v>657</v>
      </c>
      <c r="B117" s="39" t="s">
        <v>659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1">
        <v>0</v>
      </c>
    </row>
    <row r="118" spans="1:9" ht="15.75" x14ac:dyDescent="0.25">
      <c r="A118" s="42" t="s">
        <v>657</v>
      </c>
      <c r="B118" s="43" t="s">
        <v>660</v>
      </c>
      <c r="C118" s="44">
        <v>31.35</v>
      </c>
      <c r="D118" s="44">
        <v>41.25</v>
      </c>
      <c r="E118" s="44">
        <v>33</v>
      </c>
      <c r="F118" s="44">
        <v>0</v>
      </c>
      <c r="G118" s="44">
        <v>0</v>
      </c>
      <c r="H118" s="44">
        <v>0</v>
      </c>
      <c r="I118" s="45">
        <v>105.6</v>
      </c>
    </row>
    <row r="119" spans="1:9" ht="47.25" x14ac:dyDescent="0.25">
      <c r="A119" s="34">
        <v>27</v>
      </c>
      <c r="B119" s="35" t="s">
        <v>469</v>
      </c>
      <c r="C119" s="36">
        <v>46</v>
      </c>
      <c r="D119" s="36">
        <v>10</v>
      </c>
      <c r="E119" s="36">
        <v>0</v>
      </c>
      <c r="F119" s="36">
        <v>0</v>
      </c>
      <c r="G119" s="36">
        <v>0</v>
      </c>
      <c r="H119" s="36">
        <v>0</v>
      </c>
      <c r="I119" s="37">
        <v>56</v>
      </c>
    </row>
    <row r="120" spans="1:9" ht="15.75" x14ac:dyDescent="0.25">
      <c r="A120" s="38" t="s">
        <v>657</v>
      </c>
      <c r="B120" s="39" t="s">
        <v>658</v>
      </c>
      <c r="C120" s="40">
        <v>23</v>
      </c>
      <c r="D120" s="40">
        <v>5</v>
      </c>
      <c r="E120" s="40">
        <v>0</v>
      </c>
      <c r="F120" s="40">
        <v>0</v>
      </c>
      <c r="G120" s="40">
        <v>0</v>
      </c>
      <c r="H120" s="40">
        <v>0</v>
      </c>
      <c r="I120" s="41">
        <v>28</v>
      </c>
    </row>
    <row r="121" spans="1:9" ht="15.75" x14ac:dyDescent="0.25">
      <c r="A121" s="38" t="s">
        <v>657</v>
      </c>
      <c r="B121" s="39" t="s">
        <v>659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1">
        <v>0</v>
      </c>
    </row>
    <row r="122" spans="1:9" ht="15.75" x14ac:dyDescent="0.25">
      <c r="A122" s="42" t="s">
        <v>657</v>
      </c>
      <c r="B122" s="43" t="s">
        <v>660</v>
      </c>
      <c r="C122" s="44">
        <v>23</v>
      </c>
      <c r="D122" s="44">
        <v>5</v>
      </c>
      <c r="E122" s="44">
        <v>0</v>
      </c>
      <c r="F122" s="44">
        <v>0</v>
      </c>
      <c r="G122" s="44">
        <v>0</v>
      </c>
      <c r="H122" s="44">
        <v>0</v>
      </c>
      <c r="I122" s="45">
        <v>28</v>
      </c>
    </row>
    <row r="123" spans="1:9" ht="63" x14ac:dyDescent="0.25">
      <c r="A123" s="34">
        <v>28</v>
      </c>
      <c r="B123" s="35" t="s">
        <v>483</v>
      </c>
      <c r="C123" s="36">
        <v>540</v>
      </c>
      <c r="D123" s="36">
        <v>540</v>
      </c>
      <c r="E123" s="36">
        <v>0</v>
      </c>
      <c r="F123" s="36">
        <v>0</v>
      </c>
      <c r="G123" s="36">
        <v>0</v>
      </c>
      <c r="H123" s="36">
        <v>0</v>
      </c>
      <c r="I123" s="37">
        <v>1080</v>
      </c>
    </row>
    <row r="124" spans="1:9" ht="15.75" x14ac:dyDescent="0.25">
      <c r="A124" s="38" t="s">
        <v>657</v>
      </c>
      <c r="B124" s="39" t="s">
        <v>658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1">
        <v>0</v>
      </c>
    </row>
    <row r="125" spans="1:9" ht="15.75" x14ac:dyDescent="0.25">
      <c r="A125" s="38" t="s">
        <v>657</v>
      </c>
      <c r="B125" s="39" t="s">
        <v>659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1">
        <v>0</v>
      </c>
    </row>
    <row r="126" spans="1:9" ht="15.75" x14ac:dyDescent="0.25">
      <c r="A126" s="42" t="s">
        <v>657</v>
      </c>
      <c r="B126" s="43" t="s">
        <v>660</v>
      </c>
      <c r="C126" s="44">
        <v>540</v>
      </c>
      <c r="D126" s="44">
        <v>540</v>
      </c>
      <c r="E126" s="44">
        <v>0</v>
      </c>
      <c r="F126" s="44">
        <v>0</v>
      </c>
      <c r="G126" s="44">
        <v>0</v>
      </c>
      <c r="H126" s="44">
        <v>0</v>
      </c>
      <c r="I126" s="45">
        <v>1080</v>
      </c>
    </row>
    <row r="127" spans="1:9" ht="63" x14ac:dyDescent="0.25">
      <c r="A127" s="34">
        <v>29</v>
      </c>
      <c r="B127" s="35" t="s">
        <v>501</v>
      </c>
      <c r="C127" s="36">
        <v>11.363636363636363</v>
      </c>
      <c r="D127" s="36">
        <v>11.363636363636363</v>
      </c>
      <c r="E127" s="36">
        <v>11.363636363636363</v>
      </c>
      <c r="F127" s="36">
        <v>11.363636363636363</v>
      </c>
      <c r="G127" s="36">
        <v>11.363636363636363</v>
      </c>
      <c r="H127" s="36">
        <v>11.363636363636363</v>
      </c>
      <c r="I127" s="37">
        <v>68.181818181818173</v>
      </c>
    </row>
    <row r="128" spans="1:9" ht="15.75" x14ac:dyDescent="0.25">
      <c r="A128" s="38" t="s">
        <v>657</v>
      </c>
      <c r="B128" s="39" t="s">
        <v>658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1">
        <v>0</v>
      </c>
    </row>
    <row r="129" spans="1:9" ht="15.75" x14ac:dyDescent="0.25">
      <c r="A129" s="38" t="s">
        <v>657</v>
      </c>
      <c r="B129" s="39" t="s">
        <v>659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1">
        <v>0</v>
      </c>
    </row>
    <row r="130" spans="1:9" ht="15.75" x14ac:dyDescent="0.25">
      <c r="A130" s="42" t="s">
        <v>657</v>
      </c>
      <c r="B130" s="43" t="s">
        <v>660</v>
      </c>
      <c r="C130" s="44">
        <v>11.363636363636363</v>
      </c>
      <c r="D130" s="44">
        <v>11.363636363636363</v>
      </c>
      <c r="E130" s="44">
        <v>11.363636363636363</v>
      </c>
      <c r="F130" s="44">
        <v>11.363636363636363</v>
      </c>
      <c r="G130" s="44">
        <v>11.363636363636363</v>
      </c>
      <c r="H130" s="44">
        <v>11.363636363636363</v>
      </c>
      <c r="I130" s="45">
        <v>68.181818181818173</v>
      </c>
    </row>
    <row r="131" spans="1:9" ht="15.75" x14ac:dyDescent="0.25">
      <c r="A131" s="38" t="s">
        <v>657</v>
      </c>
      <c r="B131" s="59" t="s">
        <v>559</v>
      </c>
      <c r="C131" s="60">
        <v>8.5500000000000007</v>
      </c>
      <c r="D131" s="60">
        <v>11.25</v>
      </c>
      <c r="E131" s="60">
        <v>9</v>
      </c>
      <c r="F131" s="60">
        <v>0</v>
      </c>
      <c r="G131" s="60">
        <v>0</v>
      </c>
      <c r="H131" s="60">
        <v>0</v>
      </c>
      <c r="I131" s="61">
        <v>28.8</v>
      </c>
    </row>
    <row r="132" spans="1:9" ht="47.25" x14ac:dyDescent="0.25">
      <c r="A132" s="34">
        <v>30</v>
      </c>
      <c r="B132" s="35" t="s">
        <v>467</v>
      </c>
      <c r="C132" s="36">
        <v>8.5500000000000007</v>
      </c>
      <c r="D132" s="36">
        <v>11.25</v>
      </c>
      <c r="E132" s="36">
        <v>9</v>
      </c>
      <c r="F132" s="36">
        <v>0</v>
      </c>
      <c r="G132" s="36">
        <v>0</v>
      </c>
      <c r="H132" s="36">
        <v>0</v>
      </c>
      <c r="I132" s="37">
        <v>28.8</v>
      </c>
    </row>
    <row r="133" spans="1:9" ht="15.75" x14ac:dyDescent="0.25">
      <c r="A133" s="38" t="s">
        <v>657</v>
      </c>
      <c r="B133" s="39" t="s">
        <v>658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1">
        <v>0</v>
      </c>
    </row>
    <row r="134" spans="1:9" ht="15.75" x14ac:dyDescent="0.25">
      <c r="A134" s="38" t="s">
        <v>657</v>
      </c>
      <c r="B134" s="39" t="s">
        <v>659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1">
        <v>0</v>
      </c>
    </row>
    <row r="135" spans="1:9" ht="15.75" x14ac:dyDescent="0.25">
      <c r="A135" s="42" t="s">
        <v>657</v>
      </c>
      <c r="B135" s="43" t="s">
        <v>660</v>
      </c>
      <c r="C135" s="44">
        <v>8.5500000000000007</v>
      </c>
      <c r="D135" s="44">
        <v>11.25</v>
      </c>
      <c r="E135" s="44">
        <v>9</v>
      </c>
      <c r="F135" s="44">
        <v>0</v>
      </c>
      <c r="G135" s="44">
        <v>0</v>
      </c>
      <c r="H135" s="44">
        <v>0</v>
      </c>
      <c r="I135" s="45">
        <v>28.8</v>
      </c>
    </row>
    <row r="136" spans="1:9" ht="15.75" x14ac:dyDescent="0.25">
      <c r="A136" s="38" t="s">
        <v>657</v>
      </c>
      <c r="B136" s="59" t="s">
        <v>561</v>
      </c>
      <c r="C136" s="60">
        <v>60.6</v>
      </c>
      <c r="D136" s="60">
        <v>50</v>
      </c>
      <c r="E136" s="60">
        <v>0</v>
      </c>
      <c r="F136" s="60">
        <v>0</v>
      </c>
      <c r="G136" s="60">
        <v>0</v>
      </c>
      <c r="H136" s="60">
        <v>0</v>
      </c>
      <c r="I136" s="61">
        <v>110.6</v>
      </c>
    </row>
    <row r="137" spans="1:9" ht="31.5" x14ac:dyDescent="0.25">
      <c r="A137" s="34">
        <v>31</v>
      </c>
      <c r="B137" s="35" t="s">
        <v>447</v>
      </c>
      <c r="C137" s="36">
        <v>20</v>
      </c>
      <c r="D137" s="36">
        <v>50</v>
      </c>
      <c r="E137" s="36">
        <v>0</v>
      </c>
      <c r="F137" s="36">
        <v>0</v>
      </c>
      <c r="G137" s="36">
        <v>0</v>
      </c>
      <c r="H137" s="36">
        <v>0</v>
      </c>
      <c r="I137" s="37">
        <v>70</v>
      </c>
    </row>
    <row r="138" spans="1:9" ht="15.75" x14ac:dyDescent="0.25">
      <c r="A138" s="38" t="s">
        <v>657</v>
      </c>
      <c r="B138" s="39" t="s">
        <v>658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1">
        <v>0</v>
      </c>
    </row>
    <row r="139" spans="1:9" ht="15.75" x14ac:dyDescent="0.25">
      <c r="A139" s="38" t="s">
        <v>657</v>
      </c>
      <c r="B139" s="39" t="s">
        <v>659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1">
        <v>0</v>
      </c>
    </row>
    <row r="140" spans="1:9" ht="15.75" x14ac:dyDescent="0.25">
      <c r="A140" s="42" t="s">
        <v>657</v>
      </c>
      <c r="B140" s="43" t="s">
        <v>660</v>
      </c>
      <c r="C140" s="44">
        <v>20</v>
      </c>
      <c r="D140" s="44">
        <v>50</v>
      </c>
      <c r="E140" s="44">
        <v>0</v>
      </c>
      <c r="F140" s="44">
        <v>0</v>
      </c>
      <c r="G140" s="44">
        <v>0</v>
      </c>
      <c r="H140" s="44">
        <v>0</v>
      </c>
      <c r="I140" s="45">
        <v>70</v>
      </c>
    </row>
    <row r="141" spans="1:9" ht="47.25" x14ac:dyDescent="0.25">
      <c r="A141" s="34">
        <v>32</v>
      </c>
      <c r="B141" s="35" t="s">
        <v>449</v>
      </c>
      <c r="C141" s="36">
        <v>40.6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7">
        <v>40.6</v>
      </c>
    </row>
    <row r="142" spans="1:9" ht="15.75" x14ac:dyDescent="0.25">
      <c r="A142" s="38" t="s">
        <v>657</v>
      </c>
      <c r="B142" s="39" t="s">
        <v>658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1">
        <v>0</v>
      </c>
    </row>
    <row r="143" spans="1:9" ht="15.75" x14ac:dyDescent="0.25">
      <c r="A143" s="38" t="s">
        <v>657</v>
      </c>
      <c r="B143" s="39" t="s">
        <v>659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1">
        <v>0</v>
      </c>
    </row>
    <row r="144" spans="1:9" ht="15.75" x14ac:dyDescent="0.25">
      <c r="A144" s="42" t="s">
        <v>657</v>
      </c>
      <c r="B144" s="43" t="s">
        <v>660</v>
      </c>
      <c r="C144" s="44">
        <v>40.6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5">
        <v>40.6</v>
      </c>
    </row>
    <row r="145" spans="1:9" ht="15.75" x14ac:dyDescent="0.25">
      <c r="A145" s="38" t="s">
        <v>657</v>
      </c>
      <c r="B145" s="59" t="s">
        <v>564</v>
      </c>
      <c r="C145" s="60">
        <v>459.88</v>
      </c>
      <c r="D145" s="60">
        <v>256</v>
      </c>
      <c r="E145" s="60">
        <v>10.4</v>
      </c>
      <c r="F145" s="60">
        <v>0</v>
      </c>
      <c r="G145" s="60">
        <v>0</v>
      </c>
      <c r="H145" s="60">
        <v>0</v>
      </c>
      <c r="I145" s="61">
        <v>726.28</v>
      </c>
    </row>
    <row r="146" spans="1:9" ht="47.25" x14ac:dyDescent="0.25">
      <c r="A146" s="34">
        <v>33</v>
      </c>
      <c r="B146" s="35" t="s">
        <v>492</v>
      </c>
      <c r="C146" s="36">
        <v>9.8800000000000008</v>
      </c>
      <c r="D146" s="36">
        <v>13</v>
      </c>
      <c r="E146" s="36">
        <v>10.4</v>
      </c>
      <c r="F146" s="36">
        <v>0</v>
      </c>
      <c r="G146" s="36">
        <v>0</v>
      </c>
      <c r="H146" s="36">
        <v>0</v>
      </c>
      <c r="I146" s="37">
        <v>33.28</v>
      </c>
    </row>
    <row r="147" spans="1:9" ht="15.75" x14ac:dyDescent="0.25">
      <c r="A147" s="38" t="s">
        <v>657</v>
      </c>
      <c r="B147" s="39" t="s">
        <v>658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1">
        <v>0</v>
      </c>
    </row>
    <row r="148" spans="1:9" ht="15.75" x14ac:dyDescent="0.25">
      <c r="A148" s="38" t="s">
        <v>657</v>
      </c>
      <c r="B148" s="39" t="s">
        <v>659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1">
        <v>0</v>
      </c>
    </row>
    <row r="149" spans="1:9" ht="15.75" x14ac:dyDescent="0.25">
      <c r="A149" s="42" t="s">
        <v>657</v>
      </c>
      <c r="B149" s="43" t="s">
        <v>660</v>
      </c>
      <c r="C149" s="44">
        <v>9.8800000000000008</v>
      </c>
      <c r="D149" s="44">
        <v>13</v>
      </c>
      <c r="E149" s="44">
        <v>10.4</v>
      </c>
      <c r="F149" s="44">
        <v>0</v>
      </c>
      <c r="G149" s="44">
        <v>0</v>
      </c>
      <c r="H149" s="44">
        <v>0</v>
      </c>
      <c r="I149" s="45">
        <v>33.28</v>
      </c>
    </row>
    <row r="150" spans="1:9" ht="31.5" x14ac:dyDescent="0.25">
      <c r="A150" s="34">
        <v>34</v>
      </c>
      <c r="B150" s="35" t="s">
        <v>504</v>
      </c>
      <c r="C150" s="36">
        <v>450</v>
      </c>
      <c r="D150" s="36">
        <v>243</v>
      </c>
      <c r="E150" s="36">
        <v>0</v>
      </c>
      <c r="F150" s="36">
        <v>0</v>
      </c>
      <c r="G150" s="36">
        <v>0</v>
      </c>
      <c r="H150" s="36">
        <v>0</v>
      </c>
      <c r="I150" s="37">
        <v>693</v>
      </c>
    </row>
    <row r="151" spans="1:9" ht="15.75" x14ac:dyDescent="0.25">
      <c r="A151" s="38" t="s">
        <v>657</v>
      </c>
      <c r="B151" s="39" t="s">
        <v>658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1">
        <v>0</v>
      </c>
    </row>
    <row r="152" spans="1:9" ht="15.75" x14ac:dyDescent="0.25">
      <c r="A152" s="38" t="s">
        <v>657</v>
      </c>
      <c r="B152" s="39" t="s">
        <v>659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1">
        <v>0</v>
      </c>
    </row>
    <row r="153" spans="1:9" ht="15.75" x14ac:dyDescent="0.25">
      <c r="A153" s="42" t="s">
        <v>657</v>
      </c>
      <c r="B153" s="43" t="s">
        <v>660</v>
      </c>
      <c r="C153" s="44">
        <v>450</v>
      </c>
      <c r="D153" s="44">
        <v>243</v>
      </c>
      <c r="E153" s="44">
        <v>0</v>
      </c>
      <c r="F153" s="44">
        <v>0</v>
      </c>
      <c r="G153" s="44">
        <v>0</v>
      </c>
      <c r="H153" s="44">
        <v>0</v>
      </c>
      <c r="I153" s="45">
        <v>693</v>
      </c>
    </row>
    <row r="154" spans="1:9" ht="15.75" x14ac:dyDescent="0.25">
      <c r="A154" s="38" t="s">
        <v>657</v>
      </c>
      <c r="B154" s="59" t="s">
        <v>568</v>
      </c>
      <c r="C154" s="60">
        <v>230</v>
      </c>
      <c r="D154" s="60">
        <v>120</v>
      </c>
      <c r="E154" s="60">
        <v>0</v>
      </c>
      <c r="F154" s="60">
        <v>0</v>
      </c>
      <c r="G154" s="60">
        <v>0</v>
      </c>
      <c r="H154" s="60">
        <v>0</v>
      </c>
      <c r="I154" s="61">
        <v>350</v>
      </c>
    </row>
    <row r="155" spans="1:9" ht="47.25" x14ac:dyDescent="0.25">
      <c r="A155" s="34">
        <v>35</v>
      </c>
      <c r="B155" s="35" t="s">
        <v>446</v>
      </c>
      <c r="C155" s="36">
        <v>170</v>
      </c>
      <c r="D155" s="36">
        <v>80</v>
      </c>
      <c r="E155" s="36">
        <v>0</v>
      </c>
      <c r="F155" s="36">
        <v>0</v>
      </c>
      <c r="G155" s="36">
        <v>0</v>
      </c>
      <c r="H155" s="36">
        <v>0</v>
      </c>
      <c r="I155" s="37">
        <v>250</v>
      </c>
    </row>
    <row r="156" spans="1:9" ht="15.75" x14ac:dyDescent="0.25">
      <c r="A156" s="38" t="s">
        <v>657</v>
      </c>
      <c r="B156" s="39" t="s">
        <v>658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1">
        <v>0</v>
      </c>
    </row>
    <row r="157" spans="1:9" ht="15.75" x14ac:dyDescent="0.25">
      <c r="A157" s="38" t="s">
        <v>657</v>
      </c>
      <c r="B157" s="39" t="s">
        <v>659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1">
        <v>0</v>
      </c>
    </row>
    <row r="158" spans="1:9" ht="15.75" x14ac:dyDescent="0.25">
      <c r="A158" s="42" t="s">
        <v>657</v>
      </c>
      <c r="B158" s="43" t="s">
        <v>660</v>
      </c>
      <c r="C158" s="44">
        <v>170</v>
      </c>
      <c r="D158" s="44">
        <v>80</v>
      </c>
      <c r="E158" s="44">
        <v>0</v>
      </c>
      <c r="F158" s="44">
        <v>0</v>
      </c>
      <c r="G158" s="44">
        <v>0</v>
      </c>
      <c r="H158" s="44">
        <v>0</v>
      </c>
      <c r="I158" s="45">
        <v>250</v>
      </c>
    </row>
    <row r="159" spans="1:9" ht="47.25" x14ac:dyDescent="0.25">
      <c r="A159" s="34">
        <v>36</v>
      </c>
      <c r="B159" s="35" t="s">
        <v>450</v>
      </c>
      <c r="C159" s="36">
        <v>40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7">
        <v>40</v>
      </c>
    </row>
    <row r="160" spans="1:9" ht="15.75" x14ac:dyDescent="0.25">
      <c r="A160" s="38" t="s">
        <v>657</v>
      </c>
      <c r="B160" s="39" t="s">
        <v>658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1">
        <v>0</v>
      </c>
    </row>
    <row r="161" spans="1:9" ht="15.75" x14ac:dyDescent="0.25">
      <c r="A161" s="38" t="s">
        <v>657</v>
      </c>
      <c r="B161" s="39" t="s">
        <v>659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1">
        <v>0</v>
      </c>
    </row>
    <row r="162" spans="1:9" ht="15.75" x14ac:dyDescent="0.25">
      <c r="A162" s="42" t="s">
        <v>657</v>
      </c>
      <c r="B162" s="43" t="s">
        <v>660</v>
      </c>
      <c r="C162" s="44">
        <v>40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5">
        <v>40</v>
      </c>
    </row>
    <row r="163" spans="1:9" ht="63" x14ac:dyDescent="0.25">
      <c r="A163" s="34">
        <v>37</v>
      </c>
      <c r="B163" s="35" t="s">
        <v>471</v>
      </c>
      <c r="C163" s="36">
        <v>20</v>
      </c>
      <c r="D163" s="36">
        <v>40</v>
      </c>
      <c r="E163" s="36">
        <v>0</v>
      </c>
      <c r="F163" s="36">
        <v>0</v>
      </c>
      <c r="G163" s="36">
        <v>0</v>
      </c>
      <c r="H163" s="36">
        <v>0</v>
      </c>
      <c r="I163" s="37">
        <v>60</v>
      </c>
    </row>
    <row r="164" spans="1:9" ht="15.75" x14ac:dyDescent="0.25">
      <c r="A164" s="38" t="s">
        <v>657</v>
      </c>
      <c r="B164" s="39" t="s">
        <v>658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1">
        <v>0</v>
      </c>
    </row>
    <row r="165" spans="1:9" ht="15.75" x14ac:dyDescent="0.25">
      <c r="A165" s="38" t="s">
        <v>657</v>
      </c>
      <c r="B165" s="39" t="s">
        <v>659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1">
        <v>0</v>
      </c>
    </row>
    <row r="166" spans="1:9" ht="15.75" x14ac:dyDescent="0.25">
      <c r="A166" s="42" t="s">
        <v>657</v>
      </c>
      <c r="B166" s="43" t="s">
        <v>660</v>
      </c>
      <c r="C166" s="44">
        <v>20</v>
      </c>
      <c r="D166" s="44">
        <v>40</v>
      </c>
      <c r="E166" s="44">
        <v>0</v>
      </c>
      <c r="F166" s="44">
        <v>0</v>
      </c>
      <c r="G166" s="44">
        <v>0</v>
      </c>
      <c r="H166" s="44">
        <v>0</v>
      </c>
      <c r="I166" s="45">
        <v>60</v>
      </c>
    </row>
    <row r="167" spans="1:9" ht="15.75" x14ac:dyDescent="0.25">
      <c r="A167" s="38" t="s">
        <v>657</v>
      </c>
      <c r="B167" s="59" t="s">
        <v>572</v>
      </c>
      <c r="C167" s="60">
        <v>433.72500000000002</v>
      </c>
      <c r="D167" s="60">
        <v>444.42500000000001</v>
      </c>
      <c r="E167" s="60">
        <v>422.875</v>
      </c>
      <c r="F167" s="60">
        <v>353.5</v>
      </c>
      <c r="G167" s="60">
        <v>265.10000000000002</v>
      </c>
      <c r="H167" s="60">
        <v>0</v>
      </c>
      <c r="I167" s="61">
        <v>1919.625</v>
      </c>
    </row>
    <row r="168" spans="1:9" ht="47.25" x14ac:dyDescent="0.25">
      <c r="A168" s="34">
        <v>38</v>
      </c>
      <c r="B168" s="35" t="s">
        <v>444</v>
      </c>
      <c r="C168" s="36">
        <v>10</v>
      </c>
      <c r="D168" s="36">
        <v>16</v>
      </c>
      <c r="E168" s="36">
        <v>16</v>
      </c>
      <c r="F168" s="36">
        <v>10</v>
      </c>
      <c r="G168" s="36">
        <v>0</v>
      </c>
      <c r="H168" s="36">
        <v>0</v>
      </c>
      <c r="I168" s="37">
        <v>52</v>
      </c>
    </row>
    <row r="169" spans="1:9" ht="15.75" x14ac:dyDescent="0.25">
      <c r="A169" s="38" t="s">
        <v>657</v>
      </c>
      <c r="B169" s="39" t="s">
        <v>658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1">
        <v>0</v>
      </c>
    </row>
    <row r="170" spans="1:9" ht="15.75" x14ac:dyDescent="0.25">
      <c r="A170" s="38" t="s">
        <v>657</v>
      </c>
      <c r="B170" s="39" t="s">
        <v>659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1">
        <v>0</v>
      </c>
    </row>
    <row r="171" spans="1:9" ht="15.75" x14ac:dyDescent="0.25">
      <c r="A171" s="42" t="s">
        <v>657</v>
      </c>
      <c r="B171" s="43" t="s">
        <v>660</v>
      </c>
      <c r="C171" s="44">
        <v>10</v>
      </c>
      <c r="D171" s="44">
        <v>16</v>
      </c>
      <c r="E171" s="44">
        <v>16</v>
      </c>
      <c r="F171" s="44">
        <v>10</v>
      </c>
      <c r="G171" s="44">
        <v>0</v>
      </c>
      <c r="H171" s="44">
        <v>0</v>
      </c>
      <c r="I171" s="45">
        <v>52</v>
      </c>
    </row>
    <row r="172" spans="1:9" ht="47.25" x14ac:dyDescent="0.25">
      <c r="A172" s="34">
        <v>39</v>
      </c>
      <c r="B172" s="35" t="s">
        <v>452</v>
      </c>
      <c r="C172" s="36">
        <v>100</v>
      </c>
      <c r="D172" s="36">
        <v>100</v>
      </c>
      <c r="E172" s="36">
        <v>120.00000000000001</v>
      </c>
      <c r="F172" s="36">
        <v>120.00000000000001</v>
      </c>
      <c r="G172" s="36">
        <v>120</v>
      </c>
      <c r="H172" s="36">
        <v>0</v>
      </c>
      <c r="I172" s="37">
        <v>560</v>
      </c>
    </row>
    <row r="173" spans="1:9" ht="15.75" x14ac:dyDescent="0.25">
      <c r="A173" s="38" t="s">
        <v>657</v>
      </c>
      <c r="B173" s="39" t="s">
        <v>658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1">
        <v>0</v>
      </c>
    </row>
    <row r="174" spans="1:9" ht="15.75" x14ac:dyDescent="0.25">
      <c r="A174" s="38" t="s">
        <v>657</v>
      </c>
      <c r="B174" s="39" t="s">
        <v>659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1">
        <v>0</v>
      </c>
    </row>
    <row r="175" spans="1:9" ht="15.75" x14ac:dyDescent="0.25">
      <c r="A175" s="42" t="s">
        <v>657</v>
      </c>
      <c r="B175" s="43" t="s">
        <v>660</v>
      </c>
      <c r="C175" s="44">
        <v>100</v>
      </c>
      <c r="D175" s="44">
        <v>100</v>
      </c>
      <c r="E175" s="44">
        <v>120.00000000000001</v>
      </c>
      <c r="F175" s="44">
        <v>120.00000000000001</v>
      </c>
      <c r="G175" s="44">
        <v>120</v>
      </c>
      <c r="H175" s="44">
        <v>0</v>
      </c>
      <c r="I175" s="45">
        <v>560</v>
      </c>
    </row>
    <row r="176" spans="1:9" ht="94.5" x14ac:dyDescent="0.25">
      <c r="A176" s="34" t="s">
        <v>657</v>
      </c>
      <c r="B176" s="35" t="s">
        <v>453</v>
      </c>
      <c r="C176" s="36">
        <v>38.625</v>
      </c>
      <c r="D176" s="36">
        <v>48.924999999999997</v>
      </c>
      <c r="E176" s="36">
        <v>64.375</v>
      </c>
      <c r="F176" s="36">
        <v>51.5</v>
      </c>
      <c r="G176" s="36">
        <v>0</v>
      </c>
      <c r="H176" s="36">
        <v>0</v>
      </c>
      <c r="I176" s="37">
        <v>203.42500000000001</v>
      </c>
    </row>
    <row r="177" spans="1:9" ht="15.75" x14ac:dyDescent="0.25">
      <c r="A177" s="38" t="s">
        <v>657</v>
      </c>
      <c r="B177" s="39" t="s">
        <v>658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1">
        <v>0</v>
      </c>
    </row>
    <row r="178" spans="1:9" ht="15.75" x14ac:dyDescent="0.25">
      <c r="A178" s="38" t="s">
        <v>657</v>
      </c>
      <c r="B178" s="39" t="s">
        <v>659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1">
        <v>0</v>
      </c>
    </row>
    <row r="179" spans="1:9" ht="15.75" x14ac:dyDescent="0.25">
      <c r="A179" s="42" t="s">
        <v>657</v>
      </c>
      <c r="B179" s="43" t="s">
        <v>660</v>
      </c>
      <c r="C179" s="44">
        <v>38.625</v>
      </c>
      <c r="D179" s="44">
        <v>48.924999999999997</v>
      </c>
      <c r="E179" s="44">
        <v>64.375</v>
      </c>
      <c r="F179" s="44">
        <v>51.5</v>
      </c>
      <c r="G179" s="44">
        <v>0</v>
      </c>
      <c r="H179" s="44">
        <v>0</v>
      </c>
      <c r="I179" s="45">
        <v>203.42500000000001</v>
      </c>
    </row>
    <row r="180" spans="1:9" ht="47.25" x14ac:dyDescent="0.25">
      <c r="A180" s="34">
        <v>41</v>
      </c>
      <c r="B180" s="35" t="s">
        <v>454</v>
      </c>
      <c r="C180" s="36">
        <v>38.5</v>
      </c>
      <c r="D180" s="36">
        <v>50</v>
      </c>
      <c r="E180" s="36">
        <v>52.5</v>
      </c>
      <c r="F180" s="36">
        <v>55</v>
      </c>
      <c r="G180" s="36">
        <v>55.1</v>
      </c>
      <c r="H180" s="36">
        <v>0</v>
      </c>
      <c r="I180" s="37">
        <v>251.1</v>
      </c>
    </row>
    <row r="181" spans="1:9" ht="15.75" x14ac:dyDescent="0.25">
      <c r="A181" s="38" t="s">
        <v>657</v>
      </c>
      <c r="B181" s="39" t="s">
        <v>658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1">
        <v>0</v>
      </c>
    </row>
    <row r="182" spans="1:9" ht="15.75" x14ac:dyDescent="0.25">
      <c r="A182" s="38" t="s">
        <v>657</v>
      </c>
      <c r="B182" s="39" t="s">
        <v>659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1">
        <v>0</v>
      </c>
    </row>
    <row r="183" spans="1:9" ht="15.75" x14ac:dyDescent="0.25">
      <c r="A183" s="42" t="s">
        <v>657</v>
      </c>
      <c r="B183" s="43" t="s">
        <v>660</v>
      </c>
      <c r="C183" s="44">
        <v>38.5</v>
      </c>
      <c r="D183" s="44">
        <v>50</v>
      </c>
      <c r="E183" s="44">
        <v>52.5</v>
      </c>
      <c r="F183" s="44">
        <v>55</v>
      </c>
      <c r="G183" s="44">
        <v>55.1</v>
      </c>
      <c r="H183" s="44">
        <v>0</v>
      </c>
      <c r="I183" s="45">
        <v>251.1</v>
      </c>
    </row>
    <row r="184" spans="1:9" ht="47.25" x14ac:dyDescent="0.25">
      <c r="A184" s="34">
        <v>42</v>
      </c>
      <c r="B184" s="35" t="s">
        <v>463</v>
      </c>
      <c r="C184" s="36">
        <v>9</v>
      </c>
      <c r="D184" s="36">
        <v>7.5</v>
      </c>
      <c r="E184" s="36">
        <v>0</v>
      </c>
      <c r="F184" s="36">
        <v>0</v>
      </c>
      <c r="G184" s="36">
        <v>0</v>
      </c>
      <c r="H184" s="36">
        <v>0</v>
      </c>
      <c r="I184" s="37">
        <v>16.5</v>
      </c>
    </row>
    <row r="185" spans="1:9" ht="15.75" x14ac:dyDescent="0.25">
      <c r="A185" s="38" t="s">
        <v>657</v>
      </c>
      <c r="B185" s="39" t="s">
        <v>658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1">
        <v>0</v>
      </c>
    </row>
    <row r="186" spans="1:9" ht="15.75" x14ac:dyDescent="0.25">
      <c r="A186" s="38" t="s">
        <v>657</v>
      </c>
      <c r="B186" s="39" t="s">
        <v>659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1">
        <v>0</v>
      </c>
    </row>
    <row r="187" spans="1:9" ht="15.75" x14ac:dyDescent="0.25">
      <c r="A187" s="42" t="s">
        <v>657</v>
      </c>
      <c r="B187" s="43" t="s">
        <v>660</v>
      </c>
      <c r="C187" s="44">
        <v>9</v>
      </c>
      <c r="D187" s="44">
        <v>7.5</v>
      </c>
      <c r="E187" s="44">
        <v>0</v>
      </c>
      <c r="F187" s="44">
        <v>0</v>
      </c>
      <c r="G187" s="44">
        <v>0</v>
      </c>
      <c r="H187" s="44">
        <v>0</v>
      </c>
      <c r="I187" s="45">
        <v>16.5</v>
      </c>
    </row>
    <row r="188" spans="1:9" ht="47.25" x14ac:dyDescent="0.25">
      <c r="A188" s="34">
        <v>43</v>
      </c>
      <c r="B188" s="35" t="s">
        <v>464</v>
      </c>
      <c r="C188" s="36">
        <v>12</v>
      </c>
      <c r="D188" s="36">
        <v>6</v>
      </c>
      <c r="E188" s="36">
        <v>5</v>
      </c>
      <c r="F188" s="36">
        <v>2</v>
      </c>
      <c r="G188" s="36">
        <v>0</v>
      </c>
      <c r="H188" s="36">
        <v>0</v>
      </c>
      <c r="I188" s="37">
        <v>25</v>
      </c>
    </row>
    <row r="189" spans="1:9" ht="15.75" x14ac:dyDescent="0.25">
      <c r="A189" s="38" t="s">
        <v>657</v>
      </c>
      <c r="B189" s="39" t="s">
        <v>658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1">
        <v>0</v>
      </c>
    </row>
    <row r="190" spans="1:9" ht="15.75" x14ac:dyDescent="0.25">
      <c r="A190" s="38" t="s">
        <v>657</v>
      </c>
      <c r="B190" s="39" t="s">
        <v>659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1">
        <v>0</v>
      </c>
    </row>
    <row r="191" spans="1:9" ht="15.75" x14ac:dyDescent="0.25">
      <c r="A191" s="42" t="s">
        <v>657</v>
      </c>
      <c r="B191" s="43" t="s">
        <v>660</v>
      </c>
      <c r="C191" s="44">
        <v>12</v>
      </c>
      <c r="D191" s="44">
        <v>6</v>
      </c>
      <c r="E191" s="44">
        <v>5</v>
      </c>
      <c r="F191" s="44">
        <v>2</v>
      </c>
      <c r="G191" s="44">
        <v>0</v>
      </c>
      <c r="H191" s="44">
        <v>0</v>
      </c>
      <c r="I191" s="45">
        <v>25</v>
      </c>
    </row>
    <row r="192" spans="1:9" ht="31.5" x14ac:dyDescent="0.25">
      <c r="A192" s="34">
        <v>44</v>
      </c>
      <c r="B192" s="35" t="s">
        <v>473</v>
      </c>
      <c r="C192" s="36">
        <v>50</v>
      </c>
      <c r="D192" s="36">
        <v>70</v>
      </c>
      <c r="E192" s="36">
        <v>75</v>
      </c>
      <c r="F192" s="36">
        <v>75</v>
      </c>
      <c r="G192" s="36">
        <v>80</v>
      </c>
      <c r="H192" s="36">
        <v>0</v>
      </c>
      <c r="I192" s="37">
        <v>350</v>
      </c>
    </row>
    <row r="193" spans="1:9" ht="15.75" x14ac:dyDescent="0.25">
      <c r="A193" s="38" t="s">
        <v>657</v>
      </c>
      <c r="B193" s="39" t="s">
        <v>658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1">
        <v>0</v>
      </c>
    </row>
    <row r="194" spans="1:9" ht="15.75" x14ac:dyDescent="0.25">
      <c r="A194" s="38" t="s">
        <v>657</v>
      </c>
      <c r="B194" s="39" t="s">
        <v>659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1">
        <v>0</v>
      </c>
    </row>
    <row r="195" spans="1:9" ht="15.75" x14ac:dyDescent="0.25">
      <c r="A195" s="42" t="s">
        <v>657</v>
      </c>
      <c r="B195" s="43" t="s">
        <v>660</v>
      </c>
      <c r="C195" s="44">
        <v>50</v>
      </c>
      <c r="D195" s="44">
        <v>70</v>
      </c>
      <c r="E195" s="44">
        <v>75</v>
      </c>
      <c r="F195" s="44">
        <v>75</v>
      </c>
      <c r="G195" s="44">
        <v>80</v>
      </c>
      <c r="H195" s="44">
        <v>0</v>
      </c>
      <c r="I195" s="45">
        <v>350</v>
      </c>
    </row>
    <row r="196" spans="1:9" ht="31.5" x14ac:dyDescent="0.25">
      <c r="A196" s="34">
        <v>45</v>
      </c>
      <c r="B196" s="35" t="s">
        <v>477</v>
      </c>
      <c r="C196" s="36">
        <v>10</v>
      </c>
      <c r="D196" s="36">
        <v>50</v>
      </c>
      <c r="E196" s="36">
        <v>40</v>
      </c>
      <c r="F196" s="36">
        <v>0</v>
      </c>
      <c r="G196" s="36">
        <v>0</v>
      </c>
      <c r="H196" s="36">
        <v>0</v>
      </c>
      <c r="I196" s="37">
        <v>100</v>
      </c>
    </row>
    <row r="197" spans="1:9" ht="15.75" x14ac:dyDescent="0.25">
      <c r="A197" s="38" t="s">
        <v>657</v>
      </c>
      <c r="B197" s="39" t="s">
        <v>658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1">
        <v>0</v>
      </c>
    </row>
    <row r="198" spans="1:9" ht="15.75" x14ac:dyDescent="0.25">
      <c r="A198" s="38" t="s">
        <v>657</v>
      </c>
      <c r="B198" s="39" t="s">
        <v>659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1">
        <v>0</v>
      </c>
    </row>
    <row r="199" spans="1:9" ht="15.75" x14ac:dyDescent="0.25">
      <c r="A199" s="42" t="s">
        <v>657</v>
      </c>
      <c r="B199" s="43" t="s">
        <v>660</v>
      </c>
      <c r="C199" s="44">
        <v>10</v>
      </c>
      <c r="D199" s="44">
        <v>50</v>
      </c>
      <c r="E199" s="44">
        <v>40</v>
      </c>
      <c r="F199" s="44">
        <v>0</v>
      </c>
      <c r="G199" s="44">
        <v>0</v>
      </c>
      <c r="H199" s="44">
        <v>0</v>
      </c>
      <c r="I199" s="45">
        <v>100</v>
      </c>
    </row>
    <row r="200" spans="1:9" ht="31.5" x14ac:dyDescent="0.25">
      <c r="A200" s="34">
        <v>46</v>
      </c>
      <c r="B200" s="35" t="s">
        <v>478</v>
      </c>
      <c r="C200" s="36">
        <v>20</v>
      </c>
      <c r="D200" s="36">
        <v>46</v>
      </c>
      <c r="E200" s="36">
        <v>0</v>
      </c>
      <c r="F200" s="36">
        <v>0</v>
      </c>
      <c r="G200" s="36">
        <v>0</v>
      </c>
      <c r="H200" s="36">
        <v>0</v>
      </c>
      <c r="I200" s="37">
        <v>66</v>
      </c>
    </row>
    <row r="201" spans="1:9" ht="15.75" x14ac:dyDescent="0.25">
      <c r="A201" s="38" t="s">
        <v>657</v>
      </c>
      <c r="B201" s="39" t="s">
        <v>658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1">
        <v>0</v>
      </c>
    </row>
    <row r="202" spans="1:9" ht="15.75" x14ac:dyDescent="0.25">
      <c r="A202" s="38" t="s">
        <v>657</v>
      </c>
      <c r="B202" s="39" t="s">
        <v>659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1">
        <v>0</v>
      </c>
    </row>
    <row r="203" spans="1:9" ht="15.75" x14ac:dyDescent="0.25">
      <c r="A203" s="42" t="s">
        <v>657</v>
      </c>
      <c r="B203" s="43" t="s">
        <v>660</v>
      </c>
      <c r="C203" s="44">
        <v>20</v>
      </c>
      <c r="D203" s="44">
        <v>46</v>
      </c>
      <c r="E203" s="44">
        <v>0</v>
      </c>
      <c r="F203" s="44">
        <v>0</v>
      </c>
      <c r="G203" s="44">
        <v>0</v>
      </c>
      <c r="H203" s="44">
        <v>0</v>
      </c>
      <c r="I203" s="45">
        <v>66</v>
      </c>
    </row>
    <row r="204" spans="1:9" ht="63" x14ac:dyDescent="0.25">
      <c r="A204" s="34">
        <v>47</v>
      </c>
      <c r="B204" s="35" t="s">
        <v>485</v>
      </c>
      <c r="C204" s="36">
        <v>100</v>
      </c>
      <c r="D204" s="36">
        <v>50</v>
      </c>
      <c r="E204" s="36">
        <v>50</v>
      </c>
      <c r="F204" s="36">
        <v>40</v>
      </c>
      <c r="G204" s="36">
        <v>10</v>
      </c>
      <c r="H204" s="36">
        <v>0</v>
      </c>
      <c r="I204" s="37">
        <v>250</v>
      </c>
    </row>
    <row r="205" spans="1:9" ht="15.75" x14ac:dyDescent="0.25">
      <c r="A205" s="38" t="s">
        <v>657</v>
      </c>
      <c r="B205" s="39" t="s">
        <v>658</v>
      </c>
      <c r="C205" s="40">
        <v>100</v>
      </c>
      <c r="D205" s="40">
        <v>50</v>
      </c>
      <c r="E205" s="40">
        <v>50</v>
      </c>
      <c r="F205" s="40">
        <v>40</v>
      </c>
      <c r="G205" s="40">
        <v>10</v>
      </c>
      <c r="H205" s="40">
        <v>0</v>
      </c>
      <c r="I205" s="41">
        <v>250</v>
      </c>
    </row>
    <row r="206" spans="1:9" ht="15.75" x14ac:dyDescent="0.25">
      <c r="A206" s="38" t="s">
        <v>657</v>
      </c>
      <c r="B206" s="39" t="s">
        <v>659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1">
        <v>0</v>
      </c>
    </row>
    <row r="207" spans="1:9" ht="15.75" x14ac:dyDescent="0.25">
      <c r="A207" s="42" t="s">
        <v>657</v>
      </c>
      <c r="B207" s="43" t="s">
        <v>660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5">
        <v>0</v>
      </c>
    </row>
    <row r="208" spans="1:9" ht="47.25" x14ac:dyDescent="0.25">
      <c r="A208" s="34">
        <v>48</v>
      </c>
      <c r="B208" s="35" t="s">
        <v>496</v>
      </c>
      <c r="C208" s="36">
        <v>45.6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7">
        <v>45.6</v>
      </c>
    </row>
    <row r="209" spans="1:9" ht="15.75" x14ac:dyDescent="0.25">
      <c r="A209" s="38" t="s">
        <v>657</v>
      </c>
      <c r="B209" s="39" t="s">
        <v>658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1">
        <v>0</v>
      </c>
    </row>
    <row r="210" spans="1:9" ht="15.75" x14ac:dyDescent="0.25">
      <c r="A210" s="38" t="s">
        <v>657</v>
      </c>
      <c r="B210" s="39" t="s">
        <v>659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1">
        <v>0</v>
      </c>
    </row>
    <row r="211" spans="1:9" ht="15.75" x14ac:dyDescent="0.25">
      <c r="A211" s="42" t="s">
        <v>657</v>
      </c>
      <c r="B211" s="43" t="s">
        <v>660</v>
      </c>
      <c r="C211" s="44">
        <v>45.6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5">
        <v>45.6</v>
      </c>
    </row>
    <row r="212" spans="1:9" ht="15.75" x14ac:dyDescent="0.25">
      <c r="A212" s="38" t="s">
        <v>657</v>
      </c>
      <c r="B212" s="56" t="s">
        <v>591</v>
      </c>
      <c r="C212" s="57">
        <v>961.10550000000001</v>
      </c>
      <c r="D212" s="57">
        <v>1027.5</v>
      </c>
      <c r="E212" s="57">
        <v>130</v>
      </c>
      <c r="F212" s="57">
        <v>140.5</v>
      </c>
      <c r="G212" s="57">
        <v>100</v>
      </c>
      <c r="H212" s="57">
        <v>0</v>
      </c>
      <c r="I212" s="58">
        <v>2359.1055000000001</v>
      </c>
    </row>
    <row r="213" spans="1:9" ht="15.75" x14ac:dyDescent="0.25">
      <c r="A213" s="38" t="s">
        <v>657</v>
      </c>
      <c r="B213" s="59" t="s">
        <v>592</v>
      </c>
      <c r="C213" s="60">
        <v>954.10550000000001</v>
      </c>
      <c r="D213" s="60">
        <v>1017.5</v>
      </c>
      <c r="E213" s="60">
        <v>125</v>
      </c>
      <c r="F213" s="60">
        <v>140.5</v>
      </c>
      <c r="G213" s="60">
        <v>100</v>
      </c>
      <c r="H213" s="60">
        <v>0</v>
      </c>
      <c r="I213" s="61">
        <v>2337.1055000000001</v>
      </c>
    </row>
    <row r="214" spans="1:9" ht="47.25" x14ac:dyDescent="0.25">
      <c r="A214" s="34">
        <v>49</v>
      </c>
      <c r="B214" s="35" t="s">
        <v>430</v>
      </c>
      <c r="C214" s="36">
        <v>178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7">
        <v>178</v>
      </c>
    </row>
    <row r="215" spans="1:9" ht="15.75" x14ac:dyDescent="0.25">
      <c r="A215" s="38" t="s">
        <v>657</v>
      </c>
      <c r="B215" s="39" t="s">
        <v>658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1">
        <v>0</v>
      </c>
    </row>
    <row r="216" spans="1:9" ht="15.75" x14ac:dyDescent="0.25">
      <c r="A216" s="38" t="s">
        <v>657</v>
      </c>
      <c r="B216" s="39" t="s">
        <v>659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1">
        <v>0</v>
      </c>
    </row>
    <row r="217" spans="1:9" ht="15.75" x14ac:dyDescent="0.25">
      <c r="A217" s="42" t="s">
        <v>657</v>
      </c>
      <c r="B217" s="43" t="s">
        <v>660</v>
      </c>
      <c r="C217" s="44">
        <v>178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5">
        <v>178</v>
      </c>
    </row>
    <row r="218" spans="1:9" ht="31.5" x14ac:dyDescent="0.25">
      <c r="A218" s="34">
        <v>50</v>
      </c>
      <c r="B218" s="35" t="s">
        <v>435</v>
      </c>
      <c r="C218" s="36">
        <v>16.25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7">
        <v>16.25</v>
      </c>
    </row>
    <row r="219" spans="1:9" ht="15.75" x14ac:dyDescent="0.25">
      <c r="A219" s="38" t="s">
        <v>657</v>
      </c>
      <c r="B219" s="39" t="s">
        <v>658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1">
        <v>0</v>
      </c>
    </row>
    <row r="220" spans="1:9" ht="15.75" x14ac:dyDescent="0.25">
      <c r="A220" s="38" t="s">
        <v>657</v>
      </c>
      <c r="B220" s="39" t="s">
        <v>659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1">
        <v>0</v>
      </c>
    </row>
    <row r="221" spans="1:9" ht="15.75" x14ac:dyDescent="0.25">
      <c r="A221" s="42" t="s">
        <v>657</v>
      </c>
      <c r="B221" s="43" t="s">
        <v>660</v>
      </c>
      <c r="C221" s="44">
        <v>16.25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5">
        <v>16.25</v>
      </c>
    </row>
    <row r="222" spans="1:9" ht="31.5" x14ac:dyDescent="0.25">
      <c r="A222" s="34">
        <v>51</v>
      </c>
      <c r="B222" s="35" t="s">
        <v>436</v>
      </c>
      <c r="C222" s="36">
        <v>10.205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7">
        <v>10.205</v>
      </c>
    </row>
    <row r="223" spans="1:9" ht="15.75" x14ac:dyDescent="0.25">
      <c r="A223" s="38" t="s">
        <v>657</v>
      </c>
      <c r="B223" s="39" t="s">
        <v>658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1">
        <v>0</v>
      </c>
    </row>
    <row r="224" spans="1:9" ht="15.75" x14ac:dyDescent="0.25">
      <c r="A224" s="38" t="s">
        <v>657</v>
      </c>
      <c r="B224" s="39" t="s">
        <v>659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1">
        <v>0</v>
      </c>
    </row>
    <row r="225" spans="1:9" ht="15.75" x14ac:dyDescent="0.25">
      <c r="A225" s="42" t="s">
        <v>657</v>
      </c>
      <c r="B225" s="43" t="s">
        <v>660</v>
      </c>
      <c r="C225" s="44">
        <v>10.205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5">
        <v>10.205</v>
      </c>
    </row>
    <row r="226" spans="1:9" ht="31.5" x14ac:dyDescent="0.25">
      <c r="A226" s="34">
        <v>52</v>
      </c>
      <c r="B226" s="35" t="s">
        <v>437</v>
      </c>
      <c r="C226" s="36">
        <v>42</v>
      </c>
      <c r="D226" s="36">
        <v>78</v>
      </c>
      <c r="E226" s="36">
        <v>0</v>
      </c>
      <c r="F226" s="36">
        <v>0</v>
      </c>
      <c r="G226" s="36">
        <v>0</v>
      </c>
      <c r="H226" s="36">
        <v>0</v>
      </c>
      <c r="I226" s="37">
        <v>120</v>
      </c>
    </row>
    <row r="227" spans="1:9" ht="15.75" x14ac:dyDescent="0.25">
      <c r="A227" s="38" t="s">
        <v>657</v>
      </c>
      <c r="B227" s="39" t="s">
        <v>658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1">
        <v>0</v>
      </c>
    </row>
    <row r="228" spans="1:9" ht="15.75" x14ac:dyDescent="0.25">
      <c r="A228" s="38" t="s">
        <v>657</v>
      </c>
      <c r="B228" s="39" t="s">
        <v>659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1">
        <v>0</v>
      </c>
    </row>
    <row r="229" spans="1:9" ht="15.75" x14ac:dyDescent="0.25">
      <c r="A229" s="42" t="s">
        <v>657</v>
      </c>
      <c r="B229" s="43" t="s">
        <v>660</v>
      </c>
      <c r="C229" s="44">
        <v>42</v>
      </c>
      <c r="D229" s="44">
        <v>78</v>
      </c>
      <c r="E229" s="44">
        <v>0</v>
      </c>
      <c r="F229" s="44">
        <v>0</v>
      </c>
      <c r="G229" s="44">
        <v>0</v>
      </c>
      <c r="H229" s="44">
        <v>0</v>
      </c>
      <c r="I229" s="45">
        <v>120</v>
      </c>
    </row>
    <row r="230" spans="1:9" ht="31.5" x14ac:dyDescent="0.25">
      <c r="A230" s="34">
        <v>53</v>
      </c>
      <c r="B230" s="35" t="s">
        <v>438</v>
      </c>
      <c r="C230" s="36">
        <v>14.3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7">
        <v>14.3</v>
      </c>
    </row>
    <row r="231" spans="1:9" ht="15.75" x14ac:dyDescent="0.25">
      <c r="A231" s="38" t="s">
        <v>657</v>
      </c>
      <c r="B231" s="39" t="s">
        <v>658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1">
        <v>0</v>
      </c>
    </row>
    <row r="232" spans="1:9" ht="15.75" x14ac:dyDescent="0.25">
      <c r="A232" s="38" t="s">
        <v>657</v>
      </c>
      <c r="B232" s="39" t="s">
        <v>659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1">
        <v>0</v>
      </c>
    </row>
    <row r="233" spans="1:9" ht="15.75" x14ac:dyDescent="0.25">
      <c r="A233" s="42" t="s">
        <v>657</v>
      </c>
      <c r="B233" s="43" t="s">
        <v>660</v>
      </c>
      <c r="C233" s="44">
        <v>14.3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5">
        <v>14.3</v>
      </c>
    </row>
    <row r="234" spans="1:9" ht="47.25" x14ac:dyDescent="0.25">
      <c r="A234" s="34">
        <v>54</v>
      </c>
      <c r="B234" s="35" t="s">
        <v>439</v>
      </c>
      <c r="C234" s="36">
        <v>15.4505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7">
        <v>15.4505</v>
      </c>
    </row>
    <row r="235" spans="1:9" ht="15.75" x14ac:dyDescent="0.25">
      <c r="A235" s="38" t="s">
        <v>657</v>
      </c>
      <c r="B235" s="39" t="s">
        <v>658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1">
        <v>0</v>
      </c>
    </row>
    <row r="236" spans="1:9" ht="15.75" x14ac:dyDescent="0.25">
      <c r="A236" s="38" t="s">
        <v>657</v>
      </c>
      <c r="B236" s="39" t="s">
        <v>659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1">
        <v>0</v>
      </c>
    </row>
    <row r="237" spans="1:9" ht="15.75" x14ac:dyDescent="0.25">
      <c r="A237" s="42" t="s">
        <v>657</v>
      </c>
      <c r="B237" s="43" t="s">
        <v>660</v>
      </c>
      <c r="C237" s="44">
        <v>15.4505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5">
        <v>15.4505</v>
      </c>
    </row>
    <row r="238" spans="1:9" ht="47.25" x14ac:dyDescent="0.25">
      <c r="A238" s="34">
        <v>55</v>
      </c>
      <c r="B238" s="35" t="s">
        <v>441</v>
      </c>
      <c r="C238" s="36">
        <v>448</v>
      </c>
      <c r="D238" s="36">
        <v>832</v>
      </c>
      <c r="E238" s="36">
        <v>0</v>
      </c>
      <c r="F238" s="36">
        <v>0</v>
      </c>
      <c r="G238" s="36">
        <v>0</v>
      </c>
      <c r="H238" s="36">
        <v>0</v>
      </c>
      <c r="I238" s="37">
        <v>1280</v>
      </c>
    </row>
    <row r="239" spans="1:9" ht="15.75" x14ac:dyDescent="0.25">
      <c r="A239" s="38" t="s">
        <v>657</v>
      </c>
      <c r="B239" s="39" t="s">
        <v>658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1">
        <v>0</v>
      </c>
    </row>
    <row r="240" spans="1:9" ht="15.75" x14ac:dyDescent="0.25">
      <c r="A240" s="38" t="s">
        <v>657</v>
      </c>
      <c r="B240" s="39" t="s">
        <v>659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1">
        <v>0</v>
      </c>
    </row>
    <row r="241" spans="1:9" ht="15.75" x14ac:dyDescent="0.25">
      <c r="A241" s="42" t="s">
        <v>657</v>
      </c>
      <c r="B241" s="43" t="s">
        <v>660</v>
      </c>
      <c r="C241" s="44">
        <v>448</v>
      </c>
      <c r="D241" s="44">
        <v>832</v>
      </c>
      <c r="E241" s="44">
        <v>0</v>
      </c>
      <c r="F241" s="44">
        <v>0</v>
      </c>
      <c r="G241" s="44">
        <v>0</v>
      </c>
      <c r="H241" s="44">
        <v>0</v>
      </c>
      <c r="I241" s="45">
        <v>1280</v>
      </c>
    </row>
    <row r="242" spans="1:9" ht="31.5" x14ac:dyDescent="0.25">
      <c r="A242" s="34">
        <v>56</v>
      </c>
      <c r="B242" s="35" t="s">
        <v>456</v>
      </c>
      <c r="C242" s="36">
        <v>10</v>
      </c>
      <c r="D242" s="36">
        <v>17.5</v>
      </c>
      <c r="E242" s="36">
        <v>15</v>
      </c>
      <c r="F242" s="36">
        <v>0</v>
      </c>
      <c r="G242" s="36">
        <v>0</v>
      </c>
      <c r="H242" s="36">
        <v>0</v>
      </c>
      <c r="I242" s="37">
        <v>42.5</v>
      </c>
    </row>
    <row r="243" spans="1:9" ht="15.75" x14ac:dyDescent="0.25">
      <c r="A243" s="38" t="s">
        <v>657</v>
      </c>
      <c r="B243" s="39" t="s">
        <v>658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1">
        <v>0</v>
      </c>
    </row>
    <row r="244" spans="1:9" ht="15.75" x14ac:dyDescent="0.25">
      <c r="A244" s="38" t="s">
        <v>657</v>
      </c>
      <c r="B244" s="39" t="s">
        <v>659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1">
        <v>0</v>
      </c>
    </row>
    <row r="245" spans="1:9" ht="15.75" x14ac:dyDescent="0.25">
      <c r="A245" s="42" t="s">
        <v>657</v>
      </c>
      <c r="B245" s="43" t="s">
        <v>660</v>
      </c>
      <c r="C245" s="44">
        <v>10</v>
      </c>
      <c r="D245" s="44">
        <v>17.5</v>
      </c>
      <c r="E245" s="44">
        <v>15</v>
      </c>
      <c r="F245" s="44">
        <v>0</v>
      </c>
      <c r="G245" s="44">
        <v>0</v>
      </c>
      <c r="H245" s="44">
        <v>0</v>
      </c>
      <c r="I245" s="45">
        <v>42.5</v>
      </c>
    </row>
    <row r="246" spans="1:9" ht="31.5" x14ac:dyDescent="0.25">
      <c r="A246" s="34">
        <v>57</v>
      </c>
      <c r="B246" s="35" t="s">
        <v>458</v>
      </c>
      <c r="C246" s="36">
        <v>0</v>
      </c>
      <c r="D246" s="36">
        <v>15</v>
      </c>
      <c r="E246" s="36">
        <v>15</v>
      </c>
      <c r="F246" s="36">
        <v>15.5</v>
      </c>
      <c r="G246" s="36">
        <v>0</v>
      </c>
      <c r="H246" s="36">
        <v>0</v>
      </c>
      <c r="I246" s="37">
        <v>45.5</v>
      </c>
    </row>
    <row r="247" spans="1:9" ht="15.75" x14ac:dyDescent="0.25">
      <c r="A247" s="38" t="s">
        <v>657</v>
      </c>
      <c r="B247" s="39" t="s">
        <v>658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1">
        <v>0</v>
      </c>
    </row>
    <row r="248" spans="1:9" ht="15.75" x14ac:dyDescent="0.25">
      <c r="A248" s="38" t="s">
        <v>657</v>
      </c>
      <c r="B248" s="39" t="s">
        <v>659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1">
        <v>0</v>
      </c>
    </row>
    <row r="249" spans="1:9" ht="15.75" x14ac:dyDescent="0.25">
      <c r="A249" s="42" t="s">
        <v>657</v>
      </c>
      <c r="B249" s="43" t="s">
        <v>660</v>
      </c>
      <c r="C249" s="44">
        <v>0</v>
      </c>
      <c r="D249" s="44">
        <v>15</v>
      </c>
      <c r="E249" s="44">
        <v>15</v>
      </c>
      <c r="F249" s="44">
        <v>15.5</v>
      </c>
      <c r="G249" s="44">
        <v>0</v>
      </c>
      <c r="H249" s="44">
        <v>0</v>
      </c>
      <c r="I249" s="45">
        <v>45.5</v>
      </c>
    </row>
    <row r="250" spans="1:9" ht="31.5" x14ac:dyDescent="0.25">
      <c r="A250" s="34">
        <v>58</v>
      </c>
      <c r="B250" s="35" t="s">
        <v>481</v>
      </c>
      <c r="C250" s="36">
        <v>60</v>
      </c>
      <c r="D250" s="36">
        <v>75</v>
      </c>
      <c r="E250" s="36">
        <v>95</v>
      </c>
      <c r="F250" s="36">
        <v>125</v>
      </c>
      <c r="G250" s="36">
        <v>100</v>
      </c>
      <c r="H250" s="36">
        <v>0</v>
      </c>
      <c r="I250" s="37">
        <v>455</v>
      </c>
    </row>
    <row r="251" spans="1:9" ht="15.75" x14ac:dyDescent="0.25">
      <c r="A251" s="38" t="s">
        <v>657</v>
      </c>
      <c r="B251" s="39" t="s">
        <v>658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1">
        <v>0</v>
      </c>
    </row>
    <row r="252" spans="1:9" ht="15.75" x14ac:dyDescent="0.25">
      <c r="A252" s="38" t="s">
        <v>657</v>
      </c>
      <c r="B252" s="39" t="s">
        <v>659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1">
        <v>0</v>
      </c>
    </row>
    <row r="253" spans="1:9" ht="15.75" x14ac:dyDescent="0.25">
      <c r="A253" s="42" t="s">
        <v>657</v>
      </c>
      <c r="B253" s="43" t="s">
        <v>660</v>
      </c>
      <c r="C253" s="44">
        <v>60</v>
      </c>
      <c r="D253" s="44">
        <v>75</v>
      </c>
      <c r="E253" s="44">
        <v>95</v>
      </c>
      <c r="F253" s="44">
        <v>125</v>
      </c>
      <c r="G253" s="44">
        <v>100</v>
      </c>
      <c r="H253" s="44">
        <v>0</v>
      </c>
      <c r="I253" s="45">
        <v>455</v>
      </c>
    </row>
    <row r="254" spans="1:9" ht="47.25" x14ac:dyDescent="0.25">
      <c r="A254" s="34">
        <v>59</v>
      </c>
      <c r="B254" s="35" t="s">
        <v>507</v>
      </c>
      <c r="C254" s="36">
        <v>23.400000000000002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7">
        <v>23.400000000000002</v>
      </c>
    </row>
    <row r="255" spans="1:9" ht="15.75" x14ac:dyDescent="0.25">
      <c r="A255" s="38" t="s">
        <v>657</v>
      </c>
      <c r="B255" s="39" t="s">
        <v>658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1">
        <v>0</v>
      </c>
    </row>
    <row r="256" spans="1:9" ht="15.75" x14ac:dyDescent="0.25">
      <c r="A256" s="38" t="s">
        <v>657</v>
      </c>
      <c r="B256" s="39" t="s">
        <v>659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1">
        <v>0</v>
      </c>
    </row>
    <row r="257" spans="1:9" ht="15.75" x14ac:dyDescent="0.25">
      <c r="A257" s="42" t="s">
        <v>657</v>
      </c>
      <c r="B257" s="43" t="s">
        <v>660</v>
      </c>
      <c r="C257" s="44">
        <v>23.400000000000002</v>
      </c>
      <c r="D257" s="44">
        <v>0</v>
      </c>
      <c r="E257" s="44">
        <v>0</v>
      </c>
      <c r="F257" s="44">
        <v>0</v>
      </c>
      <c r="G257" s="44">
        <v>0</v>
      </c>
      <c r="H257" s="44">
        <v>0</v>
      </c>
      <c r="I257" s="45">
        <v>23.400000000000002</v>
      </c>
    </row>
    <row r="258" spans="1:9" ht="31.5" x14ac:dyDescent="0.25">
      <c r="A258" s="34">
        <v>60</v>
      </c>
      <c r="B258" s="35" t="s">
        <v>509</v>
      </c>
      <c r="C258" s="36">
        <v>136.5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7">
        <v>136.5</v>
      </c>
    </row>
    <row r="259" spans="1:9" ht="15.75" x14ac:dyDescent="0.25">
      <c r="A259" s="38" t="s">
        <v>657</v>
      </c>
      <c r="B259" s="39" t="s">
        <v>658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1">
        <v>0</v>
      </c>
    </row>
    <row r="260" spans="1:9" ht="15.75" x14ac:dyDescent="0.25">
      <c r="A260" s="38" t="s">
        <v>657</v>
      </c>
      <c r="B260" s="39" t="s">
        <v>659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1">
        <v>0</v>
      </c>
    </row>
    <row r="261" spans="1:9" ht="15.75" x14ac:dyDescent="0.25">
      <c r="A261" s="42" t="s">
        <v>657</v>
      </c>
      <c r="B261" s="43" t="s">
        <v>660</v>
      </c>
      <c r="C261" s="44">
        <v>136.5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5">
        <v>136.5</v>
      </c>
    </row>
    <row r="262" spans="1:9" ht="15.75" x14ac:dyDescent="0.25">
      <c r="A262" s="38" t="s">
        <v>657</v>
      </c>
      <c r="B262" s="59" t="s">
        <v>607</v>
      </c>
      <c r="C262" s="60">
        <v>7</v>
      </c>
      <c r="D262" s="60">
        <v>10</v>
      </c>
      <c r="E262" s="60">
        <v>5</v>
      </c>
      <c r="F262" s="60">
        <v>0</v>
      </c>
      <c r="G262" s="60">
        <v>0</v>
      </c>
      <c r="H262" s="60">
        <v>0</v>
      </c>
      <c r="I262" s="61">
        <v>22</v>
      </c>
    </row>
    <row r="263" spans="1:9" ht="31.5" x14ac:dyDescent="0.25">
      <c r="A263" s="34">
        <v>61</v>
      </c>
      <c r="B263" s="35" t="s">
        <v>443</v>
      </c>
      <c r="C263" s="36">
        <v>7</v>
      </c>
      <c r="D263" s="36">
        <v>5</v>
      </c>
      <c r="E263" s="36">
        <v>5</v>
      </c>
      <c r="F263" s="36">
        <v>0</v>
      </c>
      <c r="G263" s="36">
        <v>0</v>
      </c>
      <c r="H263" s="36">
        <v>0</v>
      </c>
      <c r="I263" s="37">
        <v>17</v>
      </c>
    </row>
    <row r="264" spans="1:9" ht="15.75" x14ac:dyDescent="0.25">
      <c r="A264" s="38" t="s">
        <v>657</v>
      </c>
      <c r="B264" s="39" t="s">
        <v>658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1">
        <v>0</v>
      </c>
    </row>
    <row r="265" spans="1:9" ht="15.75" x14ac:dyDescent="0.25">
      <c r="A265" s="38" t="s">
        <v>657</v>
      </c>
      <c r="B265" s="39" t="s">
        <v>659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1">
        <v>0</v>
      </c>
    </row>
    <row r="266" spans="1:9" ht="15.75" x14ac:dyDescent="0.25">
      <c r="A266" s="42" t="s">
        <v>657</v>
      </c>
      <c r="B266" s="43" t="s">
        <v>660</v>
      </c>
      <c r="C266" s="44">
        <v>7</v>
      </c>
      <c r="D266" s="44">
        <v>5</v>
      </c>
      <c r="E266" s="44">
        <v>5</v>
      </c>
      <c r="F266" s="44">
        <v>0</v>
      </c>
      <c r="G266" s="44">
        <v>0</v>
      </c>
      <c r="H266" s="44">
        <v>0</v>
      </c>
      <c r="I266" s="45">
        <v>17</v>
      </c>
    </row>
    <row r="267" spans="1:9" ht="47.25" x14ac:dyDescent="0.25">
      <c r="A267" s="34">
        <v>62</v>
      </c>
      <c r="B267" s="35" t="s">
        <v>508</v>
      </c>
      <c r="C267" s="36">
        <v>0</v>
      </c>
      <c r="D267" s="36">
        <v>5</v>
      </c>
      <c r="E267" s="36">
        <v>0</v>
      </c>
      <c r="F267" s="36">
        <v>0</v>
      </c>
      <c r="G267" s="36">
        <v>0</v>
      </c>
      <c r="H267" s="36">
        <v>0</v>
      </c>
      <c r="I267" s="37">
        <v>5</v>
      </c>
    </row>
    <row r="268" spans="1:9" ht="15.75" x14ac:dyDescent="0.25">
      <c r="A268" s="38" t="s">
        <v>657</v>
      </c>
      <c r="B268" s="39" t="s">
        <v>658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1">
        <v>0</v>
      </c>
    </row>
    <row r="269" spans="1:9" ht="15.75" x14ac:dyDescent="0.25">
      <c r="A269" s="38" t="s">
        <v>657</v>
      </c>
      <c r="B269" s="39" t="s">
        <v>659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1">
        <v>0</v>
      </c>
    </row>
    <row r="270" spans="1:9" ht="15.75" x14ac:dyDescent="0.25">
      <c r="A270" s="42" t="s">
        <v>657</v>
      </c>
      <c r="B270" s="43" t="s">
        <v>660</v>
      </c>
      <c r="C270" s="44">
        <v>0</v>
      </c>
      <c r="D270" s="44">
        <v>5</v>
      </c>
      <c r="E270" s="44">
        <v>0</v>
      </c>
      <c r="F270" s="44">
        <v>0</v>
      </c>
      <c r="G270" s="44">
        <v>0</v>
      </c>
      <c r="H270" s="44">
        <v>0</v>
      </c>
      <c r="I270" s="45">
        <v>5</v>
      </c>
    </row>
    <row r="271" spans="1:9" ht="15.75" x14ac:dyDescent="0.25">
      <c r="A271" s="38" t="s">
        <v>657</v>
      </c>
      <c r="B271" s="56" t="s">
        <v>610</v>
      </c>
      <c r="C271" s="57">
        <v>1166</v>
      </c>
      <c r="D271" s="57">
        <v>1788</v>
      </c>
      <c r="E271" s="57">
        <v>2060</v>
      </c>
      <c r="F271" s="57">
        <v>2356</v>
      </c>
      <c r="G271" s="57">
        <v>3100</v>
      </c>
      <c r="H271" s="57">
        <v>2480</v>
      </c>
      <c r="I271" s="58">
        <v>12950</v>
      </c>
    </row>
    <row r="272" spans="1:9" ht="15.75" x14ac:dyDescent="0.25">
      <c r="A272" s="38" t="s">
        <v>657</v>
      </c>
      <c r="B272" s="59" t="s">
        <v>8</v>
      </c>
      <c r="C272" s="60">
        <v>1116</v>
      </c>
      <c r="D272" s="60">
        <v>1488</v>
      </c>
      <c r="E272" s="60">
        <v>1860</v>
      </c>
      <c r="F272" s="60">
        <v>2356</v>
      </c>
      <c r="G272" s="60">
        <v>3100</v>
      </c>
      <c r="H272" s="60">
        <v>2480</v>
      </c>
      <c r="I272" s="61">
        <v>12400</v>
      </c>
    </row>
    <row r="273" spans="1:9" ht="47.25" x14ac:dyDescent="0.25">
      <c r="A273" s="34">
        <v>63</v>
      </c>
      <c r="B273" s="35" t="s">
        <v>511</v>
      </c>
      <c r="C273" s="36">
        <v>1116</v>
      </c>
      <c r="D273" s="36">
        <v>1488</v>
      </c>
      <c r="E273" s="36">
        <v>1860</v>
      </c>
      <c r="F273" s="36">
        <v>2356</v>
      </c>
      <c r="G273" s="36">
        <v>3100</v>
      </c>
      <c r="H273" s="36">
        <v>2480</v>
      </c>
      <c r="I273" s="37">
        <v>12400</v>
      </c>
    </row>
    <row r="274" spans="1:9" ht="15.75" x14ac:dyDescent="0.25">
      <c r="A274" s="38" t="s">
        <v>657</v>
      </c>
      <c r="B274" s="39" t="s">
        <v>658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1">
        <v>0</v>
      </c>
    </row>
    <row r="275" spans="1:9" ht="15.75" x14ac:dyDescent="0.25">
      <c r="A275" s="38" t="s">
        <v>657</v>
      </c>
      <c r="B275" s="39" t="s">
        <v>659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1">
        <v>0</v>
      </c>
    </row>
    <row r="276" spans="1:9" ht="15.75" x14ac:dyDescent="0.25">
      <c r="A276" s="42" t="s">
        <v>657</v>
      </c>
      <c r="B276" s="43" t="s">
        <v>660</v>
      </c>
      <c r="C276" s="44">
        <v>1116</v>
      </c>
      <c r="D276" s="44">
        <v>1488</v>
      </c>
      <c r="E276" s="44">
        <v>1860</v>
      </c>
      <c r="F276" s="44">
        <v>2356</v>
      </c>
      <c r="G276" s="44">
        <v>3100</v>
      </c>
      <c r="H276" s="44">
        <v>2480</v>
      </c>
      <c r="I276" s="45">
        <v>12400</v>
      </c>
    </row>
    <row r="277" spans="1:9" ht="15.75" x14ac:dyDescent="0.25">
      <c r="A277" s="38" t="s">
        <v>657</v>
      </c>
      <c r="B277" s="59" t="s">
        <v>612</v>
      </c>
      <c r="C277" s="60">
        <v>50</v>
      </c>
      <c r="D277" s="60">
        <v>300</v>
      </c>
      <c r="E277" s="60">
        <v>200</v>
      </c>
      <c r="F277" s="60">
        <v>0</v>
      </c>
      <c r="G277" s="60">
        <v>0</v>
      </c>
      <c r="H277" s="60">
        <v>0</v>
      </c>
      <c r="I277" s="61">
        <v>550</v>
      </c>
    </row>
    <row r="278" spans="1:9" ht="47.25" x14ac:dyDescent="0.25">
      <c r="A278" s="34">
        <v>64</v>
      </c>
      <c r="B278" s="35" t="s">
        <v>480</v>
      </c>
      <c r="C278" s="36">
        <v>50</v>
      </c>
      <c r="D278" s="36">
        <v>300</v>
      </c>
      <c r="E278" s="36">
        <v>200</v>
      </c>
      <c r="F278" s="36">
        <v>0</v>
      </c>
      <c r="G278" s="36">
        <v>0</v>
      </c>
      <c r="H278" s="36">
        <v>0</v>
      </c>
      <c r="I278" s="37">
        <v>550</v>
      </c>
    </row>
    <row r="279" spans="1:9" ht="15.75" x14ac:dyDescent="0.25">
      <c r="A279" s="38" t="s">
        <v>657</v>
      </c>
      <c r="B279" s="39" t="s">
        <v>658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1">
        <v>0</v>
      </c>
    </row>
    <row r="280" spans="1:9" ht="15.75" x14ac:dyDescent="0.25">
      <c r="A280" s="38" t="s">
        <v>657</v>
      </c>
      <c r="B280" s="39" t="s">
        <v>659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1">
        <v>0</v>
      </c>
    </row>
    <row r="281" spans="1:9" ht="15.75" x14ac:dyDescent="0.25">
      <c r="A281" s="42" t="s">
        <v>657</v>
      </c>
      <c r="B281" s="43" t="s">
        <v>660</v>
      </c>
      <c r="C281" s="44">
        <v>50</v>
      </c>
      <c r="D281" s="44">
        <v>300</v>
      </c>
      <c r="E281" s="44">
        <v>200</v>
      </c>
      <c r="F281" s="44">
        <v>0</v>
      </c>
      <c r="G281" s="44">
        <v>0</v>
      </c>
      <c r="H281" s="44">
        <v>0</v>
      </c>
      <c r="I281" s="45">
        <v>550</v>
      </c>
    </row>
    <row r="282" spans="1:9" ht="15.75" x14ac:dyDescent="0.25">
      <c r="A282" s="38" t="s">
        <v>657</v>
      </c>
      <c r="B282" s="59" t="s">
        <v>614</v>
      </c>
      <c r="C282" s="60">
        <v>7633.3703333333333</v>
      </c>
      <c r="D282" s="60">
        <v>13571.254333333334</v>
      </c>
      <c r="E282" s="60">
        <v>10012.675303030303</v>
      </c>
      <c r="F282" s="60">
        <v>10116.987303030302</v>
      </c>
      <c r="G282" s="60">
        <v>10273.455303030303</v>
      </c>
      <c r="H282" s="60">
        <v>10291.077303030303</v>
      </c>
      <c r="I282" s="61">
        <v>61898.819878787828</v>
      </c>
    </row>
    <row r="283" spans="1:9" ht="31.5" x14ac:dyDescent="0.25">
      <c r="A283" s="34">
        <v>65</v>
      </c>
      <c r="B283" s="35" t="s">
        <v>419</v>
      </c>
      <c r="C283" s="36">
        <v>1540.5333333333333</v>
      </c>
      <c r="D283" s="36">
        <v>2540.5333333333333</v>
      </c>
      <c r="E283" s="36">
        <v>3540.5333333333333</v>
      </c>
      <c r="F283" s="36">
        <v>3540.5333333333333</v>
      </c>
      <c r="G283" s="36">
        <v>3540.5333333333333</v>
      </c>
      <c r="H283" s="36">
        <v>3540.5333333333333</v>
      </c>
      <c r="I283" s="37">
        <v>18243.2</v>
      </c>
    </row>
    <row r="284" spans="1:9" ht="15.75" x14ac:dyDescent="0.25">
      <c r="A284" s="38" t="s">
        <v>657</v>
      </c>
      <c r="B284" s="39" t="s">
        <v>658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1">
        <v>0</v>
      </c>
    </row>
    <row r="285" spans="1:9" ht="15.75" x14ac:dyDescent="0.25">
      <c r="A285" s="38" t="s">
        <v>657</v>
      </c>
      <c r="B285" s="39" t="s">
        <v>659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1">
        <v>0</v>
      </c>
    </row>
    <row r="286" spans="1:9" ht="15.75" x14ac:dyDescent="0.25">
      <c r="A286" s="42" t="s">
        <v>657</v>
      </c>
      <c r="B286" s="43" t="s">
        <v>660</v>
      </c>
      <c r="C286" s="44">
        <v>1540.5333333333333</v>
      </c>
      <c r="D286" s="44">
        <v>2540.5333333333333</v>
      </c>
      <c r="E286" s="44">
        <v>3540.5333333333333</v>
      </c>
      <c r="F286" s="44">
        <v>3540.5333333333333</v>
      </c>
      <c r="G286" s="44">
        <v>3540.5333333333333</v>
      </c>
      <c r="H286" s="44">
        <v>3540.5333333333333</v>
      </c>
      <c r="I286" s="45">
        <v>18243.2</v>
      </c>
    </row>
    <row r="287" spans="1:9" ht="31.5" x14ac:dyDescent="0.25">
      <c r="A287" s="34">
        <v>66</v>
      </c>
      <c r="B287" s="35" t="s">
        <v>420</v>
      </c>
      <c r="C287" s="36">
        <v>788.66399999999999</v>
      </c>
      <c r="D287" s="36">
        <v>1314.44</v>
      </c>
      <c r="E287" s="36">
        <v>1460.4888888888888</v>
      </c>
      <c r="F287" s="36">
        <v>1460.4888888888888</v>
      </c>
      <c r="G287" s="36">
        <v>1460.4888888888888</v>
      </c>
      <c r="H287" s="36">
        <v>1460.4888888888888</v>
      </c>
      <c r="I287" s="37">
        <v>7945.0595555555565</v>
      </c>
    </row>
    <row r="288" spans="1:9" ht="15.75" x14ac:dyDescent="0.25">
      <c r="A288" s="38" t="s">
        <v>657</v>
      </c>
      <c r="B288" s="39" t="s">
        <v>658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1">
        <v>0</v>
      </c>
    </row>
    <row r="289" spans="1:9" ht="15.75" x14ac:dyDescent="0.25">
      <c r="A289" s="38" t="s">
        <v>657</v>
      </c>
      <c r="B289" s="39" t="s">
        <v>659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1">
        <v>0</v>
      </c>
    </row>
    <row r="290" spans="1:9" ht="15.75" x14ac:dyDescent="0.25">
      <c r="A290" s="42" t="s">
        <v>657</v>
      </c>
      <c r="B290" s="43" t="s">
        <v>660</v>
      </c>
      <c r="C290" s="44">
        <v>788.66399999999999</v>
      </c>
      <c r="D290" s="44">
        <v>1314.44</v>
      </c>
      <c r="E290" s="44">
        <v>1460.4888888888888</v>
      </c>
      <c r="F290" s="44">
        <v>1460.4888888888888</v>
      </c>
      <c r="G290" s="44">
        <v>1460.4888888888888</v>
      </c>
      <c r="H290" s="44">
        <v>1460.4888888888888</v>
      </c>
      <c r="I290" s="45">
        <v>7945.0595555555565</v>
      </c>
    </row>
    <row r="291" spans="1:9" ht="31.5" x14ac:dyDescent="0.25">
      <c r="A291" s="34">
        <v>67</v>
      </c>
      <c r="B291" s="35" t="s">
        <v>421</v>
      </c>
      <c r="C291" s="36">
        <v>430.584</v>
      </c>
      <c r="D291" s="36">
        <v>861.16800000000001</v>
      </c>
      <c r="E291" s="36">
        <v>978.6</v>
      </c>
      <c r="F291" s="36">
        <v>978.6</v>
      </c>
      <c r="G291" s="36">
        <v>978.6</v>
      </c>
      <c r="H291" s="36">
        <v>978.6</v>
      </c>
      <c r="I291" s="37">
        <v>5206.152</v>
      </c>
    </row>
    <row r="292" spans="1:9" ht="15.75" x14ac:dyDescent="0.25">
      <c r="A292" s="38" t="s">
        <v>657</v>
      </c>
      <c r="B292" s="39" t="s">
        <v>658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1">
        <v>0</v>
      </c>
    </row>
    <row r="293" spans="1:9" ht="15.75" x14ac:dyDescent="0.25">
      <c r="A293" s="38" t="s">
        <v>657</v>
      </c>
      <c r="B293" s="39" t="s">
        <v>659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1">
        <v>0</v>
      </c>
    </row>
    <row r="294" spans="1:9" ht="15.75" x14ac:dyDescent="0.25">
      <c r="A294" s="42" t="s">
        <v>657</v>
      </c>
      <c r="B294" s="43" t="s">
        <v>660</v>
      </c>
      <c r="C294" s="44">
        <v>430.584</v>
      </c>
      <c r="D294" s="44">
        <v>861.16800000000001</v>
      </c>
      <c r="E294" s="44">
        <v>978.6</v>
      </c>
      <c r="F294" s="44">
        <v>978.6</v>
      </c>
      <c r="G294" s="44">
        <v>978.6</v>
      </c>
      <c r="H294" s="44">
        <v>978.6</v>
      </c>
      <c r="I294" s="45">
        <v>5206.152</v>
      </c>
    </row>
    <row r="295" spans="1:9" ht="63" x14ac:dyDescent="0.25">
      <c r="A295" s="34">
        <v>68</v>
      </c>
      <c r="B295" s="35" t="s">
        <v>422</v>
      </c>
      <c r="C295" s="36">
        <v>297.47200000000004</v>
      </c>
      <c r="D295" s="36">
        <v>467.45600000000002</v>
      </c>
      <c r="E295" s="36">
        <v>531.20000000000005</v>
      </c>
      <c r="F295" s="36">
        <v>531.20000000000005</v>
      </c>
      <c r="G295" s="36">
        <v>531.20000000000005</v>
      </c>
      <c r="H295" s="36">
        <v>616.19200000000001</v>
      </c>
      <c r="I295" s="37">
        <v>2974.7200000000003</v>
      </c>
    </row>
    <row r="296" spans="1:9" ht="15.75" x14ac:dyDescent="0.25">
      <c r="A296" s="38" t="s">
        <v>657</v>
      </c>
      <c r="B296" s="39" t="s">
        <v>658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1">
        <v>0</v>
      </c>
    </row>
    <row r="297" spans="1:9" ht="15.75" x14ac:dyDescent="0.25">
      <c r="A297" s="38" t="s">
        <v>657</v>
      </c>
      <c r="B297" s="39" t="s">
        <v>659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1">
        <v>0</v>
      </c>
    </row>
    <row r="298" spans="1:9" ht="15.75" x14ac:dyDescent="0.25">
      <c r="A298" s="42" t="s">
        <v>657</v>
      </c>
      <c r="B298" s="43" t="s">
        <v>660</v>
      </c>
      <c r="C298" s="44">
        <v>297.47200000000004</v>
      </c>
      <c r="D298" s="44">
        <v>467.45600000000002</v>
      </c>
      <c r="E298" s="44">
        <v>531.20000000000005</v>
      </c>
      <c r="F298" s="44">
        <v>531.20000000000005</v>
      </c>
      <c r="G298" s="44">
        <v>531.20000000000005</v>
      </c>
      <c r="H298" s="44">
        <v>616.19200000000001</v>
      </c>
      <c r="I298" s="45">
        <v>2974.7200000000003</v>
      </c>
    </row>
    <row r="299" spans="1:9" ht="47.25" x14ac:dyDescent="0.25">
      <c r="A299" s="34">
        <v>69</v>
      </c>
      <c r="B299" s="35" t="s">
        <v>423</v>
      </c>
      <c r="C299" s="36">
        <v>342.11599999999999</v>
      </c>
      <c r="D299" s="36">
        <v>684.23199999999997</v>
      </c>
      <c r="E299" s="36">
        <v>777.5363636363636</v>
      </c>
      <c r="F299" s="36">
        <v>777.5363636363636</v>
      </c>
      <c r="G299" s="36">
        <v>777.5363636363636</v>
      </c>
      <c r="H299" s="36">
        <v>777.5363636363636</v>
      </c>
      <c r="I299" s="37">
        <v>4136.4934545454544</v>
      </c>
    </row>
    <row r="300" spans="1:9" ht="15.75" x14ac:dyDescent="0.25">
      <c r="A300" s="38" t="s">
        <v>657</v>
      </c>
      <c r="B300" s="39" t="s">
        <v>658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1">
        <v>0</v>
      </c>
    </row>
    <row r="301" spans="1:9" ht="15.75" x14ac:dyDescent="0.25">
      <c r="A301" s="38" t="s">
        <v>657</v>
      </c>
      <c r="B301" s="39" t="s">
        <v>659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1">
        <v>0</v>
      </c>
    </row>
    <row r="302" spans="1:9" ht="15.75" x14ac:dyDescent="0.25">
      <c r="A302" s="42" t="s">
        <v>657</v>
      </c>
      <c r="B302" s="43" t="s">
        <v>660</v>
      </c>
      <c r="C302" s="44">
        <v>342.11599999999999</v>
      </c>
      <c r="D302" s="44">
        <v>684.23199999999997</v>
      </c>
      <c r="E302" s="44">
        <v>777.5363636363636</v>
      </c>
      <c r="F302" s="44">
        <v>777.5363636363636</v>
      </c>
      <c r="G302" s="44">
        <v>777.5363636363636</v>
      </c>
      <c r="H302" s="44">
        <v>777.5363636363636</v>
      </c>
      <c r="I302" s="45">
        <v>4136.4934545454544</v>
      </c>
    </row>
    <row r="303" spans="1:9" ht="63" x14ac:dyDescent="0.25">
      <c r="A303" s="34">
        <v>70</v>
      </c>
      <c r="B303" s="35" t="s">
        <v>424</v>
      </c>
      <c r="C303" s="36">
        <v>356.87199999999996</v>
      </c>
      <c r="D303" s="36">
        <v>713.74399999999991</v>
      </c>
      <c r="E303" s="36">
        <v>811.07272727272721</v>
      </c>
      <c r="F303" s="36">
        <v>811.07272727272721</v>
      </c>
      <c r="G303" s="36">
        <v>811.07272727272721</v>
      </c>
      <c r="H303" s="36">
        <v>811.07272727272721</v>
      </c>
      <c r="I303" s="37">
        <v>4314.9069090909088</v>
      </c>
    </row>
    <row r="304" spans="1:9" ht="15.75" x14ac:dyDescent="0.25">
      <c r="A304" s="38" t="s">
        <v>657</v>
      </c>
      <c r="B304" s="39" t="s">
        <v>658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1">
        <v>0</v>
      </c>
    </row>
    <row r="305" spans="1:9" ht="15.75" x14ac:dyDescent="0.25">
      <c r="A305" s="38" t="s">
        <v>657</v>
      </c>
      <c r="B305" s="39" t="s">
        <v>659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1">
        <v>0</v>
      </c>
    </row>
    <row r="306" spans="1:9" ht="15.75" x14ac:dyDescent="0.25">
      <c r="A306" s="42" t="s">
        <v>657</v>
      </c>
      <c r="B306" s="43" t="s">
        <v>660</v>
      </c>
      <c r="C306" s="44">
        <v>356.87199999999996</v>
      </c>
      <c r="D306" s="44">
        <v>713.74399999999991</v>
      </c>
      <c r="E306" s="44">
        <v>811.07272727272721</v>
      </c>
      <c r="F306" s="44">
        <v>811.07272727272721</v>
      </c>
      <c r="G306" s="44">
        <v>811.07272727272721</v>
      </c>
      <c r="H306" s="44">
        <v>811.07272727272721</v>
      </c>
      <c r="I306" s="45">
        <v>4314.9069090909088</v>
      </c>
    </row>
    <row r="307" spans="1:9" ht="47.25" x14ac:dyDescent="0.25">
      <c r="A307" s="34">
        <v>71</v>
      </c>
      <c r="B307" s="35" t="s">
        <v>425</v>
      </c>
      <c r="C307" s="36">
        <v>242.42000000000002</v>
      </c>
      <c r="D307" s="36">
        <v>484.84000000000003</v>
      </c>
      <c r="E307" s="36">
        <v>550.9545454545455</v>
      </c>
      <c r="F307" s="36">
        <v>550.9545454545455</v>
      </c>
      <c r="G307" s="36">
        <v>550.9545454545455</v>
      </c>
      <c r="H307" s="36">
        <v>550.9545454545455</v>
      </c>
      <c r="I307" s="37">
        <v>2931.0781818181817</v>
      </c>
    </row>
    <row r="308" spans="1:9" ht="15.75" x14ac:dyDescent="0.25">
      <c r="A308" s="38" t="s">
        <v>657</v>
      </c>
      <c r="B308" s="39" t="s">
        <v>658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1">
        <v>0</v>
      </c>
    </row>
    <row r="309" spans="1:9" ht="15.75" x14ac:dyDescent="0.25">
      <c r="A309" s="38" t="s">
        <v>657</v>
      </c>
      <c r="B309" s="39" t="s">
        <v>659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1">
        <v>0</v>
      </c>
    </row>
    <row r="310" spans="1:9" ht="15.75" x14ac:dyDescent="0.25">
      <c r="A310" s="42" t="s">
        <v>657</v>
      </c>
      <c r="B310" s="43" t="s">
        <v>660</v>
      </c>
      <c r="C310" s="44">
        <v>242.42000000000002</v>
      </c>
      <c r="D310" s="44">
        <v>484.84000000000003</v>
      </c>
      <c r="E310" s="44">
        <v>550.9545454545455</v>
      </c>
      <c r="F310" s="44">
        <v>550.9545454545455</v>
      </c>
      <c r="G310" s="44">
        <v>550.9545454545455</v>
      </c>
      <c r="H310" s="44">
        <v>550.9545454545455</v>
      </c>
      <c r="I310" s="45">
        <v>2931.0781818181817</v>
      </c>
    </row>
    <row r="311" spans="1:9" ht="78.75" x14ac:dyDescent="0.25">
      <c r="A311" s="34">
        <v>72</v>
      </c>
      <c r="B311" s="35" t="s">
        <v>426</v>
      </c>
      <c r="C311" s="36">
        <v>220.57000000000002</v>
      </c>
      <c r="D311" s="36">
        <v>346.61</v>
      </c>
      <c r="E311" s="36">
        <v>393.875</v>
      </c>
      <c r="F311" s="36">
        <v>393.875</v>
      </c>
      <c r="G311" s="36">
        <v>393.875</v>
      </c>
      <c r="H311" s="36">
        <v>456.89499999999998</v>
      </c>
      <c r="I311" s="37">
        <v>2205.6999999999998</v>
      </c>
    </row>
    <row r="312" spans="1:9" ht="15.75" x14ac:dyDescent="0.25">
      <c r="A312" s="38" t="s">
        <v>657</v>
      </c>
      <c r="B312" s="39" t="s">
        <v>658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1">
        <v>0</v>
      </c>
    </row>
    <row r="313" spans="1:9" ht="15.75" x14ac:dyDescent="0.25">
      <c r="A313" s="38" t="s">
        <v>657</v>
      </c>
      <c r="B313" s="39" t="s">
        <v>659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1">
        <v>0</v>
      </c>
    </row>
    <row r="314" spans="1:9" ht="15.75" x14ac:dyDescent="0.25">
      <c r="A314" s="42" t="s">
        <v>657</v>
      </c>
      <c r="B314" s="43" t="s">
        <v>660</v>
      </c>
      <c r="C314" s="44">
        <v>220.57000000000002</v>
      </c>
      <c r="D314" s="44">
        <v>346.61</v>
      </c>
      <c r="E314" s="44">
        <v>393.875</v>
      </c>
      <c r="F314" s="44">
        <v>393.875</v>
      </c>
      <c r="G314" s="44">
        <v>393.875</v>
      </c>
      <c r="H314" s="44">
        <v>456.89499999999998</v>
      </c>
      <c r="I314" s="45">
        <v>2205.6999999999998</v>
      </c>
    </row>
    <row r="315" spans="1:9" ht="47.25" x14ac:dyDescent="0.25">
      <c r="A315" s="34">
        <v>73</v>
      </c>
      <c r="B315" s="35" t="s">
        <v>427</v>
      </c>
      <c r="C315" s="36">
        <v>311.71199999999999</v>
      </c>
      <c r="D315" s="36">
        <v>519.52</v>
      </c>
      <c r="E315" s="36">
        <v>577.24444444444441</v>
      </c>
      <c r="F315" s="36">
        <v>577.24444444444441</v>
      </c>
      <c r="G315" s="36">
        <v>577.24444444444441</v>
      </c>
      <c r="H315" s="36">
        <v>577.24444444444441</v>
      </c>
      <c r="I315" s="37">
        <v>3140.2097777777781</v>
      </c>
    </row>
    <row r="316" spans="1:9" ht="15.75" x14ac:dyDescent="0.25">
      <c r="A316" s="38" t="s">
        <v>657</v>
      </c>
      <c r="B316" s="39" t="s">
        <v>658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1">
        <v>0</v>
      </c>
    </row>
    <row r="317" spans="1:9" ht="15.75" x14ac:dyDescent="0.25">
      <c r="A317" s="38" t="s">
        <v>657</v>
      </c>
      <c r="B317" s="39" t="s">
        <v>659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1">
        <v>0</v>
      </c>
    </row>
    <row r="318" spans="1:9" ht="15.75" x14ac:dyDescent="0.25">
      <c r="A318" s="42" t="s">
        <v>657</v>
      </c>
      <c r="B318" s="43" t="s">
        <v>660</v>
      </c>
      <c r="C318" s="44">
        <v>311.71199999999999</v>
      </c>
      <c r="D318" s="44">
        <v>519.52</v>
      </c>
      <c r="E318" s="44">
        <v>577.24444444444441</v>
      </c>
      <c r="F318" s="44">
        <v>577.24444444444441</v>
      </c>
      <c r="G318" s="44">
        <v>577.24444444444441</v>
      </c>
      <c r="H318" s="44">
        <v>577.24444444444441</v>
      </c>
      <c r="I318" s="45">
        <v>3140.2097777777781</v>
      </c>
    </row>
    <row r="319" spans="1:9" ht="47.25" x14ac:dyDescent="0.25">
      <c r="A319" s="34">
        <v>74</v>
      </c>
      <c r="B319" s="35" t="s">
        <v>428</v>
      </c>
      <c r="C319" s="36">
        <v>234.702</v>
      </c>
      <c r="D319" s="36">
        <v>312.93600000000004</v>
      </c>
      <c r="E319" s="36">
        <v>391.17</v>
      </c>
      <c r="F319" s="36">
        <v>495.48200000000003</v>
      </c>
      <c r="G319" s="36">
        <v>651.95000000000005</v>
      </c>
      <c r="H319" s="36">
        <v>521.56000000000006</v>
      </c>
      <c r="I319" s="37">
        <v>2607.7999999999997</v>
      </c>
    </row>
    <row r="320" spans="1:9" ht="15.75" x14ac:dyDescent="0.25">
      <c r="A320" s="38" t="s">
        <v>657</v>
      </c>
      <c r="B320" s="39" t="s">
        <v>658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1">
        <v>0</v>
      </c>
    </row>
    <row r="321" spans="1:9" ht="15.75" x14ac:dyDescent="0.25">
      <c r="A321" s="38" t="s">
        <v>657</v>
      </c>
      <c r="B321" s="39" t="s">
        <v>659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1">
        <v>0</v>
      </c>
    </row>
    <row r="322" spans="1:9" ht="15.75" x14ac:dyDescent="0.25">
      <c r="A322" s="42" t="s">
        <v>657</v>
      </c>
      <c r="B322" s="43" t="s">
        <v>660</v>
      </c>
      <c r="C322" s="44">
        <v>234.702</v>
      </c>
      <c r="D322" s="44">
        <v>312.93600000000004</v>
      </c>
      <c r="E322" s="44">
        <v>391.17</v>
      </c>
      <c r="F322" s="44">
        <v>495.48200000000003</v>
      </c>
      <c r="G322" s="44">
        <v>651.95000000000005</v>
      </c>
      <c r="H322" s="44">
        <v>521.56000000000006</v>
      </c>
      <c r="I322" s="45">
        <v>2607.7999999999997</v>
      </c>
    </row>
    <row r="323" spans="1:9" ht="47.25" x14ac:dyDescent="0.25">
      <c r="A323" s="34">
        <v>75</v>
      </c>
      <c r="B323" s="35" t="s">
        <v>429</v>
      </c>
      <c r="C323" s="36">
        <v>2867.7249999999999</v>
      </c>
      <c r="D323" s="36">
        <v>5325.7750000000005</v>
      </c>
      <c r="E323" s="36">
        <v>0</v>
      </c>
      <c r="F323" s="36">
        <v>0</v>
      </c>
      <c r="G323" s="36">
        <v>0</v>
      </c>
      <c r="H323" s="36">
        <v>0</v>
      </c>
      <c r="I323" s="37">
        <v>8193.5</v>
      </c>
    </row>
    <row r="324" spans="1:9" ht="15.75" x14ac:dyDescent="0.25">
      <c r="A324" s="38" t="s">
        <v>657</v>
      </c>
      <c r="B324" s="39" t="s">
        <v>658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1">
        <v>0</v>
      </c>
    </row>
    <row r="325" spans="1:9" ht="15.75" x14ac:dyDescent="0.25">
      <c r="A325" s="38" t="s">
        <v>657</v>
      </c>
      <c r="B325" s="39" t="s">
        <v>659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1">
        <v>0</v>
      </c>
    </row>
    <row r="326" spans="1:9" ht="15.75" x14ac:dyDescent="0.25">
      <c r="A326" s="42" t="s">
        <v>657</v>
      </c>
      <c r="B326" s="43" t="s">
        <v>660</v>
      </c>
      <c r="C326" s="44">
        <v>2867.7249999999999</v>
      </c>
      <c r="D326" s="44">
        <v>5325.7750000000005</v>
      </c>
      <c r="E326" s="44">
        <v>0</v>
      </c>
      <c r="F326" s="44">
        <v>0</v>
      </c>
      <c r="G326" s="44">
        <v>0</v>
      </c>
      <c r="H326" s="44">
        <v>0</v>
      </c>
      <c r="I326" s="45">
        <v>8193.5</v>
      </c>
    </row>
    <row r="327" spans="1:9" ht="15.75" x14ac:dyDescent="0.25">
      <c r="A327" s="38" t="s">
        <v>657</v>
      </c>
      <c r="B327" s="59" t="s">
        <v>630</v>
      </c>
      <c r="C327" s="60">
        <v>0</v>
      </c>
      <c r="D327" s="60">
        <v>100</v>
      </c>
      <c r="E327" s="60">
        <v>700</v>
      </c>
      <c r="F327" s="60">
        <v>700</v>
      </c>
      <c r="G327" s="60">
        <v>700</v>
      </c>
      <c r="H327" s="60">
        <v>800</v>
      </c>
      <c r="I327" s="61">
        <v>3000</v>
      </c>
    </row>
    <row r="328" spans="1:9" ht="31.5" x14ac:dyDescent="0.25">
      <c r="A328" s="34">
        <v>76</v>
      </c>
      <c r="B328" s="35" t="s">
        <v>495</v>
      </c>
      <c r="C328" s="36">
        <v>0</v>
      </c>
      <c r="D328" s="36">
        <v>100</v>
      </c>
      <c r="E328" s="36">
        <v>700</v>
      </c>
      <c r="F328" s="36">
        <v>700</v>
      </c>
      <c r="G328" s="36">
        <v>700</v>
      </c>
      <c r="H328" s="36">
        <v>800</v>
      </c>
      <c r="I328" s="37">
        <v>3000</v>
      </c>
    </row>
    <row r="329" spans="1:9" ht="15.75" x14ac:dyDescent="0.25">
      <c r="A329" s="38" t="s">
        <v>657</v>
      </c>
      <c r="B329" s="39" t="s">
        <v>658</v>
      </c>
      <c r="C329" s="40">
        <v>0</v>
      </c>
      <c r="D329" s="40">
        <v>100</v>
      </c>
      <c r="E329" s="40">
        <v>350</v>
      </c>
      <c r="F329" s="40">
        <v>350</v>
      </c>
      <c r="G329" s="40">
        <v>350</v>
      </c>
      <c r="H329" s="40">
        <v>400</v>
      </c>
      <c r="I329" s="41">
        <v>1550</v>
      </c>
    </row>
    <row r="330" spans="1:9" ht="15.75" x14ac:dyDescent="0.25">
      <c r="A330" s="38" t="s">
        <v>657</v>
      </c>
      <c r="B330" s="39" t="s">
        <v>659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1">
        <v>0</v>
      </c>
    </row>
    <row r="331" spans="1:9" ht="15.75" x14ac:dyDescent="0.25">
      <c r="A331" s="42" t="s">
        <v>657</v>
      </c>
      <c r="B331" s="43" t="s">
        <v>660</v>
      </c>
      <c r="C331" s="44">
        <v>0</v>
      </c>
      <c r="D331" s="44">
        <v>0</v>
      </c>
      <c r="E331" s="44">
        <v>350</v>
      </c>
      <c r="F331" s="44">
        <v>350</v>
      </c>
      <c r="G331" s="44">
        <v>350</v>
      </c>
      <c r="H331" s="44">
        <v>400</v>
      </c>
      <c r="I331" s="45">
        <v>1450</v>
      </c>
    </row>
    <row r="332" spans="1:9" ht="15.75" x14ac:dyDescent="0.25">
      <c r="A332" s="38" t="s">
        <v>657</v>
      </c>
      <c r="B332" s="56" t="s">
        <v>632</v>
      </c>
      <c r="C332" s="57">
        <v>315</v>
      </c>
      <c r="D332" s="57">
        <v>420</v>
      </c>
      <c r="E332" s="57">
        <v>525</v>
      </c>
      <c r="F332" s="57">
        <v>665</v>
      </c>
      <c r="G332" s="57">
        <v>875</v>
      </c>
      <c r="H332" s="57">
        <v>700</v>
      </c>
      <c r="I332" s="58">
        <v>3500</v>
      </c>
    </row>
    <row r="333" spans="1:9" ht="15.75" x14ac:dyDescent="0.25">
      <c r="A333" s="38" t="s">
        <v>657</v>
      </c>
      <c r="B333" s="59" t="s">
        <v>607</v>
      </c>
      <c r="C333" s="60">
        <v>315</v>
      </c>
      <c r="D333" s="60">
        <v>420</v>
      </c>
      <c r="E333" s="60">
        <v>525</v>
      </c>
      <c r="F333" s="60">
        <v>665</v>
      </c>
      <c r="G333" s="60">
        <v>875</v>
      </c>
      <c r="H333" s="60">
        <v>700</v>
      </c>
      <c r="I333" s="61">
        <v>3500</v>
      </c>
    </row>
    <row r="334" spans="1:9" ht="63" x14ac:dyDescent="0.25">
      <c r="A334" s="34">
        <v>77</v>
      </c>
      <c r="B334" s="35" t="s">
        <v>506</v>
      </c>
      <c r="C334" s="36">
        <v>315</v>
      </c>
      <c r="D334" s="36">
        <v>420</v>
      </c>
      <c r="E334" s="36">
        <v>525</v>
      </c>
      <c r="F334" s="36">
        <v>665</v>
      </c>
      <c r="G334" s="36">
        <v>875</v>
      </c>
      <c r="H334" s="36">
        <v>700</v>
      </c>
      <c r="I334" s="37">
        <v>3500</v>
      </c>
    </row>
    <row r="335" spans="1:9" ht="15.75" x14ac:dyDescent="0.25">
      <c r="A335" s="38" t="s">
        <v>657</v>
      </c>
      <c r="B335" s="39" t="s">
        <v>658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1">
        <v>0</v>
      </c>
    </row>
    <row r="336" spans="1:9" ht="15.75" x14ac:dyDescent="0.25">
      <c r="A336" s="38" t="s">
        <v>657</v>
      </c>
      <c r="B336" s="39" t="s">
        <v>659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1">
        <v>0</v>
      </c>
    </row>
    <row r="337" spans="1:9" ht="15.75" x14ac:dyDescent="0.25">
      <c r="A337" s="42" t="s">
        <v>657</v>
      </c>
      <c r="B337" s="43" t="s">
        <v>660</v>
      </c>
      <c r="C337" s="44">
        <v>315</v>
      </c>
      <c r="D337" s="44">
        <v>420</v>
      </c>
      <c r="E337" s="44">
        <v>525</v>
      </c>
      <c r="F337" s="44">
        <v>665</v>
      </c>
      <c r="G337" s="44">
        <v>875</v>
      </c>
      <c r="H337" s="44">
        <v>700</v>
      </c>
      <c r="I337" s="45">
        <v>3500</v>
      </c>
    </row>
    <row r="338" spans="1:9" ht="15.75" x14ac:dyDescent="0.25">
      <c r="A338" s="38" t="s">
        <v>657</v>
      </c>
      <c r="B338" s="59" t="s">
        <v>634</v>
      </c>
      <c r="C338" s="60">
        <v>1145</v>
      </c>
      <c r="D338" s="60">
        <v>1156</v>
      </c>
      <c r="E338" s="60">
        <v>1820</v>
      </c>
      <c r="F338" s="60">
        <v>446</v>
      </c>
      <c r="G338" s="60">
        <v>455</v>
      </c>
      <c r="H338" s="60">
        <v>445</v>
      </c>
      <c r="I338" s="61">
        <v>5467</v>
      </c>
    </row>
    <row r="339" spans="1:9" ht="15.75" x14ac:dyDescent="0.25">
      <c r="A339" s="38" t="s">
        <v>657</v>
      </c>
      <c r="B339" s="59" t="s">
        <v>607</v>
      </c>
      <c r="C339" s="60">
        <v>81</v>
      </c>
      <c r="D339" s="60">
        <v>108</v>
      </c>
      <c r="E339" s="60">
        <v>135</v>
      </c>
      <c r="F339" s="60">
        <v>171</v>
      </c>
      <c r="G339" s="60">
        <v>225</v>
      </c>
      <c r="H339" s="60">
        <v>180</v>
      </c>
      <c r="I339" s="61">
        <v>900</v>
      </c>
    </row>
    <row r="340" spans="1:9" ht="47.25" x14ac:dyDescent="0.25">
      <c r="A340" s="34">
        <v>78</v>
      </c>
      <c r="B340" s="35" t="s">
        <v>416</v>
      </c>
      <c r="C340" s="36">
        <v>81</v>
      </c>
      <c r="D340" s="36">
        <v>108</v>
      </c>
      <c r="E340" s="36">
        <v>135</v>
      </c>
      <c r="F340" s="36">
        <v>171</v>
      </c>
      <c r="G340" s="36">
        <v>225</v>
      </c>
      <c r="H340" s="36">
        <v>180</v>
      </c>
      <c r="I340" s="37">
        <v>900</v>
      </c>
    </row>
    <row r="341" spans="1:9" ht="15.75" x14ac:dyDescent="0.25">
      <c r="A341" s="38" t="s">
        <v>657</v>
      </c>
      <c r="B341" s="39" t="s">
        <v>658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1">
        <v>0</v>
      </c>
    </row>
    <row r="342" spans="1:9" ht="15.75" x14ac:dyDescent="0.25">
      <c r="A342" s="38" t="s">
        <v>657</v>
      </c>
      <c r="B342" s="39" t="s">
        <v>659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1">
        <v>0</v>
      </c>
    </row>
    <row r="343" spans="1:9" ht="15.75" x14ac:dyDescent="0.25">
      <c r="A343" s="42" t="s">
        <v>657</v>
      </c>
      <c r="B343" s="43" t="s">
        <v>660</v>
      </c>
      <c r="C343" s="44">
        <v>81</v>
      </c>
      <c r="D343" s="44">
        <v>108</v>
      </c>
      <c r="E343" s="44">
        <v>135</v>
      </c>
      <c r="F343" s="44">
        <v>171</v>
      </c>
      <c r="G343" s="44">
        <v>225</v>
      </c>
      <c r="H343" s="44">
        <v>180</v>
      </c>
      <c r="I343" s="45">
        <v>900</v>
      </c>
    </row>
    <row r="344" spans="1:9" ht="15.75" x14ac:dyDescent="0.25">
      <c r="A344" s="38" t="s">
        <v>657</v>
      </c>
      <c r="B344" s="59" t="s">
        <v>137</v>
      </c>
      <c r="C344" s="60">
        <v>1064</v>
      </c>
      <c r="D344" s="60">
        <v>1048</v>
      </c>
      <c r="E344" s="60">
        <v>1685</v>
      </c>
      <c r="F344" s="60">
        <v>275</v>
      </c>
      <c r="G344" s="60">
        <v>230</v>
      </c>
      <c r="H344" s="60">
        <v>265</v>
      </c>
      <c r="I344" s="61">
        <v>4567</v>
      </c>
    </row>
    <row r="345" spans="1:9" ht="31.5" x14ac:dyDescent="0.25">
      <c r="A345" s="34">
        <v>79</v>
      </c>
      <c r="B345" s="35" t="s">
        <v>413</v>
      </c>
      <c r="C345" s="36">
        <v>10</v>
      </c>
      <c r="D345" s="36">
        <v>40</v>
      </c>
      <c r="E345" s="36">
        <v>40</v>
      </c>
      <c r="F345" s="36">
        <v>0</v>
      </c>
      <c r="G345" s="36">
        <v>0</v>
      </c>
      <c r="H345" s="36">
        <v>0</v>
      </c>
      <c r="I345" s="37">
        <v>90</v>
      </c>
    </row>
    <row r="346" spans="1:9" ht="15.75" x14ac:dyDescent="0.25">
      <c r="A346" s="38" t="s">
        <v>657</v>
      </c>
      <c r="B346" s="39" t="s">
        <v>658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1">
        <v>0</v>
      </c>
    </row>
    <row r="347" spans="1:9" ht="15.75" x14ac:dyDescent="0.25">
      <c r="A347" s="38" t="s">
        <v>657</v>
      </c>
      <c r="B347" s="39" t="s">
        <v>659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1">
        <v>0</v>
      </c>
    </row>
    <row r="348" spans="1:9" ht="15.75" x14ac:dyDescent="0.25">
      <c r="A348" s="42" t="s">
        <v>657</v>
      </c>
      <c r="B348" s="43" t="s">
        <v>660</v>
      </c>
      <c r="C348" s="44">
        <v>10</v>
      </c>
      <c r="D348" s="44">
        <v>40</v>
      </c>
      <c r="E348" s="44">
        <v>40</v>
      </c>
      <c r="F348" s="44">
        <v>0</v>
      </c>
      <c r="G348" s="44">
        <v>0</v>
      </c>
      <c r="H348" s="44">
        <v>0</v>
      </c>
      <c r="I348" s="45">
        <v>90</v>
      </c>
    </row>
    <row r="349" spans="1:9" ht="31.5" x14ac:dyDescent="0.25">
      <c r="A349" s="34">
        <v>80</v>
      </c>
      <c r="B349" s="35" t="s">
        <v>414</v>
      </c>
      <c r="C349" s="36">
        <v>0</v>
      </c>
      <c r="D349" s="36">
        <v>0</v>
      </c>
      <c r="E349" s="36">
        <v>50</v>
      </c>
      <c r="F349" s="36">
        <v>0</v>
      </c>
      <c r="G349" s="36">
        <v>0</v>
      </c>
      <c r="H349" s="36">
        <v>0</v>
      </c>
      <c r="I349" s="37">
        <v>50</v>
      </c>
    </row>
    <row r="350" spans="1:9" ht="15.75" x14ac:dyDescent="0.25">
      <c r="A350" s="38" t="s">
        <v>657</v>
      </c>
      <c r="B350" s="39" t="s">
        <v>658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1">
        <v>0</v>
      </c>
    </row>
    <row r="351" spans="1:9" ht="15.75" x14ac:dyDescent="0.25">
      <c r="A351" s="38" t="s">
        <v>657</v>
      </c>
      <c r="B351" s="39" t="s">
        <v>659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1">
        <v>0</v>
      </c>
    </row>
    <row r="352" spans="1:9" ht="15.75" x14ac:dyDescent="0.25">
      <c r="A352" s="42" t="s">
        <v>657</v>
      </c>
      <c r="B352" s="43" t="s">
        <v>660</v>
      </c>
      <c r="C352" s="44">
        <v>0</v>
      </c>
      <c r="D352" s="44">
        <v>0</v>
      </c>
      <c r="E352" s="44">
        <v>50</v>
      </c>
      <c r="F352" s="44">
        <v>0</v>
      </c>
      <c r="G352" s="44">
        <v>0</v>
      </c>
      <c r="H352" s="44">
        <v>0</v>
      </c>
      <c r="I352" s="45">
        <v>50</v>
      </c>
    </row>
    <row r="353" spans="1:9" ht="31.5" x14ac:dyDescent="0.25">
      <c r="A353" s="34">
        <v>81</v>
      </c>
      <c r="B353" s="35" t="s">
        <v>415</v>
      </c>
      <c r="C353" s="36">
        <v>30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7">
        <v>30</v>
      </c>
    </row>
    <row r="354" spans="1:9" ht="15.75" x14ac:dyDescent="0.25">
      <c r="A354" s="38" t="s">
        <v>657</v>
      </c>
      <c r="B354" s="39" t="s">
        <v>658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1">
        <v>0</v>
      </c>
    </row>
    <row r="355" spans="1:9" ht="15.75" x14ac:dyDescent="0.25">
      <c r="A355" s="38" t="s">
        <v>657</v>
      </c>
      <c r="B355" s="39" t="s">
        <v>659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1">
        <v>0</v>
      </c>
    </row>
    <row r="356" spans="1:9" ht="15.75" x14ac:dyDescent="0.25">
      <c r="A356" s="42" t="s">
        <v>657</v>
      </c>
      <c r="B356" s="43" t="s">
        <v>660</v>
      </c>
      <c r="C356" s="44">
        <v>30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5">
        <v>30</v>
      </c>
    </row>
    <row r="357" spans="1:9" ht="31.5" x14ac:dyDescent="0.25">
      <c r="A357" s="34">
        <v>82</v>
      </c>
      <c r="B357" s="35" t="s">
        <v>417</v>
      </c>
      <c r="C357" s="36">
        <v>170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7">
        <v>170</v>
      </c>
    </row>
    <row r="358" spans="1:9" ht="15.75" x14ac:dyDescent="0.25">
      <c r="A358" s="38" t="s">
        <v>657</v>
      </c>
      <c r="B358" s="39" t="s">
        <v>658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1">
        <v>0</v>
      </c>
    </row>
    <row r="359" spans="1:9" ht="15.75" x14ac:dyDescent="0.25">
      <c r="A359" s="38" t="s">
        <v>657</v>
      </c>
      <c r="B359" s="39" t="s">
        <v>659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1">
        <v>0</v>
      </c>
    </row>
    <row r="360" spans="1:9" ht="15.75" x14ac:dyDescent="0.25">
      <c r="A360" s="42" t="s">
        <v>657</v>
      </c>
      <c r="B360" s="43" t="s">
        <v>660</v>
      </c>
      <c r="C360" s="44">
        <v>170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5">
        <v>170</v>
      </c>
    </row>
    <row r="361" spans="1:9" ht="47.25" x14ac:dyDescent="0.25">
      <c r="A361" s="34">
        <v>83</v>
      </c>
      <c r="B361" s="35" t="s">
        <v>418</v>
      </c>
      <c r="C361" s="36">
        <v>260</v>
      </c>
      <c r="D361" s="36">
        <v>130</v>
      </c>
      <c r="E361" s="36">
        <v>230</v>
      </c>
      <c r="F361" s="36">
        <v>50</v>
      </c>
      <c r="G361" s="36">
        <v>30</v>
      </c>
      <c r="H361" s="36">
        <v>0</v>
      </c>
      <c r="I361" s="37">
        <v>700</v>
      </c>
    </row>
    <row r="362" spans="1:9" ht="15.75" x14ac:dyDescent="0.25">
      <c r="A362" s="38" t="s">
        <v>657</v>
      </c>
      <c r="B362" s="39" t="s">
        <v>658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1">
        <v>0</v>
      </c>
    </row>
    <row r="363" spans="1:9" ht="15.75" x14ac:dyDescent="0.25">
      <c r="A363" s="38" t="s">
        <v>657</v>
      </c>
      <c r="B363" s="39" t="s">
        <v>659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1">
        <v>0</v>
      </c>
    </row>
    <row r="364" spans="1:9" ht="15.75" x14ac:dyDescent="0.25">
      <c r="A364" s="42" t="s">
        <v>657</v>
      </c>
      <c r="B364" s="43" t="s">
        <v>660</v>
      </c>
      <c r="C364" s="44">
        <v>260</v>
      </c>
      <c r="D364" s="44">
        <v>130</v>
      </c>
      <c r="E364" s="44">
        <v>230</v>
      </c>
      <c r="F364" s="44">
        <v>50</v>
      </c>
      <c r="G364" s="44">
        <v>30</v>
      </c>
      <c r="H364" s="44">
        <v>0</v>
      </c>
      <c r="I364" s="45">
        <v>700</v>
      </c>
    </row>
    <row r="365" spans="1:9" ht="31.5" x14ac:dyDescent="0.25">
      <c r="A365" s="34">
        <v>84</v>
      </c>
      <c r="B365" s="35" t="s">
        <v>431</v>
      </c>
      <c r="C365" s="36">
        <v>120</v>
      </c>
      <c r="D365" s="36">
        <v>0</v>
      </c>
      <c r="E365" s="36">
        <v>0</v>
      </c>
      <c r="F365" s="36">
        <v>0</v>
      </c>
      <c r="G365" s="36">
        <v>0</v>
      </c>
      <c r="H365" s="36">
        <v>0</v>
      </c>
      <c r="I365" s="37">
        <v>120</v>
      </c>
    </row>
    <row r="366" spans="1:9" ht="15.75" x14ac:dyDescent="0.25">
      <c r="A366" s="38" t="s">
        <v>657</v>
      </c>
      <c r="B366" s="39" t="s">
        <v>658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1">
        <v>0</v>
      </c>
    </row>
    <row r="367" spans="1:9" ht="15.75" x14ac:dyDescent="0.25">
      <c r="A367" s="38" t="s">
        <v>657</v>
      </c>
      <c r="B367" s="39" t="s">
        <v>659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1">
        <v>0</v>
      </c>
    </row>
    <row r="368" spans="1:9" ht="15.75" x14ac:dyDescent="0.25">
      <c r="A368" s="42" t="s">
        <v>657</v>
      </c>
      <c r="B368" s="43" t="s">
        <v>660</v>
      </c>
      <c r="C368" s="44">
        <v>120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5">
        <v>120</v>
      </c>
    </row>
    <row r="369" spans="1:9" ht="31.5" x14ac:dyDescent="0.25">
      <c r="A369" s="34">
        <v>85</v>
      </c>
      <c r="B369" s="35" t="s">
        <v>432</v>
      </c>
      <c r="C369" s="36">
        <v>10</v>
      </c>
      <c r="D369" s="36">
        <v>150</v>
      </c>
      <c r="E369" s="36">
        <v>150</v>
      </c>
      <c r="F369" s="36">
        <v>0</v>
      </c>
      <c r="G369" s="36">
        <v>0</v>
      </c>
      <c r="H369" s="36">
        <v>0</v>
      </c>
      <c r="I369" s="37">
        <v>310</v>
      </c>
    </row>
    <row r="370" spans="1:9" ht="15.75" x14ac:dyDescent="0.25">
      <c r="A370" s="38" t="s">
        <v>657</v>
      </c>
      <c r="B370" s="39" t="s">
        <v>658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1">
        <v>0</v>
      </c>
    </row>
    <row r="371" spans="1:9" ht="15.75" x14ac:dyDescent="0.25">
      <c r="A371" s="38" t="s">
        <v>657</v>
      </c>
      <c r="B371" s="39" t="s">
        <v>659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1">
        <v>0</v>
      </c>
    </row>
    <row r="372" spans="1:9" ht="15.75" x14ac:dyDescent="0.25">
      <c r="A372" s="42" t="s">
        <v>657</v>
      </c>
      <c r="B372" s="43" t="s">
        <v>660</v>
      </c>
      <c r="C372" s="44">
        <v>10</v>
      </c>
      <c r="D372" s="44">
        <v>150</v>
      </c>
      <c r="E372" s="44">
        <v>150</v>
      </c>
      <c r="F372" s="44">
        <v>0</v>
      </c>
      <c r="G372" s="44">
        <v>0</v>
      </c>
      <c r="H372" s="44">
        <v>0</v>
      </c>
      <c r="I372" s="45">
        <v>310</v>
      </c>
    </row>
    <row r="373" spans="1:9" ht="47.25" x14ac:dyDescent="0.25">
      <c r="A373" s="34">
        <v>86</v>
      </c>
      <c r="B373" s="35" t="s">
        <v>434</v>
      </c>
      <c r="C373" s="36">
        <v>5</v>
      </c>
      <c r="D373" s="36">
        <v>20</v>
      </c>
      <c r="E373" s="36">
        <v>20</v>
      </c>
      <c r="F373" s="36">
        <v>0</v>
      </c>
      <c r="G373" s="36">
        <v>0</v>
      </c>
      <c r="H373" s="36">
        <v>0</v>
      </c>
      <c r="I373" s="37">
        <v>45</v>
      </c>
    </row>
    <row r="374" spans="1:9" ht="15.75" x14ac:dyDescent="0.25">
      <c r="A374" s="38" t="s">
        <v>657</v>
      </c>
      <c r="B374" s="39" t="s">
        <v>658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1">
        <v>0</v>
      </c>
    </row>
    <row r="375" spans="1:9" ht="15.75" x14ac:dyDescent="0.25">
      <c r="A375" s="38" t="s">
        <v>657</v>
      </c>
      <c r="B375" s="39" t="s">
        <v>659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1">
        <v>0</v>
      </c>
    </row>
    <row r="376" spans="1:9" ht="15.75" x14ac:dyDescent="0.25">
      <c r="A376" s="42" t="s">
        <v>657</v>
      </c>
      <c r="B376" s="43" t="s">
        <v>660</v>
      </c>
      <c r="C376" s="44">
        <v>5</v>
      </c>
      <c r="D376" s="44">
        <v>20</v>
      </c>
      <c r="E376" s="44">
        <v>20</v>
      </c>
      <c r="F376" s="44">
        <v>0</v>
      </c>
      <c r="G376" s="44">
        <v>0</v>
      </c>
      <c r="H376" s="44">
        <v>0</v>
      </c>
      <c r="I376" s="45">
        <v>45</v>
      </c>
    </row>
    <row r="377" spans="1:9" ht="31.5" x14ac:dyDescent="0.25">
      <c r="A377" s="34">
        <v>87</v>
      </c>
      <c r="B377" s="35" t="s">
        <v>440</v>
      </c>
      <c r="C377" s="36">
        <v>300</v>
      </c>
      <c r="D377" s="36">
        <v>300</v>
      </c>
      <c r="E377" s="36">
        <v>408</v>
      </c>
      <c r="F377" s="36">
        <v>0</v>
      </c>
      <c r="G377" s="36">
        <v>0</v>
      </c>
      <c r="H377" s="36">
        <v>0</v>
      </c>
      <c r="I377" s="37">
        <v>1008</v>
      </c>
    </row>
    <row r="378" spans="1:9" ht="15.75" x14ac:dyDescent="0.25">
      <c r="A378" s="38" t="s">
        <v>657</v>
      </c>
      <c r="B378" s="39" t="s">
        <v>658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1">
        <v>0</v>
      </c>
    </row>
    <row r="379" spans="1:9" ht="15.75" x14ac:dyDescent="0.25">
      <c r="A379" s="38" t="s">
        <v>657</v>
      </c>
      <c r="B379" s="39" t="s">
        <v>659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1">
        <v>0</v>
      </c>
    </row>
    <row r="380" spans="1:9" ht="15.75" x14ac:dyDescent="0.25">
      <c r="A380" s="42" t="s">
        <v>657</v>
      </c>
      <c r="B380" s="43" t="s">
        <v>660</v>
      </c>
      <c r="C380" s="44">
        <v>300</v>
      </c>
      <c r="D380" s="44">
        <v>300</v>
      </c>
      <c r="E380" s="44">
        <v>408</v>
      </c>
      <c r="F380" s="44">
        <v>0</v>
      </c>
      <c r="G380" s="44">
        <v>0</v>
      </c>
      <c r="H380" s="44">
        <v>0</v>
      </c>
      <c r="I380" s="45">
        <v>1008</v>
      </c>
    </row>
    <row r="381" spans="1:9" ht="31.5" x14ac:dyDescent="0.25">
      <c r="A381" s="34">
        <v>88</v>
      </c>
      <c r="B381" s="35" t="s">
        <v>445</v>
      </c>
      <c r="C381" s="36">
        <v>0</v>
      </c>
      <c r="D381" s="36">
        <v>300</v>
      </c>
      <c r="E381" s="36">
        <v>320</v>
      </c>
      <c r="F381" s="36">
        <v>0</v>
      </c>
      <c r="G381" s="36">
        <v>0</v>
      </c>
      <c r="H381" s="36">
        <v>0</v>
      </c>
      <c r="I381" s="37">
        <v>620</v>
      </c>
    </row>
    <row r="382" spans="1:9" ht="15.75" x14ac:dyDescent="0.25">
      <c r="A382" s="38" t="s">
        <v>657</v>
      </c>
      <c r="B382" s="39" t="s">
        <v>658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1">
        <v>0</v>
      </c>
    </row>
    <row r="383" spans="1:9" ht="15.75" x14ac:dyDescent="0.25">
      <c r="A383" s="38" t="s">
        <v>657</v>
      </c>
      <c r="B383" s="39" t="s">
        <v>659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1">
        <v>0</v>
      </c>
    </row>
    <row r="384" spans="1:9" ht="15.75" x14ac:dyDescent="0.25">
      <c r="A384" s="42" t="s">
        <v>657</v>
      </c>
      <c r="B384" s="43" t="s">
        <v>660</v>
      </c>
      <c r="C384" s="44">
        <v>0</v>
      </c>
      <c r="D384" s="44">
        <v>300</v>
      </c>
      <c r="E384" s="44">
        <v>320</v>
      </c>
      <c r="F384" s="44">
        <v>0</v>
      </c>
      <c r="G384" s="44">
        <v>0</v>
      </c>
      <c r="H384" s="44">
        <v>0</v>
      </c>
      <c r="I384" s="45">
        <v>620</v>
      </c>
    </row>
    <row r="385" spans="1:9" ht="31.5" x14ac:dyDescent="0.25">
      <c r="A385" s="34">
        <v>89</v>
      </c>
      <c r="B385" s="35" t="s">
        <v>465</v>
      </c>
      <c r="C385" s="36">
        <v>50</v>
      </c>
      <c r="D385" s="36">
        <v>50</v>
      </c>
      <c r="E385" s="36">
        <v>0</v>
      </c>
      <c r="F385" s="36">
        <v>0</v>
      </c>
      <c r="G385" s="36">
        <v>0</v>
      </c>
      <c r="H385" s="36">
        <v>0</v>
      </c>
      <c r="I385" s="37">
        <v>100</v>
      </c>
    </row>
    <row r="386" spans="1:9" ht="15.75" x14ac:dyDescent="0.25">
      <c r="A386" s="38" t="s">
        <v>657</v>
      </c>
      <c r="B386" s="39" t="s">
        <v>658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1">
        <v>0</v>
      </c>
    </row>
    <row r="387" spans="1:9" ht="15.75" x14ac:dyDescent="0.25">
      <c r="A387" s="38" t="s">
        <v>657</v>
      </c>
      <c r="B387" s="39" t="s">
        <v>659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1">
        <v>0</v>
      </c>
    </row>
    <row r="388" spans="1:9" ht="15.75" x14ac:dyDescent="0.25">
      <c r="A388" s="42" t="s">
        <v>657</v>
      </c>
      <c r="B388" s="43" t="s">
        <v>660</v>
      </c>
      <c r="C388" s="44">
        <v>50</v>
      </c>
      <c r="D388" s="44">
        <v>50</v>
      </c>
      <c r="E388" s="44">
        <v>0</v>
      </c>
      <c r="F388" s="44">
        <v>0</v>
      </c>
      <c r="G388" s="44">
        <v>0</v>
      </c>
      <c r="H388" s="44">
        <v>0</v>
      </c>
      <c r="I388" s="45">
        <v>100</v>
      </c>
    </row>
    <row r="389" spans="1:9" ht="31.5" x14ac:dyDescent="0.25">
      <c r="A389" s="34">
        <v>90</v>
      </c>
      <c r="B389" s="35" t="s">
        <v>482</v>
      </c>
      <c r="C389" s="36">
        <v>70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7">
        <v>70</v>
      </c>
    </row>
    <row r="390" spans="1:9" ht="15.75" x14ac:dyDescent="0.25">
      <c r="A390" s="38" t="s">
        <v>657</v>
      </c>
      <c r="B390" s="39" t="s">
        <v>658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1">
        <v>0</v>
      </c>
    </row>
    <row r="391" spans="1:9" ht="15.75" x14ac:dyDescent="0.25">
      <c r="A391" s="38" t="s">
        <v>657</v>
      </c>
      <c r="B391" s="39" t="s">
        <v>659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1">
        <v>0</v>
      </c>
    </row>
    <row r="392" spans="1:9" ht="15.75" x14ac:dyDescent="0.25">
      <c r="A392" s="42" t="s">
        <v>657</v>
      </c>
      <c r="B392" s="43" t="s">
        <v>660</v>
      </c>
      <c r="C392" s="44">
        <v>70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5">
        <v>70</v>
      </c>
    </row>
    <row r="393" spans="1:9" ht="15.75" x14ac:dyDescent="0.25">
      <c r="A393" s="34">
        <v>91</v>
      </c>
      <c r="B393" s="35" t="s">
        <v>488</v>
      </c>
      <c r="C393" s="36">
        <v>0</v>
      </c>
      <c r="D393" s="36">
        <v>0</v>
      </c>
      <c r="E393" s="36">
        <v>12</v>
      </c>
      <c r="F393" s="36">
        <v>0</v>
      </c>
      <c r="G393" s="36">
        <v>0</v>
      </c>
      <c r="H393" s="36">
        <v>0</v>
      </c>
      <c r="I393" s="37">
        <v>12</v>
      </c>
    </row>
    <row r="394" spans="1:9" ht="15.75" x14ac:dyDescent="0.25">
      <c r="A394" s="38" t="s">
        <v>657</v>
      </c>
      <c r="B394" s="39" t="s">
        <v>658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1">
        <v>0</v>
      </c>
    </row>
    <row r="395" spans="1:9" ht="15.75" x14ac:dyDescent="0.25">
      <c r="A395" s="38" t="s">
        <v>657</v>
      </c>
      <c r="B395" s="39" t="s">
        <v>659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1">
        <v>0</v>
      </c>
    </row>
    <row r="396" spans="1:9" ht="15.75" x14ac:dyDescent="0.25">
      <c r="A396" s="42" t="s">
        <v>657</v>
      </c>
      <c r="B396" s="43" t="s">
        <v>660</v>
      </c>
      <c r="C396" s="44">
        <v>0</v>
      </c>
      <c r="D396" s="44">
        <v>0</v>
      </c>
      <c r="E396" s="44">
        <v>12</v>
      </c>
      <c r="F396" s="44">
        <v>0</v>
      </c>
      <c r="G396" s="44">
        <v>0</v>
      </c>
      <c r="H396" s="44">
        <v>0</v>
      </c>
      <c r="I396" s="45">
        <v>12</v>
      </c>
    </row>
    <row r="397" spans="1:9" ht="31.5" x14ac:dyDescent="0.25">
      <c r="A397" s="34">
        <v>92</v>
      </c>
      <c r="B397" s="35" t="s">
        <v>489</v>
      </c>
      <c r="C397" s="36">
        <v>14</v>
      </c>
      <c r="D397" s="36">
        <v>43</v>
      </c>
      <c r="E397" s="36">
        <v>0</v>
      </c>
      <c r="F397" s="36">
        <v>0</v>
      </c>
      <c r="G397" s="36">
        <v>0</v>
      </c>
      <c r="H397" s="36">
        <v>0</v>
      </c>
      <c r="I397" s="37">
        <v>57</v>
      </c>
    </row>
    <row r="398" spans="1:9" ht="15.75" x14ac:dyDescent="0.25">
      <c r="A398" s="38" t="s">
        <v>657</v>
      </c>
      <c r="B398" s="39" t="s">
        <v>658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1">
        <v>0</v>
      </c>
    </row>
    <row r="399" spans="1:9" ht="15.75" x14ac:dyDescent="0.25">
      <c r="A399" s="38" t="s">
        <v>657</v>
      </c>
      <c r="B399" s="39" t="s">
        <v>659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1">
        <v>0</v>
      </c>
    </row>
    <row r="400" spans="1:9" ht="15.75" x14ac:dyDescent="0.25">
      <c r="A400" s="42" t="s">
        <v>657</v>
      </c>
      <c r="B400" s="43" t="s">
        <v>660</v>
      </c>
      <c r="C400" s="44">
        <v>14</v>
      </c>
      <c r="D400" s="44">
        <v>43</v>
      </c>
      <c r="E400" s="44">
        <v>0</v>
      </c>
      <c r="F400" s="44">
        <v>0</v>
      </c>
      <c r="G400" s="44">
        <v>0</v>
      </c>
      <c r="H400" s="44">
        <v>0</v>
      </c>
      <c r="I400" s="45">
        <v>57</v>
      </c>
    </row>
    <row r="401" spans="1:9" ht="31.5" x14ac:dyDescent="0.25">
      <c r="A401" s="34">
        <v>93</v>
      </c>
      <c r="B401" s="35" t="s">
        <v>497</v>
      </c>
      <c r="C401" s="36">
        <v>0</v>
      </c>
      <c r="D401" s="36">
        <v>0</v>
      </c>
      <c r="E401" s="36">
        <v>350</v>
      </c>
      <c r="F401" s="36">
        <v>200</v>
      </c>
      <c r="G401" s="36">
        <v>200</v>
      </c>
      <c r="H401" s="36">
        <v>95</v>
      </c>
      <c r="I401" s="37">
        <v>845</v>
      </c>
    </row>
    <row r="402" spans="1:9" ht="15.75" x14ac:dyDescent="0.25">
      <c r="A402" s="38" t="s">
        <v>657</v>
      </c>
      <c r="B402" s="39" t="s">
        <v>658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1">
        <v>0</v>
      </c>
    </row>
    <row r="403" spans="1:9" ht="15.75" x14ac:dyDescent="0.25">
      <c r="A403" s="38" t="s">
        <v>657</v>
      </c>
      <c r="B403" s="39" t="s">
        <v>659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1">
        <v>0</v>
      </c>
    </row>
    <row r="404" spans="1:9" ht="15.75" x14ac:dyDescent="0.25">
      <c r="A404" s="42" t="s">
        <v>657</v>
      </c>
      <c r="B404" s="43" t="s">
        <v>660</v>
      </c>
      <c r="C404" s="44">
        <v>0</v>
      </c>
      <c r="D404" s="44">
        <v>0</v>
      </c>
      <c r="E404" s="44">
        <v>350</v>
      </c>
      <c r="F404" s="44">
        <v>200</v>
      </c>
      <c r="G404" s="44">
        <v>200</v>
      </c>
      <c r="H404" s="44">
        <v>95</v>
      </c>
      <c r="I404" s="45">
        <v>845</v>
      </c>
    </row>
    <row r="405" spans="1:9" ht="31.5" x14ac:dyDescent="0.25">
      <c r="A405" s="34">
        <v>94</v>
      </c>
      <c r="B405" s="35" t="s">
        <v>498</v>
      </c>
      <c r="C405" s="36">
        <v>10</v>
      </c>
      <c r="D405" s="36">
        <v>0</v>
      </c>
      <c r="E405" s="36">
        <v>0</v>
      </c>
      <c r="F405" s="36">
        <v>0</v>
      </c>
      <c r="G405" s="36">
        <v>0</v>
      </c>
      <c r="H405" s="36">
        <v>0</v>
      </c>
      <c r="I405" s="37">
        <v>10</v>
      </c>
    </row>
    <row r="406" spans="1:9" ht="15.75" x14ac:dyDescent="0.25">
      <c r="A406" s="38" t="s">
        <v>657</v>
      </c>
      <c r="B406" s="39" t="s">
        <v>658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1">
        <v>0</v>
      </c>
    </row>
    <row r="407" spans="1:9" ht="15.75" x14ac:dyDescent="0.25">
      <c r="A407" s="38" t="s">
        <v>657</v>
      </c>
      <c r="B407" s="39" t="s">
        <v>659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1">
        <v>0</v>
      </c>
    </row>
    <row r="408" spans="1:9" ht="15.75" x14ac:dyDescent="0.25">
      <c r="A408" s="42" t="s">
        <v>657</v>
      </c>
      <c r="B408" s="43" t="s">
        <v>660</v>
      </c>
      <c r="C408" s="44">
        <v>10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5">
        <v>10</v>
      </c>
    </row>
    <row r="409" spans="1:9" ht="31.5" x14ac:dyDescent="0.25">
      <c r="A409" s="34">
        <v>95</v>
      </c>
      <c r="B409" s="35" t="s">
        <v>499</v>
      </c>
      <c r="C409" s="36">
        <v>0</v>
      </c>
      <c r="D409" s="36">
        <v>0</v>
      </c>
      <c r="E409" s="36">
        <v>0</v>
      </c>
      <c r="F409" s="36">
        <v>0</v>
      </c>
      <c r="G409" s="36">
        <v>0</v>
      </c>
      <c r="H409" s="36">
        <v>60</v>
      </c>
      <c r="I409" s="37">
        <v>60</v>
      </c>
    </row>
    <row r="410" spans="1:9" ht="15.75" x14ac:dyDescent="0.25">
      <c r="A410" s="38" t="s">
        <v>657</v>
      </c>
      <c r="B410" s="39" t="s">
        <v>658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1">
        <v>0</v>
      </c>
    </row>
    <row r="411" spans="1:9" ht="15.75" x14ac:dyDescent="0.25">
      <c r="A411" s="38" t="s">
        <v>657</v>
      </c>
      <c r="B411" s="39" t="s">
        <v>659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1">
        <v>0</v>
      </c>
    </row>
    <row r="412" spans="1:9" ht="15.75" x14ac:dyDescent="0.25">
      <c r="A412" s="42" t="s">
        <v>657</v>
      </c>
      <c r="B412" s="43" t="s">
        <v>660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60</v>
      </c>
      <c r="I412" s="45">
        <v>60</v>
      </c>
    </row>
    <row r="413" spans="1:9" ht="31.5" x14ac:dyDescent="0.25">
      <c r="A413" s="34">
        <v>96</v>
      </c>
      <c r="B413" s="35" t="s">
        <v>500</v>
      </c>
      <c r="C413" s="36">
        <v>15</v>
      </c>
      <c r="D413" s="36">
        <v>15</v>
      </c>
      <c r="E413" s="36">
        <v>25</v>
      </c>
      <c r="F413" s="36">
        <v>25</v>
      </c>
      <c r="G413" s="36">
        <v>0</v>
      </c>
      <c r="H413" s="36">
        <v>0</v>
      </c>
      <c r="I413" s="37">
        <v>80</v>
      </c>
    </row>
    <row r="414" spans="1:9" ht="15.75" x14ac:dyDescent="0.25">
      <c r="A414" s="38" t="s">
        <v>657</v>
      </c>
      <c r="B414" s="39" t="s">
        <v>658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1">
        <v>0</v>
      </c>
    </row>
    <row r="415" spans="1:9" ht="15.75" x14ac:dyDescent="0.25">
      <c r="A415" s="38" t="s">
        <v>657</v>
      </c>
      <c r="B415" s="39" t="s">
        <v>659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1">
        <v>0</v>
      </c>
    </row>
    <row r="416" spans="1:9" ht="15.75" x14ac:dyDescent="0.25">
      <c r="A416" s="42" t="s">
        <v>657</v>
      </c>
      <c r="B416" s="43" t="s">
        <v>660</v>
      </c>
      <c r="C416" s="44">
        <v>15</v>
      </c>
      <c r="D416" s="44">
        <v>15</v>
      </c>
      <c r="E416" s="44">
        <v>25</v>
      </c>
      <c r="F416" s="44">
        <v>25</v>
      </c>
      <c r="G416" s="44">
        <v>0</v>
      </c>
      <c r="H416" s="44">
        <v>0</v>
      </c>
      <c r="I416" s="45">
        <v>80</v>
      </c>
    </row>
    <row r="417" spans="1:9" ht="31.5" x14ac:dyDescent="0.25">
      <c r="A417" s="34">
        <v>97</v>
      </c>
      <c r="B417" s="35" t="s">
        <v>502</v>
      </c>
      <c r="C417" s="36">
        <v>0</v>
      </c>
      <c r="D417" s="36">
        <v>0</v>
      </c>
      <c r="E417" s="36">
        <v>0</v>
      </c>
      <c r="F417" s="36">
        <v>0</v>
      </c>
      <c r="G417" s="36">
        <v>0</v>
      </c>
      <c r="H417" s="36">
        <v>90</v>
      </c>
      <c r="I417" s="37">
        <v>90</v>
      </c>
    </row>
    <row r="418" spans="1:9" ht="15.75" x14ac:dyDescent="0.25">
      <c r="A418" s="38" t="s">
        <v>657</v>
      </c>
      <c r="B418" s="39" t="s">
        <v>658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1">
        <v>0</v>
      </c>
    </row>
    <row r="419" spans="1:9" ht="15.75" x14ac:dyDescent="0.25">
      <c r="A419" s="38" t="s">
        <v>657</v>
      </c>
      <c r="B419" s="39" t="s">
        <v>659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1">
        <v>0</v>
      </c>
    </row>
    <row r="420" spans="1:9" ht="15.75" x14ac:dyDescent="0.25">
      <c r="A420" s="42" t="s">
        <v>657</v>
      </c>
      <c r="B420" s="43" t="s">
        <v>660</v>
      </c>
      <c r="C420" s="44">
        <v>0</v>
      </c>
      <c r="D420" s="44">
        <v>0</v>
      </c>
      <c r="E420" s="44">
        <v>0</v>
      </c>
      <c r="F420" s="44">
        <v>0</v>
      </c>
      <c r="G420" s="44">
        <v>0</v>
      </c>
      <c r="H420" s="44">
        <v>90</v>
      </c>
      <c r="I420" s="45">
        <v>90</v>
      </c>
    </row>
    <row r="421" spans="1:9" ht="15.75" x14ac:dyDescent="0.25">
      <c r="A421" s="34">
        <v>98</v>
      </c>
      <c r="B421" s="35" t="s">
        <v>503</v>
      </c>
      <c r="C421" s="36">
        <v>0</v>
      </c>
      <c r="D421" s="36">
        <v>0</v>
      </c>
      <c r="E421" s="36">
        <v>0</v>
      </c>
      <c r="F421" s="36">
        <v>0</v>
      </c>
      <c r="G421" s="36">
        <v>0</v>
      </c>
      <c r="H421" s="36">
        <v>20</v>
      </c>
      <c r="I421" s="37">
        <v>20</v>
      </c>
    </row>
    <row r="422" spans="1:9" ht="15.75" x14ac:dyDescent="0.25">
      <c r="A422" s="38" t="s">
        <v>657</v>
      </c>
      <c r="B422" s="39" t="s">
        <v>658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1">
        <v>0</v>
      </c>
    </row>
    <row r="423" spans="1:9" ht="15.75" x14ac:dyDescent="0.25">
      <c r="A423" s="38" t="s">
        <v>657</v>
      </c>
      <c r="B423" s="39" t="s">
        <v>659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1">
        <v>0</v>
      </c>
    </row>
    <row r="424" spans="1:9" ht="15.75" x14ac:dyDescent="0.25">
      <c r="A424" s="42" t="s">
        <v>657</v>
      </c>
      <c r="B424" s="43" t="s">
        <v>660</v>
      </c>
      <c r="C424" s="44">
        <v>0</v>
      </c>
      <c r="D424" s="44">
        <v>0</v>
      </c>
      <c r="E424" s="44">
        <v>0</v>
      </c>
      <c r="F424" s="44">
        <v>0</v>
      </c>
      <c r="G424" s="44">
        <v>0</v>
      </c>
      <c r="H424" s="44">
        <v>20</v>
      </c>
      <c r="I424" s="45">
        <v>20</v>
      </c>
    </row>
    <row r="425" spans="1:9" ht="31.5" x14ac:dyDescent="0.25">
      <c r="A425" s="34">
        <v>99</v>
      </c>
      <c r="B425" s="35" t="s">
        <v>510</v>
      </c>
      <c r="C425" s="36">
        <v>0</v>
      </c>
      <c r="D425" s="36">
        <v>0</v>
      </c>
      <c r="E425" s="36">
        <v>80</v>
      </c>
      <c r="F425" s="36">
        <v>0</v>
      </c>
      <c r="G425" s="36">
        <v>0</v>
      </c>
      <c r="H425" s="36">
        <v>0</v>
      </c>
      <c r="I425" s="37">
        <v>80</v>
      </c>
    </row>
    <row r="426" spans="1:9" ht="15.75" x14ac:dyDescent="0.25">
      <c r="A426" s="38" t="s">
        <v>657</v>
      </c>
      <c r="B426" s="39" t="s">
        <v>658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1">
        <v>0</v>
      </c>
    </row>
    <row r="427" spans="1:9" ht="15.75" x14ac:dyDescent="0.25">
      <c r="A427" s="38" t="s">
        <v>657</v>
      </c>
      <c r="B427" s="39" t="s">
        <v>659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1">
        <v>0</v>
      </c>
    </row>
    <row r="428" spans="1:9" ht="15.75" x14ac:dyDescent="0.25">
      <c r="A428" s="42" t="s">
        <v>657</v>
      </c>
      <c r="B428" s="43" t="s">
        <v>660</v>
      </c>
      <c r="C428" s="44">
        <v>0</v>
      </c>
      <c r="D428" s="44">
        <v>0</v>
      </c>
      <c r="E428" s="44">
        <v>80</v>
      </c>
      <c r="F428" s="44">
        <v>0</v>
      </c>
      <c r="G428" s="44">
        <v>0</v>
      </c>
      <c r="H428" s="44">
        <v>0</v>
      </c>
      <c r="I428" s="45">
        <v>80</v>
      </c>
    </row>
    <row r="429" spans="1:9" ht="15.75" x14ac:dyDescent="0.25">
      <c r="A429" s="31" t="s">
        <v>657</v>
      </c>
      <c r="B429" s="32"/>
    </row>
  </sheetData>
  <mergeCells count="1">
    <mergeCell ref="E1:I1"/>
  </mergeCells>
  <pageMargins left="0.23622047244094491" right="0.23622047244094491" top="0.74803149606299213" bottom="0.74803149606299213" header="0.31496062992125984" footer="0.31496062992125984"/>
  <pageSetup paperSize="9" scale="93" firstPageNumber="229" fitToHeight="0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economy9 (Старостина)</dc:creator>
  <cp:lastModifiedBy>gcheb_economy7</cp:lastModifiedBy>
  <cp:lastPrinted>2020-12-30T12:29:33Z</cp:lastPrinted>
  <dcterms:created xsi:type="dcterms:W3CDTF">2020-03-17T06:46:10Z</dcterms:created>
  <dcterms:modified xsi:type="dcterms:W3CDTF">2021-03-29T06:37:19Z</dcterms:modified>
</cp:coreProperties>
</file>