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'Лист1'!$A$1:$J$146</definedName>
  </definedNames>
  <calcPr fullCalcOnLoad="1"/>
</workbook>
</file>

<file path=xl/sharedStrings.xml><?xml version="1.0" encoding="utf-8"?>
<sst xmlns="http://schemas.openxmlformats.org/spreadsheetml/2006/main" count="1451" uniqueCount="379">
  <si>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</si>
  <si>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</si>
  <si>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</si>
  <si>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</si>
  <si>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</si>
  <si>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</si>
  <si>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</si>
  <si>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</si>
  <si>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</si>
  <si>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</si>
  <si>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</si>
  <si>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</si>
  <si>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</si>
  <si>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</si>
  <si>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</si>
  <si>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</si>
  <si>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</si>
  <si>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</si>
  <si>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</si>
  <si>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</si>
  <si>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</si>
  <si>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</si>
  <si>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</si>
  <si>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</si>
  <si>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</si>
  <si>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</si>
  <si>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</si>
  <si>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</si>
  <si>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</si>
  <si>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</si>
  <si>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</si>
  <si>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</si>
  <si>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</si>
  <si>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</si>
  <si>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</si>
  <si>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</si>
  <si>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</si>
  <si>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</si>
  <si>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</si>
  <si>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</si>
  <si>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</si>
  <si>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</si>
  <si>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</si>
  <si>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</si>
  <si>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</si>
  <si>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</si>
  <si>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</si>
  <si>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</si>
  <si>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</si>
  <si>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</si>
  <si>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</si>
  <si>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</si>
  <si>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</si>
  <si>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</si>
  <si>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</si>
  <si>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</si>
  <si>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</si>
  <si>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</si>
  <si>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</si>
  <si>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</si>
  <si>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</si>
  <si>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</si>
  <si>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</si>
  <si>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</si>
  <si>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</si>
  <si>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</si>
  <si>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</si>
  <si>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</si>
  <si>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</si>
  <si>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</si>
  <si>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</si>
  <si>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</si>
  <si>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</si>
  <si>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</si>
  <si>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</si>
  <si>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</si>
  <si>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</si>
  <si>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</si>
  <si>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</si>
  <si>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</si>
  <si>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</si>
  <si>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</si>
  <si>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</si>
  <si>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в  том  числе :Жилищное хозяйство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</si>
  <si>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</si>
  <si>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</si>
  <si>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</si>
  <si>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</si>
  <si>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</si>
  <si>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</si>
  <si>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</si>
  <si>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</si>
  <si>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</si>
  <si>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</si>
  <si>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</si>
  <si>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</si>
  <si>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</si>
  <si>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</si>
  <si>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</si>
  <si>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</si>
  <si>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</si>
  <si>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</si>
  <si>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</si>
  <si>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</si>
  <si>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</si>
  <si>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</si>
  <si>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</si>
  <si>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</si>
  <si>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</si>
  <si>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</si>
  <si>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</si>
  <si>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</si>
  <si>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</si>
  <si>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</si>
  <si>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</si>
  <si>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</si>
  <si>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</si>
  <si>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</si>
  <si>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</si>
  <si>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</si>
  <si>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</si>
  <si>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</si>
  <si>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</si>
  <si>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</si>
  <si>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</si>
  <si>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</si>
  <si>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</si>
  <si>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</si>
  <si>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</si>
  <si>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</si>
  <si>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</si>
  <si>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</si>
  <si>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</si>
  <si>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</si>
  <si>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</si>
  <si>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</si>
  <si>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</si>
  <si>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</si>
  <si>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</si>
  <si>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</si>
  <si>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</si>
  <si>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</si>
  <si>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</si>
  <si>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</si>
  <si>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</si>
  <si>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</si>
  <si>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</si>
  <si>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</si>
  <si>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</si>
  <si>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</si>
  <si>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</si>
  <si>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</si>
  <si>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</si>
  <si>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</si>
  <si>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</si>
  <si>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</si>
  <si>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</si>
  <si>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</si>
  <si>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</si>
  <si>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</si>
  <si>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</si>
  <si>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</si>
  <si>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</si>
  <si>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</si>
  <si>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</si>
  <si>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</si>
  <si>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</si>
  <si>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</si>
  <si>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</si>
  <si>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</si>
  <si>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</si>
  <si>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</si>
  <si>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</si>
  <si>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</si>
  <si>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</si>
  <si>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</si>
  <si>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</si>
  <si>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</si>
  <si>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</si>
  <si>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</si>
  <si>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</si>
  <si>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</si>
  <si>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</si>
  <si>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</si>
  <si>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</si>
  <si>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</si>
  <si>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</si>
  <si>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</si>
  <si>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</si>
  <si>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</si>
  <si>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</si>
  <si>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</si>
  <si>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</si>
  <si>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</si>
  <si>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</si>
  <si>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</si>
  <si>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</si>
  <si>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</si>
  <si>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</si>
  <si>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</si>
  <si>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</si>
  <si>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</si>
  <si>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</si>
  <si>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</si>
  <si>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</si>
  <si>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</si>
  <si>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</si>
  <si>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</si>
  <si>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</si>
  <si>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</si>
  <si>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</si>
  <si>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</si>
  <si>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</si>
  <si>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</si>
  <si>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</si>
  <si>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</si>
  <si>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</si>
  <si>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</si>
  <si>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</si>
  <si>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</si>
  <si>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</si>
  <si>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</si>
  <si>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</si>
  <si>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</si>
  <si>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</si>
  <si>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</si>
  <si>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</si>
  <si>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</si>
  <si>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</si>
  <si>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</si>
  <si>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</si>
  <si>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</si>
  <si>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</si>
  <si>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</si>
  <si>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</si>
  <si>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</si>
  <si>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</si>
  <si>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</si>
  <si>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</si>
  <si>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</si>
  <si>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</si>
  <si>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</si>
  <si>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</si>
  <si>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</si>
  <si>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</si>
  <si>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</si>
  <si>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</si>
  <si>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</si>
  <si>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</si>
  <si>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</si>
  <si>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</si>
  <si>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</si>
  <si>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</si>
  <si>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</si>
  <si>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</si>
  <si>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</si>
  <si>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</si>
  <si>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</si>
  <si>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</si>
  <si>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</si>
  <si>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</si>
  <si>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</si>
  <si>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</si>
  <si>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</si>
  <si>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</si>
  <si>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</si>
  <si>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</si>
  <si>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</si>
  <si>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</si>
  <si>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</si>
  <si>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</si>
  <si>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</si>
  <si>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</si>
  <si>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</si>
  <si>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</si>
  <si>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</si>
  <si>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</si>
  <si>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</si>
  <si>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</si>
  <si>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</si>
  <si>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</si>
  <si>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</si>
  <si>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</si>
  <si>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</si>
  <si>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</si>
  <si>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</si>
  <si>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</si>
  <si>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</si>
  <si>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</si>
  <si>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</si>
  <si>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</si>
  <si>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 xml:space="preserve">           капитальный  ремонт  источников водоснабжения (ср-ва посел.)    </t>
  </si>
  <si>
    <t xml:space="preserve">Реализация  мероприятий  по благоустройству  дворовых территрий и тротуаров- всего                 </t>
  </si>
  <si>
    <t xml:space="preserve">Реализация  мероприятий  по благоустройству  дворовых территрий и тротуаров (ср-ва  респ. бюдж.)                     </t>
  </si>
  <si>
    <t xml:space="preserve">Реализация  мероприятий  по благоустройству  дворовых территрий и тротуаров (ср-ва  посел.)                     </t>
  </si>
  <si>
    <t xml:space="preserve">Реализация  мероприятий  по благоустройству  дворовых территрий и тротуаров (ср-ва  насел.)                     </t>
  </si>
  <si>
    <t>доходы от сдачи в аренду имущества, составляющего  казну  городских поселений (за исключением земельных участков)</t>
  </si>
  <si>
    <t>Инициативные платежи, зачисляемые в бюджеты городских поселений</t>
  </si>
  <si>
    <t>в  том  числе:  стр-во  (реконструкция)  объектов водоотведения  (очистных сооружений и др.) муниципальных образований (ср-ва посел.)</t>
  </si>
  <si>
    <t>в  том  числе:  расходы на обеспечение доступности  для населения бытовых услуг</t>
  </si>
  <si>
    <t xml:space="preserve">           на  реализацию мероприятий  по развитию общественной инфраструктуры населенных пунктов (ср-ва  посел.)       </t>
  </si>
  <si>
    <t>Инициативные платежи, зачисляемые в бюджеты  сельских  поселений</t>
  </si>
  <si>
    <t>Инициативные платежи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</si>
  <si>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</si>
  <si>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</si>
  <si>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 xml:space="preserve">В том числе: мероприятия по обеспечению пожарной безопасности муниципальных объектов </t>
  </si>
  <si>
    <t xml:space="preserve">  из них: реализация отдельных полномочий в области обращения с твердыми коммунальными отходами</t>
  </si>
  <si>
    <t xml:space="preserve">  из них: капитальный и текущий ремонт объектов водоотведения (очистных сооружений и др. ) муниципальных образований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</si>
  <si>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</si>
  <si>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 xml:space="preserve">из них: капитальный  ремонт  источников водоснабжения- софинансирование  (ср-ва посел.)             </t>
  </si>
  <si>
    <t>ПРОЧИЕ МЕЖБЮДЖЕТНЫЕ ТРАНСФЕРТЫ, ПЕРЕДАВАЕМЫЕ БЮДЖЕТАМ ПОСЕЛЕНИЙ (На поощрение муниципальных управленческих команд)</t>
  </si>
  <si>
    <t>ПРОЧИЕ МЕЖБЮДЖЕТНЫЕ ТРАНСФЕРТЫ, ПЕРЕДАВАЕМЫЕ БЮДЖЕТАМ ПОСЕЛЕНИЙ  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</si>
  <si>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</si>
  <si>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в том числе:  за счет направления остатков на 01.01.2021 г.</t>
  </si>
  <si>
    <t>в том числе:  за счет направления собственных доходов</t>
  </si>
  <si>
    <t xml:space="preserve">           на поощрение победителей конкурса "Лучшая муниципальная практика" (ср-ва респ. бюдж.)       </t>
  </si>
  <si>
    <t>из  них: выполнение других обязательств  муниципального образования</t>
  </si>
  <si>
    <t>из них: реализ. проектов, направленных на благоустройство и развитие территорий (ср-ва респ. бюдж.)</t>
  </si>
  <si>
    <t>ПРОЧИЕ МЕЖБЮДЖЕТНЫЕ ТРАНСФЕРТЫ, ПЕРЕДАВАЕМЫЕ БЮДЖЕТАМ ПОСЕЛЕНИЙ (На реализ. проектов, направленных на благоустройство и развитие территорий)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</si>
  <si>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</si>
  <si>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</si>
  <si>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</si>
  <si>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>МЕЖБЮДЖЕТНЫЕ ТРАНСФЕРТЫ, ПЕРЕДАВАЕМЫЕ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</si>
  <si>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респ. бюдж.) </t>
  </si>
  <si>
    <t xml:space="preserve">       в том числе:  на реализацию инициативных проектов (ср-ва местн. бюдж.)             </t>
  </si>
  <si>
    <t xml:space="preserve">           на реализацию инициативных проектов  - всего       </t>
  </si>
  <si>
    <t xml:space="preserve">       в том числе:   на реализацию инициативных проектов (ср-ва  респ.бюдж.)             </t>
  </si>
  <si>
    <t xml:space="preserve">    в том числе:    на реализацию инициативных проектов (ср-ва от насел.)      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</si>
  <si>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</si>
  <si>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</si>
  <si>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</si>
  <si>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 xml:space="preserve">           на реализацию инициативных проектов (ср-ва респ. бюдж.)             </t>
  </si>
  <si>
    <t xml:space="preserve">           на реализацию инициативных проектов (ср-ва местн. бюдж.)             </t>
  </si>
  <si>
    <t xml:space="preserve">           на реализацию инициативных проектов (ср-ва от насел.)             </t>
  </si>
  <si>
    <t>СУБСИДИИ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</si>
  <si>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фед. бюдж.) 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</si>
  <si>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посел. ) </t>
  </si>
  <si>
    <t>в том числе субсидии на  инициативные проекты</t>
  </si>
  <si>
    <t>в том числе субсидии на инициативные проекты</t>
  </si>
  <si>
    <t>в том числе субсидии на   инициативные проекты ( ПР  "0409")</t>
  </si>
  <si>
    <t>в том числе субсидии на инициативные проекты ( раздел  "ЖКХ")</t>
  </si>
  <si>
    <t xml:space="preserve">           на реализацию  инициативных проектов - всего       </t>
  </si>
  <si>
    <t xml:space="preserve">       в том числе:   на реализацию  инициативных проектов (ср-ва местн. бюдж.)             </t>
  </si>
  <si>
    <t xml:space="preserve">    в том числе:     на реализацию  инициативных проектов (ср-ва от насел.)             </t>
  </si>
  <si>
    <t xml:space="preserve">     в том числе:      на реализацию  инициативных проектов  (ср-ва респ. бюдж.)             </t>
  </si>
  <si>
    <t xml:space="preserve">       в том числе:    на реализацию  инициативных проектов  (ср-ва респ. бюдж.)             </t>
  </si>
  <si>
    <t xml:space="preserve">          организация и содержание мест захоронения</t>
  </si>
  <si>
    <t>ВОЗВРАТ ОСТАТКОВ СУБСИДИЙ, СУБВЕНЦИЙ И ИНЫХ МЕЖБЮДЖЕТНЫХ ТРАНСФЕРТОВ, ИМЕЮЩИХ ЦЕЛЕВОЕ НАЗНАЧЕНИЕ, ПРОШЛЫХ ЛЕТ</t>
  </si>
  <si>
    <t>в том числе субсидии на  инициативные проекты (р. 0409 ул. Лесная)</t>
  </si>
  <si>
    <t>в том числе субсидии на  инициативные  проекты  ( 0409 ул. Радужная)</t>
  </si>
  <si>
    <t xml:space="preserve">           на реализацию отдельных полномочий в области обращения с твердыми коммунальными отходами  </t>
  </si>
  <si>
    <t>В том числе: предупреждение и ликвидация чрезвычайных ситуаций и последствий стихийных бедствий</t>
  </si>
  <si>
    <t xml:space="preserve"> </t>
  </si>
  <si>
    <t>доходы от  продажи  земельных участков  , госуд. собственность на которые  не  разграничена</t>
  </si>
  <si>
    <t>доходы от  продажи  земельных участков  , находящ. в собственности городского поселения</t>
  </si>
  <si>
    <t>доходы от  продажи  земельных участков , госуд. собственность на которые 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</si>
  <si>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</si>
  <si>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капитальный ремонт и ремонт дворовых территорий многоквартирных домов, проездов к дворовым территориям многоквартирныых домов (респ. )</t>
  </si>
  <si>
    <t>Анализ  исполнения бюджета Андреево-Базарского сельского поселения за  октябрь  2022 года</t>
  </si>
  <si>
    <t>Фактическое исполнение за  октябрь   2022 года</t>
  </si>
  <si>
    <t>Анализ исполнения бюджета Аттиковского сельского поселения за октябрь    2022 года</t>
  </si>
  <si>
    <t>Анализ исполнения бюджета  Байгуловского сельского поселения за октябрь  2022 года</t>
  </si>
  <si>
    <t>Фактическое исполнение за  октябрь 2022 года</t>
  </si>
  <si>
    <t>Анализ исполнения бюджета  Еметкинского сельского поселения за  октябрь  2022 года</t>
  </si>
  <si>
    <t>Анализ исполнения бюджета  Карамышевского сельского поселения за октябрь   2022 года</t>
  </si>
  <si>
    <t>Фактическое исполнение за октябрь  2022 года</t>
  </si>
  <si>
    <t>Анализ исполнения бюджета  Карачевского сельского поселения за октябрь  2022 года</t>
  </si>
  <si>
    <t>Анализ исполнения бюджета  Козловского  городского  поселения  за октябрь 2022 года</t>
  </si>
  <si>
    <t>Фактическое исполнение за октябрь 2022 года</t>
  </si>
  <si>
    <t>Анализ исполнения бюджета  Солдыбаевского сельского поселения за  октябрь   2022 года</t>
  </si>
  <si>
    <t>Фактическое исполнение за  октябрь  2022 года</t>
  </si>
  <si>
    <t>Анализ исполнения бюджета  Тюрлеминского сельского поселения за   октябрь 2022 года</t>
  </si>
  <si>
    <t>Анализ исполнения бюджета  Янгильдинского сельского поселения за октябрь  2022 года</t>
  </si>
  <si>
    <t>Анализ   исполнения   бюджетов   поселений   за октябрь 2022 года.</t>
  </si>
  <si>
    <t>в т. ч. на мероприятия по борьбе с распространением борщевика Сосновского ( софин.-местн.)</t>
  </si>
  <si>
    <t>в т. ч. на мероприятия по борьбе с распространением борщевика Сосновского ( софин. - местн.)</t>
  </si>
  <si>
    <t>в т. ч. на мероприятия по борьбе с распространением борщевика Сосновского (софин.- местн.)</t>
  </si>
  <si>
    <t>в т. ч. на мероприятия по борьбе с распространением борщевика Сосновского ( софин.- местн.)</t>
  </si>
  <si>
    <t>в т. ч. на мероприятия по борьбе с распространением борщевика Сосновского (софин. -  местн.)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</si>
</sst>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9" fillId="20" borderId="1">
      <alignment horizontal="right" vertical="top" shrinkToFit="1"/>
      <protection/>
    </xf>
    <xf numFmtId="4" fontId="9" fillId="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70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8" fillId="0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41" fontId="8" fillId="0" borderId="0" xfId="61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1" fontId="11" fillId="0" borderId="15" xfId="61" applyFont="1" applyFill="1" applyBorder="1" applyAlignment="1">
      <alignment horizontal="center" vertical="center" wrapText="1"/>
    </xf>
    <xf numFmtId="41" fontId="11" fillId="0" borderId="16" xfId="6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61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61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right" wrapText="1"/>
    </xf>
    <xf numFmtId="41" fontId="8" fillId="0" borderId="17" xfId="61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1" fontId="8" fillId="0" borderId="18" xfId="6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right" wrapText="1"/>
    </xf>
    <xf numFmtId="2" fontId="8" fillId="0" borderId="17" xfId="57" applyNumberFormat="1" applyFont="1" applyFill="1" applyBorder="1" applyAlignment="1">
      <alignment wrapText="1"/>
    </xf>
    <xf numFmtId="2" fontId="8" fillId="0" borderId="18" xfId="61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wrapText="1"/>
    </xf>
    <xf numFmtId="4" fontId="8" fillId="0" borderId="17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horizontal="right" wrapText="1"/>
    </xf>
    <xf numFmtId="2" fontId="11" fillId="0" borderId="17" xfId="57" applyNumberFormat="1" applyFont="1" applyFill="1" applyBorder="1" applyAlignment="1">
      <alignment wrapText="1"/>
    </xf>
    <xf numFmtId="2" fontId="11" fillId="0" borderId="18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wrapText="1"/>
    </xf>
    <xf numFmtId="4" fontId="8" fillId="34" borderId="17" xfId="0" applyNumberFormat="1" applyFont="1" applyFill="1" applyBorder="1" applyAlignment="1">
      <alignment wrapText="1"/>
    </xf>
    <xf numFmtId="164" fontId="8" fillId="0" borderId="17" xfId="57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14" fillId="0" borderId="17" xfId="0" applyNumberFormat="1" applyFont="1" applyFill="1" applyBorder="1" applyAlignment="1">
      <alignment wrapText="1"/>
    </xf>
    <xf numFmtId="2" fontId="14" fillId="0" borderId="17" xfId="57" applyNumberFormat="1" applyFont="1" applyFill="1" applyBorder="1" applyAlignment="1">
      <alignment wrapText="1"/>
    </xf>
    <xf numFmtId="2" fontId="14" fillId="0" borderId="18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 wrapText="1"/>
    </xf>
    <xf numFmtId="4" fontId="16" fillId="0" borderId="17" xfId="61" applyNumberFormat="1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2" fontId="11" fillId="0" borderId="17" xfId="61" applyNumberFormat="1" applyFont="1" applyFill="1" applyBorder="1" applyAlignment="1">
      <alignment wrapText="1"/>
    </xf>
    <xf numFmtId="41" fontId="11" fillId="0" borderId="17" xfId="61" applyFont="1" applyFill="1" applyBorder="1" applyAlignment="1">
      <alignment horizontal="right" wrapText="1"/>
    </xf>
    <xf numFmtId="0" fontId="8" fillId="0" borderId="20" xfId="0" applyFont="1" applyFill="1" applyBorder="1" applyAlignment="1">
      <alignment wrapText="1"/>
    </xf>
    <xf numFmtId="41" fontId="8" fillId="0" borderId="17" xfId="6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61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8" fillId="0" borderId="0" xfId="61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8" fillId="0" borderId="21" xfId="61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vertical="center" wrapText="1"/>
    </xf>
    <xf numFmtId="4" fontId="18" fillId="0" borderId="1" xfId="33" applyFont="1" applyFill="1" applyAlignment="1" applyProtection="1">
      <alignment horizontal="right" vertical="center" shrinkToFit="1"/>
      <protection/>
    </xf>
    <xf numFmtId="2" fontId="8" fillId="0" borderId="17" xfId="61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2" fontId="11" fillId="0" borderId="21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wrapText="1"/>
    </xf>
    <xf numFmtId="4" fontId="18" fillId="0" borderId="1" xfId="33" applyFont="1" applyFill="1" applyAlignment="1" applyProtection="1">
      <alignment horizontal="right" shrinkToFit="1"/>
      <protection/>
    </xf>
    <xf numFmtId="0" fontId="12" fillId="0" borderId="11" xfId="0" applyFont="1" applyFill="1" applyBorder="1" applyAlignment="1">
      <alignment horizontal="right" wrapText="1"/>
    </xf>
    <xf numFmtId="2" fontId="13" fillId="0" borderId="22" xfId="0" applyNumberFormat="1" applyFont="1" applyFill="1" applyBorder="1" applyAlignment="1">
      <alignment horizontal="right" vertical="center" wrapText="1"/>
    </xf>
    <xf numFmtId="2" fontId="16" fillId="0" borderId="22" xfId="61" applyNumberFormat="1" applyFont="1" applyFill="1" applyBorder="1" applyAlignment="1">
      <alignment vertical="center" wrapText="1"/>
    </xf>
    <xf numFmtId="2" fontId="8" fillId="0" borderId="22" xfId="57" applyNumberFormat="1" applyFont="1" applyFill="1" applyBorder="1" applyAlignment="1">
      <alignment wrapText="1"/>
    </xf>
    <xf numFmtId="2" fontId="8" fillId="0" borderId="23" xfId="61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wrapText="1"/>
    </xf>
    <xf numFmtId="2" fontId="8" fillId="0" borderId="25" xfId="0" applyNumberFormat="1" applyFont="1" applyFill="1" applyBorder="1" applyAlignment="1">
      <alignment wrapText="1"/>
    </xf>
    <xf numFmtId="2" fontId="8" fillId="0" borderId="25" xfId="57" applyNumberFormat="1" applyFont="1" applyFill="1" applyBorder="1" applyAlignment="1">
      <alignment wrapText="1"/>
    </xf>
    <xf numFmtId="2" fontId="8" fillId="0" borderId="26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wrapText="1"/>
    </xf>
    <xf numFmtId="2" fontId="8" fillId="0" borderId="21" xfId="57" applyNumberFormat="1" applyFont="1" applyFill="1" applyBorder="1" applyAlignment="1">
      <alignment wrapText="1"/>
    </xf>
    <xf numFmtId="2" fontId="8" fillId="0" borderId="27" xfId="61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8" fillId="0" borderId="28" xfId="0" applyNumberFormat="1" applyFont="1" applyFill="1" applyBorder="1" applyAlignment="1">
      <alignment wrapText="1"/>
    </xf>
    <xf numFmtId="2" fontId="8" fillId="0" borderId="28" xfId="61" applyNumberFormat="1" applyFont="1" applyFill="1" applyBorder="1" applyAlignment="1">
      <alignment horizontal="right" wrapText="1"/>
    </xf>
    <xf numFmtId="2" fontId="8" fillId="0" borderId="25" xfId="61" applyNumberFormat="1" applyFont="1" applyFill="1" applyBorder="1" applyAlignment="1">
      <alignment horizontal="right" wrapText="1"/>
    </xf>
    <xf numFmtId="2" fontId="8" fillId="0" borderId="28" xfId="57" applyNumberFormat="1" applyFont="1" applyFill="1" applyBorder="1" applyAlignment="1">
      <alignment wrapText="1"/>
    </xf>
    <xf numFmtId="2" fontId="8" fillId="0" borderId="29" xfId="61" applyNumberFormat="1" applyFont="1" applyFill="1" applyBorder="1" applyAlignment="1">
      <alignment horizontal="right" wrapText="1"/>
    </xf>
    <xf numFmtId="2" fontId="8" fillId="0" borderId="14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2" fontId="8" fillId="0" borderId="17" xfId="61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wrapText="1"/>
    </xf>
    <xf numFmtId="2" fontId="8" fillId="0" borderId="31" xfId="0" applyNumberFormat="1" applyFont="1" applyFill="1" applyBorder="1" applyAlignment="1">
      <alignment wrapText="1"/>
    </xf>
    <xf numFmtId="2" fontId="8" fillId="0" borderId="30" xfId="57" applyNumberFormat="1" applyFont="1" applyFill="1" applyBorder="1" applyAlignment="1">
      <alignment wrapText="1"/>
    </xf>
    <xf numFmtId="2" fontId="8" fillId="0" borderId="25" xfId="0" applyNumberFormat="1" applyFont="1" applyFill="1" applyBorder="1" applyAlignment="1">
      <alignment horizontal="right" wrapText="1"/>
    </xf>
    <xf numFmtId="0" fontId="8" fillId="0" borderId="32" xfId="0" applyFont="1" applyFill="1" applyBorder="1" applyAlignment="1">
      <alignment wrapText="1"/>
    </xf>
    <xf numFmtId="2" fontId="8" fillId="0" borderId="33" xfId="61" applyNumberFormat="1" applyFont="1" applyFill="1" applyBorder="1" applyAlignment="1">
      <alignment horizontal="right" wrapText="1"/>
    </xf>
    <xf numFmtId="2" fontId="8" fillId="0" borderId="21" xfId="61" applyNumberFormat="1" applyFont="1" applyFill="1" applyBorder="1" applyAlignment="1">
      <alignment horizontal="right" wrapText="1"/>
    </xf>
    <xf numFmtId="2" fontId="8" fillId="0" borderId="28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wrapText="1"/>
    </xf>
    <xf numFmtId="41" fontId="8" fillId="0" borderId="0" xfId="6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41" fontId="6" fillId="0" borderId="0" xfId="61" applyFont="1" applyFill="1" applyAlignment="1">
      <alignment wrapText="1"/>
    </xf>
    <xf numFmtId="41" fontId="6" fillId="0" borderId="0" xfId="6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wrapText="1"/>
    </xf>
    <xf numFmtId="165" fontId="11" fillId="0" borderId="18" xfId="61" applyNumberFormat="1" applyFont="1" applyFill="1" applyBorder="1" applyAlignment="1">
      <alignment horizontal="right" wrapText="1"/>
    </xf>
    <xf numFmtId="2" fontId="18" fillId="0" borderId="1" xfId="33" applyNumberFormat="1" applyFont="1" applyFill="1" applyAlignment="1" applyProtection="1">
      <alignment horizontal="right" vertical="center" shrinkToFit="1"/>
      <protection/>
    </xf>
    <xf numFmtId="2" fontId="18" fillId="0" borderId="1" xfId="33" applyNumberFormat="1" applyFont="1" applyFill="1" applyAlignment="1" applyProtection="1">
      <alignment horizontal="right" shrinkToFit="1"/>
      <protection/>
    </xf>
    <xf numFmtId="2" fontId="8" fillId="0" borderId="17" xfId="0" applyNumberFormat="1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wrapText="1"/>
    </xf>
    <xf numFmtId="2" fontId="8" fillId="0" borderId="17" xfId="61" applyNumberFormat="1" applyFont="1" applyFill="1" applyBorder="1" applyAlignment="1">
      <alignment vertical="center" wrapText="1"/>
    </xf>
    <xf numFmtId="2" fontId="11" fillId="0" borderId="17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2" fontId="8" fillId="0" borderId="22" xfId="0" applyNumberFormat="1" applyFont="1" applyFill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right" vertical="center" wrapText="1"/>
    </xf>
    <xf numFmtId="2" fontId="11" fillId="0" borderId="17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right" wrapText="1"/>
    </xf>
    <xf numFmtId="2" fontId="16" fillId="0" borderId="22" xfId="61" applyNumberFormat="1" applyFont="1" applyFill="1" applyBorder="1" applyAlignment="1">
      <alignment wrapText="1"/>
    </xf>
    <xf numFmtId="2" fontId="8" fillId="0" borderId="22" xfId="61" applyNumberFormat="1" applyFont="1" applyFill="1" applyBorder="1" applyAlignment="1">
      <alignment horizontal="right" wrapText="1"/>
    </xf>
    <xf numFmtId="0" fontId="8" fillId="0" borderId="2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2" fontId="8" fillId="0" borderId="22" xfId="61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right" wrapText="1"/>
    </xf>
    <xf numFmtId="4" fontId="18" fillId="0" borderId="1" xfId="33" applyFont="1" applyFill="1" applyProtection="1">
      <alignment horizontal="right" vertical="top" shrinkToFit="1"/>
      <protection/>
    </xf>
    <xf numFmtId="2" fontId="11" fillId="0" borderId="21" xfId="0" applyNumberFormat="1" applyFont="1" applyFill="1" applyBorder="1" applyAlignment="1">
      <alignment horizontal="right" wrapText="1"/>
    </xf>
    <xf numFmtId="2" fontId="8" fillId="0" borderId="30" xfId="61" applyNumberFormat="1" applyFont="1" applyFill="1" applyBorder="1" applyAlignment="1">
      <alignment horizontal="right" wrapText="1"/>
    </xf>
    <xf numFmtId="2" fontId="8" fillId="0" borderId="34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2" fontId="8" fillId="0" borderId="0" xfId="0" applyNumberFormat="1" applyFont="1" applyFill="1" applyBorder="1" applyAlignment="1">
      <alignment vertical="center" wrapText="1"/>
    </xf>
    <xf numFmtId="4" fontId="18" fillId="0" borderId="1" xfId="34" applyFont="1" applyFill="1" applyAlignment="1" applyProtection="1">
      <alignment horizontal="right" vertical="center" shrinkToFit="1"/>
      <protection/>
    </xf>
    <xf numFmtId="2" fontId="14" fillId="0" borderId="17" xfId="0" applyNumberFormat="1" applyFont="1" applyFill="1" applyBorder="1" applyAlignment="1">
      <alignment vertical="center" wrapText="1"/>
    </xf>
    <xf numFmtId="2" fontId="14" fillId="0" borderId="17" xfId="61" applyNumberFormat="1" applyFont="1" applyFill="1" applyBorder="1" applyAlignment="1">
      <alignment horizontal="right" vertical="center" wrapText="1"/>
    </xf>
    <xf numFmtId="2" fontId="14" fillId="0" borderId="17" xfId="61" applyNumberFormat="1" applyFont="1" applyFill="1" applyBorder="1" applyAlignment="1">
      <alignment horizontal="right" wrapText="1"/>
    </xf>
    <xf numFmtId="2" fontId="13" fillId="0" borderId="17" xfId="0" applyNumberFormat="1" applyFont="1" applyFill="1" applyBorder="1" applyAlignment="1">
      <alignment horizontal="right" wrapText="1"/>
    </xf>
    <xf numFmtId="2" fontId="16" fillId="0" borderId="17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wrapText="1"/>
    </xf>
    <xf numFmtId="2" fontId="8" fillId="34" borderId="17" xfId="0" applyNumberFormat="1" applyFont="1" applyFill="1" applyBorder="1" applyAlignment="1">
      <alignment wrapText="1"/>
    </xf>
    <xf numFmtId="2" fontId="17" fillId="0" borderId="17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" fontId="18" fillId="0" borderId="1" xfId="34" applyFont="1" applyAlignment="1" applyProtection="1">
      <alignment horizontal="right" shrinkToFit="1"/>
      <protection/>
    </xf>
    <xf numFmtId="0" fontId="6" fillId="0" borderId="17" xfId="0" applyFont="1" applyBorder="1" applyAlignment="1">
      <alignment/>
    </xf>
    <xf numFmtId="2" fontId="8" fillId="0" borderId="0" xfId="61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wrapText="1"/>
    </xf>
    <xf numFmtId="2" fontId="8" fillId="0" borderId="17" xfId="0" applyNumberFormat="1" applyFont="1" applyFill="1" applyBorder="1" applyAlignment="1">
      <alignment horizontal="right" shrinkToFit="1"/>
    </xf>
    <xf numFmtId="2" fontId="8" fillId="0" borderId="17" xfId="0" applyNumberFormat="1" applyFont="1" applyBorder="1" applyAlignment="1">
      <alignment/>
    </xf>
    <xf numFmtId="2" fontId="8" fillId="0" borderId="0" xfId="0" applyNumberFormat="1" applyFont="1" applyFill="1" applyAlignment="1">
      <alignment horizontal="center" wrapText="1"/>
    </xf>
    <xf numFmtId="41" fontId="11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zoomScaleSheetLayoutView="100" workbookViewId="0" topLeftCell="A15">
      <selection activeCell="G48" sqref="G48"/>
    </sheetView>
  </sheetViews>
  <sheetFormatPr defaultColWidth="9.125" defaultRowHeight="12.75"/>
  <cols>
    <col min="1" max="1" width="116.375" style="3" customWidth="1"/>
    <col min="2" max="2" width="12.50390625" style="3" customWidth="1"/>
    <col min="3" max="3" width="16.875" style="4" customWidth="1"/>
    <col min="4" max="4" width="13.50390625" style="3" customWidth="1"/>
    <col min="5" max="5" width="14.50390625" style="1" customWidth="1"/>
    <col min="6" max="6" width="14.00390625" style="3" customWidth="1"/>
    <col min="7" max="9" width="9.125" style="3" customWidth="1"/>
    <col min="10" max="10" width="2.125" style="3" customWidth="1"/>
    <col min="11" max="16384" width="9.125" style="3" customWidth="1"/>
  </cols>
  <sheetData>
    <row r="1" spans="1:10" s="10" customFormat="1" ht="17.25">
      <c r="A1" s="169" t="s">
        <v>358</v>
      </c>
      <c r="B1" s="169"/>
      <c r="C1" s="169"/>
      <c r="D1" s="169"/>
      <c r="E1" s="169"/>
      <c r="F1" s="9"/>
      <c r="G1" s="9"/>
      <c r="H1" s="9"/>
      <c r="I1" s="9"/>
      <c r="J1" s="9"/>
    </row>
    <row r="2" spans="1:5" ht="14.25" thickBot="1">
      <c r="A2" s="22"/>
      <c r="B2" s="22"/>
      <c r="C2" s="23"/>
      <c r="D2" s="22"/>
      <c r="E2" s="22" t="s">
        <v>0</v>
      </c>
    </row>
    <row r="3" spans="1:5" s="11" customFormat="1" ht="94.5" customHeight="1">
      <c r="A3" s="24" t="s">
        <v>1</v>
      </c>
      <c r="B3" s="25" t="s">
        <v>319</v>
      </c>
      <c r="C3" s="26" t="s">
        <v>359</v>
      </c>
      <c r="D3" s="25" t="s">
        <v>320</v>
      </c>
      <c r="E3" s="27" t="s">
        <v>321</v>
      </c>
    </row>
    <row r="4" spans="1:5" s="12" customFormat="1" ht="10.5" customHeight="1">
      <c r="A4" s="28">
        <v>1</v>
      </c>
      <c r="B4" s="123">
        <v>2</v>
      </c>
      <c r="C4" s="30">
        <v>3</v>
      </c>
      <c r="D4" s="31">
        <v>4</v>
      </c>
      <c r="E4" s="32">
        <v>5</v>
      </c>
    </row>
    <row r="5" spans="1:5" s="13" customFormat="1" ht="14.25">
      <c r="A5" s="33" t="s">
        <v>2</v>
      </c>
      <c r="B5" s="34"/>
      <c r="C5" s="35"/>
      <c r="D5" s="36"/>
      <c r="E5" s="37"/>
    </row>
    <row r="6" spans="1:5" s="8" customFormat="1" ht="12.75" customHeight="1" hidden="1">
      <c r="A6" s="44" t="s">
        <v>25</v>
      </c>
      <c r="B6" s="67"/>
      <c r="C6" s="67" t="e">
        <f>SUM(C7,C11,C16,C19,#REF!,#REF!,C10,)</f>
        <v>#REF!</v>
      </c>
      <c r="D6" s="46" t="e">
        <f>IF(#REF!=0,"   ",C6/#REF!)</f>
        <v>#REF!</v>
      </c>
      <c r="E6" s="124" t="e">
        <f>C6-#REF!</f>
        <v>#REF!</v>
      </c>
    </row>
    <row r="7" spans="1:5" s="14" customFormat="1" ht="13.5">
      <c r="A7" s="38" t="s">
        <v>45</v>
      </c>
      <c r="B7" s="79">
        <f>SUM(B9)</f>
        <v>378000</v>
      </c>
      <c r="C7" s="79">
        <f>C9</f>
        <v>263677.36</v>
      </c>
      <c r="D7" s="40">
        <f>IF(B7=0,"   ",C7/B7*100)</f>
        <v>69.75591534391535</v>
      </c>
      <c r="E7" s="41">
        <f>C7-B7</f>
        <v>-114322.64000000001</v>
      </c>
    </row>
    <row r="8" spans="1:5" s="13" customFormat="1" ht="12.75" customHeight="1" hidden="1">
      <c r="A8" s="21" t="s">
        <v>3</v>
      </c>
      <c r="B8" s="80">
        <v>387940</v>
      </c>
      <c r="C8" s="82">
        <v>217766</v>
      </c>
      <c r="D8" s="40" t="e">
        <f>IF(#REF!=0,"   ",C8/#REF!)</f>
        <v>#REF!</v>
      </c>
      <c r="E8" s="41" t="e">
        <f>C8-#REF!</f>
        <v>#REF!</v>
      </c>
    </row>
    <row r="9" spans="1:5" s="13" customFormat="1" ht="13.5">
      <c r="A9" s="21" t="s">
        <v>106</v>
      </c>
      <c r="B9" s="80">
        <v>378000</v>
      </c>
      <c r="C9" s="125">
        <v>263677.36</v>
      </c>
      <c r="D9" s="40">
        <f>IF(B9=0,"   ",C9/B9*100)</f>
        <v>69.75591534391535</v>
      </c>
      <c r="E9" s="41">
        <f>C9-B9</f>
        <v>-114322.64000000001</v>
      </c>
    </row>
    <row r="10" spans="1:5" s="13" customFormat="1" ht="12.75" customHeight="1" hidden="1">
      <c r="A10" s="21" t="s">
        <v>24</v>
      </c>
      <c r="B10" s="80"/>
      <c r="C10" s="82">
        <v>175</v>
      </c>
      <c r="D10" s="40"/>
      <c r="E10" s="41"/>
    </row>
    <row r="11" spans="1:5" s="14" customFormat="1" ht="12.75" customHeight="1" hidden="1">
      <c r="A11" s="21" t="s">
        <v>4</v>
      </c>
      <c r="B11" s="80">
        <f>SUM(B12:B13)</f>
        <v>1848003</v>
      </c>
      <c r="C11" s="80">
        <f>SUM(C12:C13)</f>
        <v>1704024</v>
      </c>
      <c r="D11" s="40" t="e">
        <f>IF(#REF!=0,"   ",C11/#REF!)</f>
        <v>#REF!</v>
      </c>
      <c r="E11" s="41" t="e">
        <f>C11-#REF!</f>
        <v>#REF!</v>
      </c>
    </row>
    <row r="12" spans="1:5" s="13" customFormat="1" ht="12.75" customHeight="1" hidden="1">
      <c r="A12" s="21" t="s">
        <v>5</v>
      </c>
      <c r="B12" s="80">
        <v>17853</v>
      </c>
      <c r="C12" s="82">
        <v>13730</v>
      </c>
      <c r="D12" s="40" t="e">
        <f>IF(#REF!=0,"   ",C12/#REF!)</f>
        <v>#REF!</v>
      </c>
      <c r="E12" s="41" t="e">
        <f>C12-#REF!</f>
        <v>#REF!</v>
      </c>
    </row>
    <row r="13" spans="1:5" s="13" customFormat="1" ht="12.75" customHeight="1" hidden="1">
      <c r="A13" s="21" t="s">
        <v>6</v>
      </c>
      <c r="B13" s="80">
        <v>1830150</v>
      </c>
      <c r="C13" s="82">
        <v>1690294</v>
      </c>
      <c r="D13" s="40" t="e">
        <f>IF(#REF!=0,"   ",C13/#REF!)</f>
        <v>#REF!</v>
      </c>
      <c r="E13" s="41" t="e">
        <f>C13-#REF!</f>
        <v>#REF!</v>
      </c>
    </row>
    <row r="14" spans="1:5" s="13" customFormat="1" ht="12.75" customHeight="1">
      <c r="A14" s="38" t="s">
        <v>128</v>
      </c>
      <c r="B14" s="79">
        <f>SUM(B15)</f>
        <v>664400</v>
      </c>
      <c r="C14" s="79">
        <f>SUM(C15)</f>
        <v>656108</v>
      </c>
      <c r="D14" s="40">
        <f>IF(B14=0,"   ",C14/B14*100)</f>
        <v>98.7519566526189</v>
      </c>
      <c r="E14" s="41">
        <f>C14-B14</f>
        <v>-8292</v>
      </c>
    </row>
    <row r="15" spans="1:5" s="13" customFormat="1" ht="15.75" customHeight="1">
      <c r="A15" s="21" t="s">
        <v>129</v>
      </c>
      <c r="B15" s="80">
        <v>664400</v>
      </c>
      <c r="C15" s="125">
        <v>656108</v>
      </c>
      <c r="D15" s="40">
        <f>IF(B15=0,"   ",C15/B15*100)</f>
        <v>98.7519566526189</v>
      </c>
      <c r="E15" s="41">
        <f>C15-B15</f>
        <v>-8292</v>
      </c>
    </row>
    <row r="16" spans="1:5" s="14" customFormat="1" ht="17.25" customHeight="1">
      <c r="A16" s="21" t="s">
        <v>7</v>
      </c>
      <c r="B16" s="79">
        <f>SUM(B18)</f>
        <v>8000</v>
      </c>
      <c r="C16" s="80">
        <f>SUM(C18:C18)</f>
        <v>4039.71</v>
      </c>
      <c r="D16" s="40">
        <f>IF(B16=0,"   ",C16/B16*100)</f>
        <v>50.49637500000001</v>
      </c>
      <c r="E16" s="41">
        <f>C16-B16</f>
        <v>-3960.29</v>
      </c>
    </row>
    <row r="17" spans="1:5" s="13" customFormat="1" ht="12.75" customHeight="1" hidden="1">
      <c r="A17" s="21" t="s">
        <v>8</v>
      </c>
      <c r="B17" s="80">
        <v>103725</v>
      </c>
      <c r="C17" s="82">
        <v>92515</v>
      </c>
      <c r="D17" s="40" t="e">
        <f>IF(#REF!=0,"   ",C17/#REF!)</f>
        <v>#REF!</v>
      </c>
      <c r="E17" s="41" t="e">
        <f>C17-#REF!</f>
        <v>#REF!</v>
      </c>
    </row>
    <row r="18" spans="1:5" s="13" customFormat="1" ht="17.25" customHeight="1">
      <c r="A18" s="21" t="s">
        <v>107</v>
      </c>
      <c r="B18" s="80">
        <v>8000</v>
      </c>
      <c r="C18" s="125">
        <v>4039.71</v>
      </c>
      <c r="D18" s="40">
        <f aca="true" t="shared" si="0" ref="D18:D36">IF(B18=0,"   ",C18/B18*100)</f>
        <v>50.49637500000001</v>
      </c>
      <c r="E18" s="41">
        <f aca="true" t="shared" si="1" ref="E18:E36">C18-B18</f>
        <v>-3960.29</v>
      </c>
    </row>
    <row r="19" spans="1:5" s="13" customFormat="1" ht="18" customHeight="1">
      <c r="A19" s="21" t="s">
        <v>9</v>
      </c>
      <c r="B19" s="80">
        <f>SUM(B20:B21)</f>
        <v>848000</v>
      </c>
      <c r="C19" s="80">
        <f>SUM(C20:C21)</f>
        <v>473713.6</v>
      </c>
      <c r="D19" s="40">
        <f t="shared" si="0"/>
        <v>55.86245283018868</v>
      </c>
      <c r="E19" s="41">
        <f t="shared" si="1"/>
        <v>-374286.4</v>
      </c>
    </row>
    <row r="20" spans="1:5" s="13" customFormat="1" ht="13.5">
      <c r="A20" s="21" t="s">
        <v>108</v>
      </c>
      <c r="B20" s="80">
        <v>413000</v>
      </c>
      <c r="C20" s="125">
        <v>97354.84</v>
      </c>
      <c r="D20" s="40">
        <f t="shared" si="0"/>
        <v>23.5726004842615</v>
      </c>
      <c r="E20" s="41">
        <f t="shared" si="1"/>
        <v>-315645.16000000003</v>
      </c>
    </row>
    <row r="21" spans="1:5" s="13" customFormat="1" ht="16.5" customHeight="1">
      <c r="A21" s="21" t="s">
        <v>150</v>
      </c>
      <c r="B21" s="80">
        <f>SUM(B22:B23)</f>
        <v>435000</v>
      </c>
      <c r="C21" s="80">
        <f>SUM(C22:C23)</f>
        <v>376358.76</v>
      </c>
      <c r="D21" s="40">
        <f t="shared" si="0"/>
        <v>86.5192551724138</v>
      </c>
      <c r="E21" s="41">
        <f t="shared" si="1"/>
        <v>-58641.23999999999</v>
      </c>
    </row>
    <row r="22" spans="1:5" s="13" customFormat="1" ht="13.5">
      <c r="A22" s="21" t="s">
        <v>151</v>
      </c>
      <c r="B22" s="80">
        <v>168000</v>
      </c>
      <c r="C22" s="125">
        <v>193746.76</v>
      </c>
      <c r="D22" s="40">
        <f t="shared" si="0"/>
        <v>115.32545238095237</v>
      </c>
      <c r="E22" s="41">
        <f t="shared" si="1"/>
        <v>25746.76000000001</v>
      </c>
    </row>
    <row r="23" spans="1:5" s="13" customFormat="1" ht="13.5">
      <c r="A23" s="21" t="s">
        <v>152</v>
      </c>
      <c r="B23" s="80">
        <v>267000</v>
      </c>
      <c r="C23" s="125">
        <v>182612</v>
      </c>
      <c r="D23" s="40">
        <f t="shared" si="0"/>
        <v>68.3940074906367</v>
      </c>
      <c r="E23" s="41">
        <f t="shared" si="1"/>
        <v>-84388</v>
      </c>
    </row>
    <row r="24" spans="1:5" s="13" customFormat="1" ht="13.5">
      <c r="A24" s="21" t="s">
        <v>182</v>
      </c>
      <c r="B24" s="80">
        <v>0</v>
      </c>
      <c r="C24" s="125">
        <v>0</v>
      </c>
      <c r="D24" s="40" t="str">
        <f t="shared" si="0"/>
        <v>   </v>
      </c>
      <c r="E24" s="41">
        <f t="shared" si="1"/>
        <v>0</v>
      </c>
    </row>
    <row r="25" spans="1:5" s="13" customFormat="1" ht="19.5" customHeight="1">
      <c r="A25" s="21" t="s">
        <v>84</v>
      </c>
      <c r="B25" s="80">
        <v>0</v>
      </c>
      <c r="C25" s="80">
        <v>0</v>
      </c>
      <c r="D25" s="40" t="str">
        <f t="shared" si="0"/>
        <v>   </v>
      </c>
      <c r="E25" s="41">
        <f t="shared" si="1"/>
        <v>0</v>
      </c>
    </row>
    <row r="26" spans="1:5" s="13" customFormat="1" ht="24.75" customHeight="1">
      <c r="A26" s="21" t="s">
        <v>28</v>
      </c>
      <c r="B26" s="36">
        <f>SUM(B27:B30)</f>
        <v>496900</v>
      </c>
      <c r="C26" s="36">
        <f>SUM(C27:C30)</f>
        <v>422619.15</v>
      </c>
      <c r="D26" s="40">
        <f t="shared" si="0"/>
        <v>85.051147112095</v>
      </c>
      <c r="E26" s="41">
        <f t="shared" si="1"/>
        <v>-74280.84999999998</v>
      </c>
    </row>
    <row r="27" spans="1:5" s="13" customFormat="1" ht="13.5">
      <c r="A27" s="21" t="s">
        <v>142</v>
      </c>
      <c r="B27" s="80">
        <v>456300</v>
      </c>
      <c r="C27" s="125">
        <v>361379.75</v>
      </c>
      <c r="D27" s="40">
        <f t="shared" si="0"/>
        <v>79.19784133245672</v>
      </c>
      <c r="E27" s="41">
        <f t="shared" si="1"/>
        <v>-94920.25</v>
      </c>
    </row>
    <row r="28" spans="1:5" s="13" customFormat="1" ht="15.75" customHeight="1">
      <c r="A28" s="21" t="s">
        <v>30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s="13" customFormat="1" ht="24.75" customHeight="1">
      <c r="A29" s="21" t="s">
        <v>237</v>
      </c>
      <c r="B29" s="36">
        <v>30600</v>
      </c>
      <c r="C29" s="163">
        <v>61239.4</v>
      </c>
      <c r="D29" s="40">
        <f>IF(B29=0,"   ",C29/B29*100)</f>
        <v>200.12875816993466</v>
      </c>
      <c r="E29" s="41">
        <f>C29-B29</f>
        <v>30639.4</v>
      </c>
    </row>
    <row r="30" spans="1:5" s="13" customFormat="1" ht="44.25" customHeight="1">
      <c r="A30" s="21" t="s">
        <v>204</v>
      </c>
      <c r="B30" s="36">
        <v>10000</v>
      </c>
      <c r="C30" s="126">
        <v>0</v>
      </c>
      <c r="D30" s="40">
        <f t="shared" si="0"/>
        <v>0</v>
      </c>
      <c r="E30" s="41">
        <f t="shared" si="1"/>
        <v>-10000</v>
      </c>
    </row>
    <row r="31" spans="1:5" s="13" customFormat="1" ht="18.75" customHeight="1">
      <c r="A31" s="21" t="s">
        <v>87</v>
      </c>
      <c r="B31" s="79">
        <v>26000</v>
      </c>
      <c r="C31" s="82">
        <v>35462.45</v>
      </c>
      <c r="D31" s="40">
        <f t="shared" si="0"/>
        <v>136.39403846153846</v>
      </c>
      <c r="E31" s="41">
        <f t="shared" si="1"/>
        <v>9462.449999999997</v>
      </c>
    </row>
    <row r="32" spans="1:5" s="13" customFormat="1" ht="16.5" customHeight="1">
      <c r="A32" s="21" t="s">
        <v>78</v>
      </c>
      <c r="B32" s="79">
        <f>B33+B34</f>
        <v>5357000</v>
      </c>
      <c r="C32" s="79">
        <f>C33+C34</f>
        <v>5357646</v>
      </c>
      <c r="D32" s="40">
        <f t="shared" si="0"/>
        <v>100.01205898823969</v>
      </c>
      <c r="E32" s="41">
        <f t="shared" si="1"/>
        <v>646</v>
      </c>
    </row>
    <row r="33" spans="1:5" s="13" customFormat="1" ht="16.5" customHeight="1">
      <c r="A33" s="21" t="s">
        <v>126</v>
      </c>
      <c r="B33" s="79">
        <v>0</v>
      </c>
      <c r="C33" s="125">
        <v>0</v>
      </c>
      <c r="D33" s="40" t="str">
        <f t="shared" si="0"/>
        <v>   </v>
      </c>
      <c r="E33" s="41">
        <f t="shared" si="1"/>
        <v>0</v>
      </c>
    </row>
    <row r="34" spans="1:5" s="13" customFormat="1" ht="27.75" customHeight="1">
      <c r="A34" s="21" t="s">
        <v>190</v>
      </c>
      <c r="B34" s="36">
        <v>5357000</v>
      </c>
      <c r="C34" s="166">
        <v>5357646</v>
      </c>
      <c r="D34" s="40">
        <f t="shared" si="0"/>
        <v>100.01205898823969</v>
      </c>
      <c r="E34" s="41">
        <f t="shared" si="1"/>
        <v>646</v>
      </c>
    </row>
    <row r="35" spans="1:5" s="13" customFormat="1" ht="15.75" customHeight="1">
      <c r="A35" s="21" t="s">
        <v>31</v>
      </c>
      <c r="B35" s="80">
        <v>0</v>
      </c>
      <c r="C35" s="127">
        <v>0</v>
      </c>
      <c r="D35" s="40" t="str">
        <f t="shared" si="0"/>
        <v>   </v>
      </c>
      <c r="E35" s="41">
        <f t="shared" si="1"/>
        <v>0</v>
      </c>
    </row>
    <row r="36" spans="1:5" s="13" customFormat="1" ht="15" customHeight="1">
      <c r="A36" s="21" t="s">
        <v>32</v>
      </c>
      <c r="B36" s="80">
        <f>B39+B41+B40</f>
        <v>70300</v>
      </c>
      <c r="C36" s="80">
        <f>SUM(C39:C41)</f>
        <v>70300</v>
      </c>
      <c r="D36" s="40">
        <f t="shared" si="0"/>
        <v>100</v>
      </c>
      <c r="E36" s="41">
        <f t="shared" si="1"/>
        <v>0</v>
      </c>
    </row>
    <row r="37" spans="1:5" s="13" customFormat="1" ht="12.75" customHeight="1" hidden="1">
      <c r="A37" s="128" t="s">
        <v>33</v>
      </c>
      <c r="B37" s="80"/>
      <c r="C37" s="129"/>
      <c r="D37" s="40" t="e">
        <f>IF(#REF!=0,"   ",C37/#REF!)</f>
        <v>#REF!</v>
      </c>
      <c r="E37" s="41" t="e">
        <f>C37-#REF!</f>
        <v>#REF!</v>
      </c>
    </row>
    <row r="38" spans="1:5" s="8" customFormat="1" ht="12.75" customHeight="1" hidden="1">
      <c r="A38" s="128" t="s">
        <v>16</v>
      </c>
      <c r="B38" s="130" t="e">
        <f>SUM(B46,#REF!,#REF!,#REF!)</f>
        <v>#REF!</v>
      </c>
      <c r="C38" s="83" t="e">
        <f>SUM(C46,#REF!,#REF!,#REF!)</f>
        <v>#REF!</v>
      </c>
      <c r="D38" s="40" t="e">
        <f>IF(#REF!=0,"   ",C38/#REF!)</f>
        <v>#REF!</v>
      </c>
      <c r="E38" s="41" t="e">
        <f>C38-#REF!</f>
        <v>#REF!</v>
      </c>
    </row>
    <row r="39" spans="1:5" s="8" customFormat="1" ht="13.5">
      <c r="A39" s="21" t="s">
        <v>125</v>
      </c>
      <c r="B39" s="80">
        <v>0</v>
      </c>
      <c r="C39" s="79">
        <v>0</v>
      </c>
      <c r="D39" s="40" t="str">
        <f>IF(B39=0,"   ",C39/B39*100)</f>
        <v>   </v>
      </c>
      <c r="E39" s="41">
        <f>C39-B39</f>
        <v>0</v>
      </c>
    </row>
    <row r="40" spans="1:5" s="8" customFormat="1" ht="13.5">
      <c r="A40" s="21" t="s">
        <v>301</v>
      </c>
      <c r="B40" s="80">
        <v>70300</v>
      </c>
      <c r="C40" s="79">
        <v>70300</v>
      </c>
      <c r="D40" s="40">
        <f>IF(B40=0,"   ",C40/B40*100)</f>
        <v>100</v>
      </c>
      <c r="E40" s="41">
        <f>C40-B40</f>
        <v>0</v>
      </c>
    </row>
    <row r="41" spans="1:5" s="8" customFormat="1" ht="15" customHeight="1">
      <c r="A41" s="21" t="s">
        <v>102</v>
      </c>
      <c r="B41" s="80">
        <v>0</v>
      </c>
      <c r="C41" s="79">
        <v>0</v>
      </c>
      <c r="D41" s="40" t="str">
        <f>IF(B41=0,"   ",C41/B41*100)</f>
        <v>   </v>
      </c>
      <c r="E41" s="41">
        <f>C41-B41</f>
        <v>0</v>
      </c>
    </row>
    <row r="42" spans="1:5" s="8" customFormat="1" ht="12.75" customHeight="1" hidden="1">
      <c r="A42" s="21" t="s">
        <v>46</v>
      </c>
      <c r="B42" s="130"/>
      <c r="C42" s="79">
        <v>0</v>
      </c>
      <c r="D42" s="40" t="e">
        <f>IF(#REF!=0,"   ",C42/#REF!)</f>
        <v>#REF!</v>
      </c>
      <c r="E42" s="41" t="e">
        <f>C42-#REF!</f>
        <v>#REF!</v>
      </c>
    </row>
    <row r="43" spans="1:5" s="8" customFormat="1" ht="0.75" customHeight="1" hidden="1">
      <c r="A43" s="131" t="s">
        <v>47</v>
      </c>
      <c r="B43" s="132">
        <v>1250</v>
      </c>
      <c r="C43" s="133"/>
      <c r="D43" s="90" t="e">
        <f>IF(#REF!=0,"   ",C43/#REF!)</f>
        <v>#REF!</v>
      </c>
      <c r="E43" s="91" t="e">
        <f>C43-#REF!</f>
        <v>#REF!</v>
      </c>
    </row>
    <row r="44" spans="1:5" s="8" customFormat="1" ht="22.5" customHeight="1">
      <c r="A44" s="64" t="s">
        <v>10</v>
      </c>
      <c r="B44" s="116">
        <f>B7+B16+B19+B25+B26+B31+B32+B36+B14+B35+B24</f>
        <v>7848600</v>
      </c>
      <c r="C44" s="116">
        <f>C7+C16+C19+C25+C26+C31+C32+C36+C14+C35+C24</f>
        <v>7283566.27</v>
      </c>
      <c r="D44" s="46">
        <f aca="true" t="shared" si="2" ref="D44:D61">IF(B44=0,"   ",C44/B44*100)</f>
        <v>92.8008341615065</v>
      </c>
      <c r="E44" s="134">
        <f aca="true" t="shared" si="3" ref="E44:E61">C44-B44</f>
        <v>-565033.7300000004</v>
      </c>
    </row>
    <row r="45" spans="1:5" s="8" customFormat="1" ht="18.75" customHeight="1">
      <c r="A45" s="62" t="s">
        <v>131</v>
      </c>
      <c r="B45" s="135">
        <f>SUM(B46:B49,B52:B55,B61)</f>
        <v>6069820</v>
      </c>
      <c r="C45" s="135">
        <f>SUM(C46:C49,C52:C55,C61)</f>
        <v>5750640.6</v>
      </c>
      <c r="D45" s="40">
        <f t="shared" si="2"/>
        <v>94.74153434533477</v>
      </c>
      <c r="E45" s="107">
        <f t="shared" si="3"/>
        <v>-319179.4000000004</v>
      </c>
    </row>
    <row r="46" spans="1:5" s="13" customFormat="1" ht="19.5" customHeight="1">
      <c r="A46" s="136" t="s">
        <v>34</v>
      </c>
      <c r="B46" s="135">
        <v>1418600</v>
      </c>
      <c r="C46" s="125">
        <v>1182900</v>
      </c>
      <c r="D46" s="97">
        <f t="shared" si="2"/>
        <v>83.38502749189341</v>
      </c>
      <c r="E46" s="98">
        <f t="shared" si="3"/>
        <v>-235700</v>
      </c>
    </row>
    <row r="47" spans="1:5" s="13" customFormat="1" ht="19.5" customHeight="1">
      <c r="A47" s="38" t="s">
        <v>207</v>
      </c>
      <c r="B47" s="135">
        <v>0</v>
      </c>
      <c r="C47" s="125">
        <v>0</v>
      </c>
      <c r="D47" s="97" t="str">
        <f>IF(B47=0,"   ",C47/B47*100)</f>
        <v>   </v>
      </c>
      <c r="E47" s="98">
        <f>C47-B47</f>
        <v>0</v>
      </c>
    </row>
    <row r="48" spans="1:5" s="13" customFormat="1" ht="30" customHeight="1">
      <c r="A48" s="52" t="s">
        <v>51</v>
      </c>
      <c r="B48" s="85">
        <v>99900</v>
      </c>
      <c r="C48" s="126">
        <v>93000</v>
      </c>
      <c r="D48" s="54">
        <f t="shared" si="2"/>
        <v>93.09309309309309</v>
      </c>
      <c r="E48" s="55">
        <f t="shared" si="3"/>
        <v>-6900</v>
      </c>
    </row>
    <row r="49" spans="1:5" s="13" customFormat="1" ht="30" customHeight="1">
      <c r="A49" s="52" t="s">
        <v>138</v>
      </c>
      <c r="B49" s="85">
        <f>SUM(B50:B51)</f>
        <v>100</v>
      </c>
      <c r="C49" s="85">
        <f>SUM(C50:C51)</f>
        <v>100</v>
      </c>
      <c r="D49" s="54">
        <f t="shared" si="2"/>
        <v>100</v>
      </c>
      <c r="E49" s="55">
        <f t="shared" si="3"/>
        <v>0</v>
      </c>
    </row>
    <row r="50" spans="1:5" s="13" customFormat="1" ht="18" customHeight="1">
      <c r="A50" s="52" t="s">
        <v>153</v>
      </c>
      <c r="B50" s="85">
        <v>100</v>
      </c>
      <c r="C50" s="85">
        <v>100</v>
      </c>
      <c r="D50" s="54">
        <f t="shared" si="2"/>
        <v>100</v>
      </c>
      <c r="E50" s="55">
        <f t="shared" si="3"/>
        <v>0</v>
      </c>
    </row>
    <row r="51" spans="1:5" s="13" customFormat="1" ht="30" customHeight="1">
      <c r="A51" s="52" t="s">
        <v>154</v>
      </c>
      <c r="B51" s="85">
        <v>0</v>
      </c>
      <c r="C51" s="85">
        <v>0</v>
      </c>
      <c r="D51" s="54" t="str">
        <f t="shared" si="2"/>
        <v>   </v>
      </c>
      <c r="E51" s="55">
        <f t="shared" si="3"/>
        <v>0</v>
      </c>
    </row>
    <row r="52" spans="1:5" s="13" customFormat="1" ht="39.75" customHeight="1">
      <c r="A52" s="21" t="s">
        <v>97</v>
      </c>
      <c r="B52" s="85">
        <v>0</v>
      </c>
      <c r="C52" s="85">
        <v>0</v>
      </c>
      <c r="D52" s="54" t="str">
        <f t="shared" si="2"/>
        <v>   </v>
      </c>
      <c r="E52" s="55">
        <f t="shared" si="3"/>
        <v>0</v>
      </c>
    </row>
    <row r="53" spans="1:5" s="13" customFormat="1" ht="30" customHeight="1">
      <c r="A53" s="21" t="s">
        <v>310</v>
      </c>
      <c r="B53" s="85">
        <v>61000</v>
      </c>
      <c r="C53" s="85">
        <v>61000</v>
      </c>
      <c r="D53" s="54">
        <f t="shared" si="2"/>
        <v>100</v>
      </c>
      <c r="E53" s="55">
        <f t="shared" si="3"/>
        <v>0</v>
      </c>
    </row>
    <row r="54" spans="1:5" s="13" customFormat="1" ht="41.25" customHeight="1">
      <c r="A54" s="21" t="s">
        <v>214</v>
      </c>
      <c r="B54" s="85">
        <v>1054600</v>
      </c>
      <c r="C54" s="85">
        <v>1054600</v>
      </c>
      <c r="D54" s="54">
        <f t="shared" si="2"/>
        <v>100</v>
      </c>
      <c r="E54" s="55">
        <f t="shared" si="3"/>
        <v>0</v>
      </c>
    </row>
    <row r="55" spans="1:5" s="13" customFormat="1" ht="18" customHeight="1">
      <c r="A55" s="21" t="s">
        <v>54</v>
      </c>
      <c r="B55" s="36">
        <f>SUM(B56:B60)</f>
        <v>3435620</v>
      </c>
      <c r="C55" s="36">
        <f>SUM(C56:C60)</f>
        <v>3359040.6</v>
      </c>
      <c r="D55" s="40">
        <f t="shared" si="2"/>
        <v>97.77101658507053</v>
      </c>
      <c r="E55" s="41">
        <f t="shared" si="3"/>
        <v>-76579.3999999999</v>
      </c>
    </row>
    <row r="56" spans="1:5" s="13" customFormat="1" ht="18" customHeight="1">
      <c r="A56" s="21" t="s">
        <v>337</v>
      </c>
      <c r="B56" s="36">
        <v>210900</v>
      </c>
      <c r="C56" s="36">
        <v>210900</v>
      </c>
      <c r="D56" s="40">
        <f t="shared" si="2"/>
        <v>100</v>
      </c>
      <c r="E56" s="41">
        <f t="shared" si="3"/>
        <v>0</v>
      </c>
    </row>
    <row r="57" spans="1:5" s="13" customFormat="1" ht="16.5" customHeight="1">
      <c r="A57" s="21" t="s">
        <v>337</v>
      </c>
      <c r="B57" s="36">
        <v>0</v>
      </c>
      <c r="C57" s="36">
        <v>0</v>
      </c>
      <c r="D57" s="40" t="str">
        <f>IF(B57=0,"   ",C57/B57*100)</f>
        <v>   </v>
      </c>
      <c r="E57" s="41">
        <f>C57-B57</f>
        <v>0</v>
      </c>
    </row>
    <row r="58" spans="1:5" s="13" customFormat="1" ht="18" customHeight="1">
      <c r="A58" s="21" t="s">
        <v>278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s="13" customFormat="1" ht="18" customHeight="1">
      <c r="A59" s="21" t="s">
        <v>255</v>
      </c>
      <c r="B59" s="36">
        <v>2862620</v>
      </c>
      <c r="C59" s="36">
        <v>2824389</v>
      </c>
      <c r="D59" s="40">
        <f>IF(B59=0,"   ",C59/B59*100)</f>
        <v>98.66447520103961</v>
      </c>
      <c r="E59" s="41">
        <f>C59-B59</f>
        <v>-38231</v>
      </c>
    </row>
    <row r="60" spans="1:5" s="13" customFormat="1" ht="20.25" customHeight="1">
      <c r="A60" s="21" t="s">
        <v>103</v>
      </c>
      <c r="B60" s="36">
        <v>362100</v>
      </c>
      <c r="C60" s="36">
        <v>323751.6</v>
      </c>
      <c r="D60" s="40">
        <f t="shared" si="2"/>
        <v>89.40944490472245</v>
      </c>
      <c r="E60" s="41">
        <f t="shared" si="3"/>
        <v>-38348.40000000002</v>
      </c>
    </row>
    <row r="61" spans="1:5" s="13" customFormat="1" ht="24.75" customHeight="1">
      <c r="A61" s="21" t="s">
        <v>184</v>
      </c>
      <c r="B61" s="36">
        <v>0</v>
      </c>
      <c r="C61" s="36">
        <v>0</v>
      </c>
      <c r="D61" s="40" t="str">
        <f t="shared" si="2"/>
        <v>   </v>
      </c>
      <c r="E61" s="41">
        <f t="shared" si="3"/>
        <v>0</v>
      </c>
    </row>
    <row r="62" spans="1:5" s="13" customFormat="1" ht="27" customHeight="1">
      <c r="A62" s="44" t="s">
        <v>11</v>
      </c>
      <c r="B62" s="116">
        <f>B44+B45</f>
        <v>13918420</v>
      </c>
      <c r="C62" s="116">
        <f>C44+C45</f>
        <v>13034206.87</v>
      </c>
      <c r="D62" s="46">
        <f aca="true" t="shared" si="4" ref="D62:D95">IF(B62=0,"   ",C62/B62*100)</f>
        <v>93.64717309867068</v>
      </c>
      <c r="E62" s="47">
        <f aca="true" t="shared" si="5" ref="E62:E95">C62-B62</f>
        <v>-884213.1300000008</v>
      </c>
    </row>
    <row r="63" spans="1:5" s="7" customFormat="1" ht="15" thickBot="1">
      <c r="A63" s="87" t="s">
        <v>12</v>
      </c>
      <c r="B63" s="137"/>
      <c r="C63" s="138"/>
      <c r="D63" s="90"/>
      <c r="E63" s="91"/>
    </row>
    <row r="64" spans="1:5" s="13" customFormat="1" ht="18.75" customHeight="1" thickBot="1">
      <c r="A64" s="92" t="s">
        <v>35</v>
      </c>
      <c r="B64" s="93">
        <f>SUM(B65,B68:B69)</f>
        <v>1943150</v>
      </c>
      <c r="C64" s="93">
        <f>SUM(C65,C68:C69)</f>
        <v>1566087.89</v>
      </c>
      <c r="D64" s="94">
        <f t="shared" si="4"/>
        <v>80.59531636775338</v>
      </c>
      <c r="E64" s="95">
        <f t="shared" si="5"/>
        <v>-377062.1100000001</v>
      </c>
    </row>
    <row r="65" spans="1:5" s="13" customFormat="1" ht="17.25" customHeight="1" thickBot="1">
      <c r="A65" s="68" t="s">
        <v>36</v>
      </c>
      <c r="B65" s="96">
        <v>1912050</v>
      </c>
      <c r="C65" s="93">
        <v>1540487.89</v>
      </c>
      <c r="D65" s="97">
        <f t="shared" si="4"/>
        <v>80.56734342721163</v>
      </c>
      <c r="E65" s="98">
        <f t="shared" si="5"/>
        <v>-371562.1100000001</v>
      </c>
    </row>
    <row r="66" spans="1:5" s="13" customFormat="1" ht="18" customHeight="1">
      <c r="A66" s="21" t="s">
        <v>114</v>
      </c>
      <c r="B66" s="36">
        <v>918088</v>
      </c>
      <c r="C66" s="99">
        <v>718892.94</v>
      </c>
      <c r="D66" s="40">
        <f t="shared" si="4"/>
        <v>78.30327158180914</v>
      </c>
      <c r="E66" s="41">
        <f t="shared" si="5"/>
        <v>-199195.06000000006</v>
      </c>
    </row>
    <row r="67" spans="1:5" s="13" customFormat="1" ht="18" customHeight="1">
      <c r="A67" s="21" t="s">
        <v>312</v>
      </c>
      <c r="B67" s="36">
        <v>61000</v>
      </c>
      <c r="C67" s="99">
        <v>61000</v>
      </c>
      <c r="D67" s="40">
        <f>IF(B67=0,"   ",C67/B67*100)</f>
        <v>100</v>
      </c>
      <c r="E67" s="41">
        <f>C67-B67</f>
        <v>0</v>
      </c>
    </row>
    <row r="68" spans="1:5" s="13" customFormat="1" ht="15.75" customHeight="1">
      <c r="A68" s="21" t="s">
        <v>90</v>
      </c>
      <c r="B68" s="36">
        <v>500</v>
      </c>
      <c r="C68" s="99">
        <v>0</v>
      </c>
      <c r="D68" s="40">
        <f t="shared" si="4"/>
        <v>0</v>
      </c>
      <c r="E68" s="41">
        <f t="shared" si="5"/>
        <v>-500</v>
      </c>
    </row>
    <row r="69" spans="1:5" s="13" customFormat="1" ht="13.5">
      <c r="A69" s="21" t="s">
        <v>52</v>
      </c>
      <c r="B69" s="36">
        <f>SUM(B70:B71)</f>
        <v>30600</v>
      </c>
      <c r="C69" s="36">
        <f>SUM(C70:C71)</f>
        <v>25600</v>
      </c>
      <c r="D69" s="40">
        <f t="shared" si="4"/>
        <v>83.66013071895425</v>
      </c>
      <c r="E69" s="41">
        <f t="shared" si="5"/>
        <v>-5000</v>
      </c>
    </row>
    <row r="70" spans="1:5" s="13" customFormat="1" ht="28.5" customHeight="1">
      <c r="A70" s="17" t="s">
        <v>222</v>
      </c>
      <c r="B70" s="36">
        <v>25600</v>
      </c>
      <c r="C70" s="107">
        <v>25600</v>
      </c>
      <c r="D70" s="40">
        <f t="shared" si="4"/>
        <v>100</v>
      </c>
      <c r="E70" s="107">
        <f t="shared" si="5"/>
        <v>0</v>
      </c>
    </row>
    <row r="71" spans="1:5" s="13" customFormat="1" ht="17.25" customHeight="1" thickBot="1">
      <c r="A71" s="17" t="s">
        <v>201</v>
      </c>
      <c r="B71" s="36">
        <v>5000</v>
      </c>
      <c r="C71" s="107">
        <v>0</v>
      </c>
      <c r="D71" s="40">
        <f t="shared" si="4"/>
        <v>0</v>
      </c>
      <c r="E71" s="107">
        <f t="shared" si="5"/>
        <v>-5000</v>
      </c>
    </row>
    <row r="72" spans="1:5" s="13" customFormat="1" ht="14.25" thickBot="1">
      <c r="A72" s="92" t="s">
        <v>49</v>
      </c>
      <c r="B72" s="106">
        <f>SUM(B73)</f>
        <v>99900</v>
      </c>
      <c r="C72" s="106">
        <f>SUM(C73)</f>
        <v>74105.05</v>
      </c>
      <c r="D72" s="110">
        <f t="shared" si="4"/>
        <v>74.17922922922924</v>
      </c>
      <c r="E72" s="113">
        <f t="shared" si="5"/>
        <v>-25794.949999999997</v>
      </c>
    </row>
    <row r="73" spans="1:5" s="13" customFormat="1" ht="20.25" customHeight="1" thickBot="1">
      <c r="A73" s="60" t="s">
        <v>101</v>
      </c>
      <c r="B73" s="100">
        <v>99900</v>
      </c>
      <c r="C73" s="101">
        <v>74105.05</v>
      </c>
      <c r="D73" s="103">
        <f t="shared" si="4"/>
        <v>74.17922922922924</v>
      </c>
      <c r="E73" s="104">
        <f t="shared" si="5"/>
        <v>-25794.949999999997</v>
      </c>
    </row>
    <row r="74" spans="1:5" s="13" customFormat="1" ht="14.25" thickBot="1">
      <c r="A74" s="92" t="s">
        <v>37</v>
      </c>
      <c r="B74" s="93">
        <f>SUM(B75)</f>
        <v>15000</v>
      </c>
      <c r="C74" s="93">
        <f>SUM(C75)</f>
        <v>0</v>
      </c>
      <c r="D74" s="94">
        <f t="shared" si="4"/>
        <v>0</v>
      </c>
      <c r="E74" s="95">
        <f t="shared" si="5"/>
        <v>-15000</v>
      </c>
    </row>
    <row r="75" spans="1:5" s="13" customFormat="1" ht="14.25" thickBot="1">
      <c r="A75" s="60" t="s">
        <v>303</v>
      </c>
      <c r="B75" s="100">
        <v>15000</v>
      </c>
      <c r="C75" s="101">
        <v>0</v>
      </c>
      <c r="D75" s="103">
        <f t="shared" si="4"/>
        <v>0</v>
      </c>
      <c r="E75" s="104">
        <f t="shared" si="5"/>
        <v>-15000</v>
      </c>
    </row>
    <row r="76" spans="1:5" s="13" customFormat="1" ht="14.25" thickBot="1">
      <c r="A76" s="92" t="s">
        <v>38</v>
      </c>
      <c r="B76" s="93">
        <f>B77+B84+B96+B82</f>
        <v>2304040</v>
      </c>
      <c r="C76" s="93">
        <f>C77+C84+C96+C82</f>
        <v>1632524</v>
      </c>
      <c r="D76" s="94">
        <f t="shared" si="4"/>
        <v>70.85484627003004</v>
      </c>
      <c r="E76" s="95">
        <f t="shared" si="5"/>
        <v>-671516</v>
      </c>
    </row>
    <row r="77" spans="1:5" s="13" customFormat="1" ht="19.5" customHeight="1" thickBot="1">
      <c r="A77" s="60" t="s">
        <v>155</v>
      </c>
      <c r="B77" s="93">
        <f>SUM(B78:B81)</f>
        <v>0</v>
      </c>
      <c r="C77" s="93">
        <f>SUM(C78:C81)</f>
        <v>0</v>
      </c>
      <c r="D77" s="94" t="str">
        <f aca="true" t="shared" si="6" ref="D77:D83">IF(B77=0,"   ",C77/B77*100)</f>
        <v>   </v>
      </c>
      <c r="E77" s="95">
        <f aca="true" t="shared" si="7" ref="E77:E83">C77-B77</f>
        <v>0</v>
      </c>
    </row>
    <row r="78" spans="1:5" s="13" customFormat="1" ht="17.25" customHeight="1" thickBot="1">
      <c r="A78" s="62" t="s">
        <v>156</v>
      </c>
      <c r="B78" s="105">
        <v>0</v>
      </c>
      <c r="C78" s="93">
        <v>0</v>
      </c>
      <c r="D78" s="94" t="str">
        <f t="shared" si="6"/>
        <v>   </v>
      </c>
      <c r="E78" s="95">
        <f t="shared" si="7"/>
        <v>0</v>
      </c>
    </row>
    <row r="79" spans="1:5" s="13" customFormat="1" ht="17.25" customHeight="1">
      <c r="A79" s="62" t="s">
        <v>177</v>
      </c>
      <c r="B79" s="100">
        <v>0</v>
      </c>
      <c r="C79" s="109">
        <v>0</v>
      </c>
      <c r="D79" s="97" t="str">
        <f t="shared" si="6"/>
        <v>   </v>
      </c>
      <c r="E79" s="107">
        <f t="shared" si="7"/>
        <v>0</v>
      </c>
    </row>
    <row r="80" spans="1:5" s="13" customFormat="1" ht="17.25" customHeight="1">
      <c r="A80" s="62" t="s">
        <v>279</v>
      </c>
      <c r="B80" s="36">
        <v>0</v>
      </c>
      <c r="C80" s="36">
        <v>0</v>
      </c>
      <c r="D80" s="97" t="str">
        <f t="shared" si="6"/>
        <v>   </v>
      </c>
      <c r="E80" s="107">
        <f t="shared" si="7"/>
        <v>0</v>
      </c>
    </row>
    <row r="81" spans="1:5" s="13" customFormat="1" ht="17.25" customHeight="1">
      <c r="A81" s="62" t="s">
        <v>280</v>
      </c>
      <c r="B81" s="36">
        <v>0</v>
      </c>
      <c r="C81" s="36">
        <v>0</v>
      </c>
      <c r="D81" s="97" t="str">
        <f t="shared" si="6"/>
        <v>   </v>
      </c>
      <c r="E81" s="107">
        <f t="shared" si="7"/>
        <v>0</v>
      </c>
    </row>
    <row r="82" spans="1:5" s="13" customFormat="1" ht="17.25" customHeight="1" thickBot="1">
      <c r="A82" s="62" t="s">
        <v>208</v>
      </c>
      <c r="B82" s="106">
        <f>SUM(B83)</f>
        <v>0</v>
      </c>
      <c r="C82" s="106">
        <f>SUM(C83)</f>
        <v>0</v>
      </c>
      <c r="D82" s="97" t="str">
        <f t="shared" si="6"/>
        <v>   </v>
      </c>
      <c r="E82" s="98">
        <f t="shared" si="7"/>
        <v>0</v>
      </c>
    </row>
    <row r="83" spans="1:5" s="13" customFormat="1" ht="17.25" customHeight="1">
      <c r="A83" s="62" t="s">
        <v>209</v>
      </c>
      <c r="B83" s="100">
        <v>0</v>
      </c>
      <c r="C83" s="100">
        <v>0</v>
      </c>
      <c r="D83" s="97" t="str">
        <f t="shared" si="6"/>
        <v>   </v>
      </c>
      <c r="E83" s="98">
        <f t="shared" si="7"/>
        <v>0</v>
      </c>
    </row>
    <row r="84" spans="1:5" s="13" customFormat="1" ht="18.75" customHeight="1">
      <c r="A84" s="62" t="s">
        <v>123</v>
      </c>
      <c r="B84" s="96">
        <f>SUM(B85:B86,B90:B95)</f>
        <v>2192140</v>
      </c>
      <c r="C84" s="96">
        <f>SUM(C85:C86,C90:C95)</f>
        <v>1531524</v>
      </c>
      <c r="D84" s="97">
        <f t="shared" si="4"/>
        <v>69.86433348235059</v>
      </c>
      <c r="E84" s="98">
        <f t="shared" si="5"/>
        <v>-660616</v>
      </c>
    </row>
    <row r="85" spans="1:5" s="13" customFormat="1" ht="19.5" customHeight="1">
      <c r="A85" s="60" t="s">
        <v>139</v>
      </c>
      <c r="B85" s="36">
        <v>0</v>
      </c>
      <c r="C85" s="36"/>
      <c r="D85" s="97" t="str">
        <f t="shared" si="4"/>
        <v>   </v>
      </c>
      <c r="E85" s="107">
        <f t="shared" si="5"/>
        <v>0</v>
      </c>
    </row>
    <row r="86" spans="1:5" s="13" customFormat="1" ht="19.5" customHeight="1">
      <c r="A86" s="17" t="s">
        <v>191</v>
      </c>
      <c r="B86" s="36">
        <f>SUM(B87:B89)</f>
        <v>0</v>
      </c>
      <c r="C86" s="36">
        <f>SUM(C87:C89)</f>
        <v>0</v>
      </c>
      <c r="D86" s="97" t="str">
        <f>IF(B86=0,"   ",C86/B86*100)</f>
        <v>   </v>
      </c>
      <c r="E86" s="107">
        <f>C86-B86</f>
        <v>0</v>
      </c>
    </row>
    <row r="87" spans="1:5" s="13" customFormat="1" ht="29.25" customHeight="1">
      <c r="A87" s="17" t="s">
        <v>197</v>
      </c>
      <c r="B87" s="36">
        <v>0</v>
      </c>
      <c r="C87" s="36">
        <v>0</v>
      </c>
      <c r="D87" s="97" t="str">
        <f>IF(B87=0,"   ",C87/B87*100)</f>
        <v>   </v>
      </c>
      <c r="E87" s="107">
        <f>C87-B87</f>
        <v>0</v>
      </c>
    </row>
    <row r="88" spans="1:5" s="13" customFormat="1" ht="27" customHeight="1">
      <c r="A88" s="17" t="s">
        <v>192</v>
      </c>
      <c r="B88" s="36">
        <v>0</v>
      </c>
      <c r="C88" s="36">
        <v>0</v>
      </c>
      <c r="D88" s="97" t="str">
        <f>IF(B88=0,"   ",C88/B88*100)</f>
        <v>   </v>
      </c>
      <c r="E88" s="107">
        <f>C88-B88</f>
        <v>0</v>
      </c>
    </row>
    <row r="89" spans="1:5" s="13" customFormat="1" ht="26.25" customHeight="1">
      <c r="A89" s="17" t="s">
        <v>198</v>
      </c>
      <c r="B89" s="36">
        <v>0</v>
      </c>
      <c r="C89" s="36">
        <v>0</v>
      </c>
      <c r="D89" s="97" t="str">
        <f>IF(B89=0,"   ",C89/B89*100)</f>
        <v>   </v>
      </c>
      <c r="E89" s="107">
        <f>C89-B89</f>
        <v>0</v>
      </c>
    </row>
    <row r="90" spans="1:5" s="13" customFormat="1" ht="33.75" customHeight="1">
      <c r="A90" s="17" t="s">
        <v>225</v>
      </c>
      <c r="B90" s="36">
        <v>407000</v>
      </c>
      <c r="C90" s="36">
        <v>0</v>
      </c>
      <c r="D90" s="97">
        <f t="shared" si="4"/>
        <v>0</v>
      </c>
      <c r="E90" s="114">
        <f t="shared" si="5"/>
        <v>-407000</v>
      </c>
    </row>
    <row r="91" spans="1:5" s="13" customFormat="1" ht="27" customHeight="1">
      <c r="A91" s="17" t="s">
        <v>226</v>
      </c>
      <c r="B91" s="36">
        <v>211040</v>
      </c>
      <c r="C91" s="36">
        <v>0</v>
      </c>
      <c r="D91" s="97">
        <f t="shared" si="4"/>
        <v>0</v>
      </c>
      <c r="E91" s="114">
        <f t="shared" si="5"/>
        <v>-211040</v>
      </c>
    </row>
    <row r="92" spans="1:5" s="13" customFormat="1" ht="27" customHeight="1">
      <c r="A92" s="17" t="s">
        <v>227</v>
      </c>
      <c r="B92" s="36">
        <v>1054600</v>
      </c>
      <c r="C92" s="36">
        <v>1054600</v>
      </c>
      <c r="D92" s="97">
        <f t="shared" si="4"/>
        <v>100</v>
      </c>
      <c r="E92" s="114">
        <f t="shared" si="5"/>
        <v>0</v>
      </c>
    </row>
    <row r="93" spans="1:5" s="13" customFormat="1" ht="27" customHeight="1">
      <c r="A93" s="17" t="s">
        <v>228</v>
      </c>
      <c r="B93" s="36">
        <v>117200</v>
      </c>
      <c r="C93" s="36">
        <v>117200</v>
      </c>
      <c r="D93" s="97">
        <f t="shared" si="4"/>
        <v>100</v>
      </c>
      <c r="E93" s="114">
        <f t="shared" si="5"/>
        <v>0</v>
      </c>
    </row>
    <row r="94" spans="1:5" s="13" customFormat="1" ht="27" customHeight="1">
      <c r="A94" s="17" t="s">
        <v>229</v>
      </c>
      <c r="B94" s="36">
        <v>362100</v>
      </c>
      <c r="C94" s="36">
        <v>323751.6</v>
      </c>
      <c r="D94" s="97">
        <f t="shared" si="4"/>
        <v>89.40944490472245</v>
      </c>
      <c r="E94" s="114">
        <f t="shared" si="5"/>
        <v>-38348.40000000002</v>
      </c>
    </row>
    <row r="95" spans="1:5" s="13" customFormat="1" ht="27">
      <c r="A95" s="17" t="s">
        <v>230</v>
      </c>
      <c r="B95" s="36">
        <v>40200</v>
      </c>
      <c r="C95" s="36">
        <v>35972.4</v>
      </c>
      <c r="D95" s="40">
        <f t="shared" si="4"/>
        <v>89.48358208955224</v>
      </c>
      <c r="E95" s="107">
        <f t="shared" si="5"/>
        <v>-4227.5999999999985</v>
      </c>
    </row>
    <row r="96" spans="1:5" s="13" customFormat="1" ht="13.5">
      <c r="A96" s="68" t="s">
        <v>166</v>
      </c>
      <c r="B96" s="36">
        <f>SUM(B97+B98)</f>
        <v>111900</v>
      </c>
      <c r="C96" s="36">
        <f>SUM(C97+C98)</f>
        <v>101000</v>
      </c>
      <c r="D96" s="40">
        <f>IF(B96=0,"   ",C96/B96*100)</f>
        <v>90.2591599642538</v>
      </c>
      <c r="E96" s="107">
        <f>C96-B96</f>
        <v>-10900</v>
      </c>
    </row>
    <row r="97" spans="1:5" s="13" customFormat="1" ht="27">
      <c r="A97" s="17" t="s">
        <v>145</v>
      </c>
      <c r="B97" s="36">
        <v>92000</v>
      </c>
      <c r="C97" s="36">
        <v>91000</v>
      </c>
      <c r="D97" s="40">
        <f>IF(B97=0,"   ",C97/B97*100)</f>
        <v>98.91304347826086</v>
      </c>
      <c r="E97" s="107">
        <f>C97-B97</f>
        <v>-1000</v>
      </c>
    </row>
    <row r="98" spans="1:5" s="13" customFormat="1" ht="27.75" thickBot="1">
      <c r="A98" s="60" t="s">
        <v>167</v>
      </c>
      <c r="B98" s="36">
        <v>19900</v>
      </c>
      <c r="C98" s="36">
        <v>10000</v>
      </c>
      <c r="D98" s="40">
        <f>IF(B98=0,"   ",C98/B98*100)</f>
        <v>50.25125628140703</v>
      </c>
      <c r="E98" s="107">
        <f>C98-B98</f>
        <v>-9900</v>
      </c>
    </row>
    <row r="99" spans="1:5" s="13" customFormat="1" ht="14.25" thickBot="1">
      <c r="A99" s="92" t="s">
        <v>13</v>
      </c>
      <c r="B99" s="36">
        <f>B115+B102+B104+B124</f>
        <v>7452738.4</v>
      </c>
      <c r="C99" s="36">
        <f>C115+C102+C104+C124</f>
        <v>5437643.4399999995</v>
      </c>
      <c r="D99" s="40">
        <f>IF(B99=0,"   ",C99/B99*100)</f>
        <v>72.9616839898741</v>
      </c>
      <c r="E99" s="107">
        <f>C99-B99</f>
        <v>-2015094.960000001</v>
      </c>
    </row>
    <row r="100" spans="1:5" s="13" customFormat="1" ht="12.75" customHeight="1" hidden="1">
      <c r="A100" s="68" t="s">
        <v>40</v>
      </c>
      <c r="B100" s="96" t="e">
        <f>SUM(#REF!,B115,#REF!)</f>
        <v>#REF!</v>
      </c>
      <c r="C100" s="96" t="e">
        <f>SUM(#REF!,C115,#REF!)</f>
        <v>#REF!</v>
      </c>
      <c r="D100" s="97" t="e">
        <f>IF(#REF!=0,"   ",C100/#REF!)</f>
        <v>#REF!</v>
      </c>
      <c r="E100" s="98" t="e">
        <f>C100-#REF!</f>
        <v>#REF!</v>
      </c>
    </row>
    <row r="101" spans="1:5" s="13" customFormat="1" ht="12.75" customHeight="1" hidden="1">
      <c r="A101" s="21" t="s">
        <v>18</v>
      </c>
      <c r="B101" s="36">
        <v>851563</v>
      </c>
      <c r="C101" s="107">
        <v>851563</v>
      </c>
      <c r="D101" s="40" t="e">
        <f>IF(#REF!=0,"   ",C101/#REF!)</f>
        <v>#REF!</v>
      </c>
      <c r="E101" s="41" t="e">
        <f>C101-#REF!</f>
        <v>#REF!</v>
      </c>
    </row>
    <row r="102" spans="1:5" s="13" customFormat="1" ht="12.75" customHeight="1">
      <c r="A102" s="21" t="s">
        <v>146</v>
      </c>
      <c r="B102" s="36">
        <f>SUM(B103)</f>
        <v>30000</v>
      </c>
      <c r="C102" s="36">
        <f>SUM(C103)</f>
        <v>19126.52</v>
      </c>
      <c r="D102" s="40">
        <f aca="true" t="shared" si="8" ref="D102:D112">IF(B102=0,"   ",C102/B102*100)</f>
        <v>63.75506666666667</v>
      </c>
      <c r="E102" s="107">
        <f aca="true" t="shared" si="9" ref="E102:E114">C102-B102</f>
        <v>-10873.48</v>
      </c>
    </row>
    <row r="103" spans="1:5" s="13" customFormat="1" ht="12.75" customHeight="1">
      <c r="A103" s="21" t="s">
        <v>147</v>
      </c>
      <c r="B103" s="36">
        <v>30000</v>
      </c>
      <c r="C103" s="36">
        <v>19126.52</v>
      </c>
      <c r="D103" s="40">
        <f t="shared" si="8"/>
        <v>63.75506666666667</v>
      </c>
      <c r="E103" s="107">
        <f t="shared" si="9"/>
        <v>-10873.48</v>
      </c>
    </row>
    <row r="104" spans="1:5" s="13" customFormat="1" ht="12.75" customHeight="1">
      <c r="A104" s="21" t="s">
        <v>140</v>
      </c>
      <c r="B104" s="36">
        <f>SUM(B105:B110,B114)</f>
        <v>5084082</v>
      </c>
      <c r="C104" s="36">
        <f>SUM(C105:C110,C114)</f>
        <v>4034574.5</v>
      </c>
      <c r="D104" s="40">
        <f t="shared" si="8"/>
        <v>79.35699109495087</v>
      </c>
      <c r="E104" s="107">
        <f t="shared" si="9"/>
        <v>-1049507.5</v>
      </c>
    </row>
    <row r="105" spans="1:5" s="13" customFormat="1" ht="26.25" customHeight="1">
      <c r="A105" s="21" t="s">
        <v>181</v>
      </c>
      <c r="B105" s="36">
        <v>20000</v>
      </c>
      <c r="C105" s="36">
        <v>0</v>
      </c>
      <c r="D105" s="40">
        <f>IF(B105=0,"   ",C105/B105*100)</f>
        <v>0</v>
      </c>
      <c r="E105" s="107">
        <f>C105-B105</f>
        <v>-20000</v>
      </c>
    </row>
    <row r="106" spans="1:5" s="13" customFormat="1" ht="12.75" customHeight="1">
      <c r="A106" s="38" t="s">
        <v>149</v>
      </c>
      <c r="B106" s="36">
        <v>362650</v>
      </c>
      <c r="C106" s="36">
        <v>0</v>
      </c>
      <c r="D106" s="40">
        <f>IF(B106=0,"   ",C106/B106*100)</f>
        <v>0</v>
      </c>
      <c r="E106" s="107">
        <f>C106-B106</f>
        <v>-362650</v>
      </c>
    </row>
    <row r="107" spans="1:5" s="13" customFormat="1" ht="12.75" customHeight="1">
      <c r="A107" s="21" t="s">
        <v>304</v>
      </c>
      <c r="B107" s="36">
        <v>1656092</v>
      </c>
      <c r="C107" s="36">
        <v>1029905</v>
      </c>
      <c r="D107" s="40">
        <f>IF(B107=0,"   ",C107/B107*100)</f>
        <v>62.188875980319935</v>
      </c>
      <c r="E107" s="107">
        <f>C107-B107</f>
        <v>-626187</v>
      </c>
    </row>
    <row r="108" spans="1:5" s="13" customFormat="1" ht="12.75" customHeight="1">
      <c r="A108" s="21" t="s">
        <v>258</v>
      </c>
      <c r="B108" s="36">
        <v>2862620</v>
      </c>
      <c r="C108" s="36">
        <v>2824389</v>
      </c>
      <c r="D108" s="40">
        <f t="shared" si="8"/>
        <v>98.66447520103961</v>
      </c>
      <c r="E108" s="107">
        <f t="shared" si="9"/>
        <v>-38231</v>
      </c>
    </row>
    <row r="109" spans="1:5" s="13" customFormat="1" ht="12.75" customHeight="1">
      <c r="A109" s="21" t="s">
        <v>266</v>
      </c>
      <c r="B109" s="96">
        <v>182720</v>
      </c>
      <c r="C109" s="96">
        <v>180280.5</v>
      </c>
      <c r="D109" s="40">
        <f t="shared" si="8"/>
        <v>98.66489711033275</v>
      </c>
      <c r="E109" s="107">
        <f t="shared" si="9"/>
        <v>-2439.5</v>
      </c>
    </row>
    <row r="110" spans="1:5" s="13" customFormat="1" ht="18.75" customHeight="1">
      <c r="A110" s="17" t="s">
        <v>191</v>
      </c>
      <c r="B110" s="96">
        <f>SUM(B111+B112+B113)</f>
        <v>0</v>
      </c>
      <c r="C110" s="96">
        <f>SUM(C111+C112+C113)</f>
        <v>0</v>
      </c>
      <c r="D110" s="40" t="str">
        <f t="shared" si="8"/>
        <v>   </v>
      </c>
      <c r="E110" s="107">
        <f t="shared" si="9"/>
        <v>0</v>
      </c>
    </row>
    <row r="111" spans="1:5" s="13" customFormat="1" ht="22.5" customHeight="1">
      <c r="A111" s="17" t="s">
        <v>175</v>
      </c>
      <c r="B111" s="36">
        <v>0</v>
      </c>
      <c r="C111" s="36">
        <v>0</v>
      </c>
      <c r="D111" s="40" t="str">
        <f t="shared" si="8"/>
        <v>   </v>
      </c>
      <c r="E111" s="107">
        <f t="shared" si="9"/>
        <v>0</v>
      </c>
    </row>
    <row r="112" spans="1:5" s="13" customFormat="1" ht="27" customHeight="1">
      <c r="A112" s="17" t="s">
        <v>192</v>
      </c>
      <c r="B112" s="36">
        <v>0</v>
      </c>
      <c r="C112" s="36">
        <v>0</v>
      </c>
      <c r="D112" s="40" t="str">
        <f t="shared" si="8"/>
        <v>   </v>
      </c>
      <c r="E112" s="107">
        <f t="shared" si="9"/>
        <v>0</v>
      </c>
    </row>
    <row r="113" spans="1:5" s="13" customFormat="1" ht="28.5" customHeight="1">
      <c r="A113" s="17" t="s">
        <v>198</v>
      </c>
      <c r="B113" s="36">
        <v>0</v>
      </c>
      <c r="C113" s="36">
        <v>0</v>
      </c>
      <c r="D113" s="40" t="str">
        <f>IF(B113=0,"   ",C113/B113*100)</f>
        <v>   </v>
      </c>
      <c r="E113" s="107">
        <f t="shared" si="9"/>
        <v>0</v>
      </c>
    </row>
    <row r="114" spans="1:5" s="13" customFormat="1" ht="12.75" customHeight="1">
      <c r="A114" s="21" t="s">
        <v>288</v>
      </c>
      <c r="B114" s="36">
        <v>0</v>
      </c>
      <c r="C114" s="36">
        <v>0</v>
      </c>
      <c r="D114" s="40" t="str">
        <f>IF(B114=0,"   ",C114/B114*100)</f>
        <v>   </v>
      </c>
      <c r="E114" s="107">
        <f t="shared" si="9"/>
        <v>0</v>
      </c>
    </row>
    <row r="115" spans="1:5" s="13" customFormat="1" ht="13.5">
      <c r="A115" s="21" t="s">
        <v>58</v>
      </c>
      <c r="B115" s="36">
        <f>SUM(B116:B120)</f>
        <v>2338556.4</v>
      </c>
      <c r="C115" s="36">
        <f>SUM(C116:C120)</f>
        <v>1383842.42</v>
      </c>
      <c r="D115" s="40">
        <f aca="true" t="shared" si="10" ref="D115:D132">IF(B115=0,"   ",C115/B115*100)</f>
        <v>59.175071424405246</v>
      </c>
      <c r="E115" s="41">
        <f aca="true" t="shared" si="11" ref="E115:E132">C115-B115</f>
        <v>-954713.98</v>
      </c>
    </row>
    <row r="116" spans="1:5" s="13" customFormat="1" ht="15" customHeight="1">
      <c r="A116" s="21" t="s">
        <v>56</v>
      </c>
      <c r="B116" s="36">
        <v>920000</v>
      </c>
      <c r="C116" s="107">
        <v>508898.38</v>
      </c>
      <c r="D116" s="40">
        <f t="shared" si="10"/>
        <v>55.31504130434782</v>
      </c>
      <c r="E116" s="41">
        <f t="shared" si="11"/>
        <v>-411101.62</v>
      </c>
    </row>
    <row r="117" spans="1:5" s="13" customFormat="1" ht="32.25" customHeight="1">
      <c r="A117" s="17" t="s">
        <v>157</v>
      </c>
      <c r="B117" s="108">
        <v>0</v>
      </c>
      <c r="C117" s="139">
        <v>0</v>
      </c>
      <c r="D117" s="90" t="str">
        <f t="shared" si="10"/>
        <v>   </v>
      </c>
      <c r="E117" s="91">
        <f t="shared" si="11"/>
        <v>0</v>
      </c>
    </row>
    <row r="118" spans="1:5" s="13" customFormat="1" ht="17.25" customHeight="1">
      <c r="A118" s="17" t="s">
        <v>57</v>
      </c>
      <c r="B118" s="36">
        <v>1002050</v>
      </c>
      <c r="C118" s="99">
        <v>523437.64</v>
      </c>
      <c r="D118" s="90">
        <f t="shared" si="10"/>
        <v>52.23667880844269</v>
      </c>
      <c r="E118" s="91">
        <f t="shared" si="11"/>
        <v>-478612.36</v>
      </c>
    </row>
    <row r="119" spans="1:5" s="13" customFormat="1" ht="17.25" customHeight="1">
      <c r="A119" s="17" t="s">
        <v>350</v>
      </c>
      <c r="B119" s="36">
        <v>65000</v>
      </c>
      <c r="C119" s="99">
        <v>0</v>
      </c>
      <c r="D119" s="90">
        <f t="shared" si="10"/>
        <v>0</v>
      </c>
      <c r="E119" s="107">
        <f t="shared" si="11"/>
        <v>-65000</v>
      </c>
    </row>
    <row r="120" spans="1:5" s="13" customFormat="1" ht="17.25" customHeight="1">
      <c r="A120" s="17" t="s">
        <v>352</v>
      </c>
      <c r="B120" s="36">
        <f>SUM(B121+B122+B123)</f>
        <v>351506.4</v>
      </c>
      <c r="C120" s="36">
        <f>SUM(C121+C122+C123)</f>
        <v>351506.4</v>
      </c>
      <c r="D120" s="40">
        <f t="shared" si="10"/>
        <v>100</v>
      </c>
      <c r="E120" s="107">
        <f t="shared" si="11"/>
        <v>0</v>
      </c>
    </row>
    <row r="121" spans="1:5" s="13" customFormat="1" ht="15.75" customHeight="1">
      <c r="A121" s="17" t="s">
        <v>345</v>
      </c>
      <c r="B121" s="36">
        <v>210900</v>
      </c>
      <c r="C121" s="99">
        <v>210900</v>
      </c>
      <c r="D121" s="40">
        <f t="shared" si="10"/>
        <v>100</v>
      </c>
      <c r="E121" s="107">
        <f t="shared" si="11"/>
        <v>0</v>
      </c>
    </row>
    <row r="122" spans="1:5" s="13" customFormat="1" ht="12.75" customHeight="1">
      <c r="A122" s="17" t="s">
        <v>342</v>
      </c>
      <c r="B122" s="36">
        <v>70306.4</v>
      </c>
      <c r="C122" s="99">
        <v>70306.4</v>
      </c>
      <c r="D122" s="40">
        <f>IF(B122=0,"   ",C122/B122*100)</f>
        <v>100</v>
      </c>
      <c r="E122" s="107">
        <f>C122-B122</f>
        <v>0</v>
      </c>
    </row>
    <row r="123" spans="1:5" s="13" customFormat="1" ht="12" customHeight="1" thickBot="1">
      <c r="A123" s="17" t="s">
        <v>343</v>
      </c>
      <c r="B123" s="36">
        <v>70300</v>
      </c>
      <c r="C123" s="99">
        <v>70300</v>
      </c>
      <c r="D123" s="40">
        <f t="shared" si="10"/>
        <v>100</v>
      </c>
      <c r="E123" s="107">
        <f t="shared" si="11"/>
        <v>0</v>
      </c>
    </row>
    <row r="124" spans="1:5" s="13" customFormat="1" ht="18" customHeight="1" thickBot="1">
      <c r="A124" s="62" t="s">
        <v>290</v>
      </c>
      <c r="B124" s="111">
        <f>SUM(B125)</f>
        <v>100</v>
      </c>
      <c r="C124" s="111">
        <f>SUM(C125)</f>
        <v>100</v>
      </c>
      <c r="D124" s="40">
        <f>IF(B124=0,"   ",C124/B124*100)</f>
        <v>100</v>
      </c>
      <c r="E124" s="107">
        <f>C124-B124</f>
        <v>0</v>
      </c>
    </row>
    <row r="125" spans="1:5" s="13" customFormat="1" ht="15" customHeight="1">
      <c r="A125" s="62" t="s">
        <v>247</v>
      </c>
      <c r="B125" s="36">
        <v>100</v>
      </c>
      <c r="C125" s="99">
        <v>100</v>
      </c>
      <c r="D125" s="40">
        <f>IF(B125=0,"   ",C125/B125*100)</f>
        <v>100</v>
      </c>
      <c r="E125" s="107">
        <f>C125-B125</f>
        <v>0</v>
      </c>
    </row>
    <row r="126" spans="1:5" s="13" customFormat="1" ht="15" customHeight="1" thickBot="1">
      <c r="A126" s="112" t="s">
        <v>17</v>
      </c>
      <c r="B126" s="106">
        <v>8000</v>
      </c>
      <c r="C126" s="106">
        <v>0</v>
      </c>
      <c r="D126" s="110">
        <f t="shared" si="10"/>
        <v>0</v>
      </c>
      <c r="E126" s="113">
        <f t="shared" si="11"/>
        <v>-8000</v>
      </c>
    </row>
    <row r="127" spans="1:5" s="13" customFormat="1" ht="14.25" thickBot="1">
      <c r="A127" s="92" t="s">
        <v>41</v>
      </c>
      <c r="B127" s="111">
        <f>SUM(B128)</f>
        <v>2498538</v>
      </c>
      <c r="C127" s="93">
        <f>SUM(C128)</f>
        <v>1760138</v>
      </c>
      <c r="D127" s="94">
        <f t="shared" si="10"/>
        <v>70.4467172402421</v>
      </c>
      <c r="E127" s="95">
        <f t="shared" si="11"/>
        <v>-738400</v>
      </c>
    </row>
    <row r="128" spans="1:5" s="13" customFormat="1" ht="14.25" thickBot="1">
      <c r="A128" s="68" t="s">
        <v>42</v>
      </c>
      <c r="B128" s="111">
        <f>SUM(B129,B130)</f>
        <v>2498538</v>
      </c>
      <c r="C128" s="111">
        <f>SUM(C129,C130)</f>
        <v>1760138</v>
      </c>
      <c r="D128" s="97">
        <f t="shared" si="10"/>
        <v>70.4467172402421</v>
      </c>
      <c r="E128" s="98">
        <f t="shared" si="11"/>
        <v>-738400</v>
      </c>
    </row>
    <row r="129" spans="1:5" s="13" customFormat="1" ht="13.5">
      <c r="A129" s="21" t="s">
        <v>133</v>
      </c>
      <c r="B129" s="100">
        <v>1444700</v>
      </c>
      <c r="C129" s="101">
        <v>1444700</v>
      </c>
      <c r="D129" s="103">
        <f t="shared" si="10"/>
        <v>100</v>
      </c>
      <c r="E129" s="104">
        <f t="shared" si="11"/>
        <v>0</v>
      </c>
    </row>
    <row r="130" spans="1:5" s="13" customFormat="1" ht="14.25" thickBot="1">
      <c r="A130" s="21" t="s">
        <v>231</v>
      </c>
      <c r="B130" s="100">
        <v>1053838</v>
      </c>
      <c r="C130" s="101">
        <v>315438</v>
      </c>
      <c r="D130" s="103">
        <f t="shared" si="10"/>
        <v>29.932304585714313</v>
      </c>
      <c r="E130" s="104">
        <f t="shared" si="11"/>
        <v>-738400</v>
      </c>
    </row>
    <row r="131" spans="1:5" s="13" customFormat="1" ht="19.5" customHeight="1" thickBot="1">
      <c r="A131" s="92" t="s">
        <v>118</v>
      </c>
      <c r="B131" s="111">
        <f>SUM(B132)</f>
        <v>15000</v>
      </c>
      <c r="C131" s="111">
        <f>SUM(C132)</f>
        <v>0</v>
      </c>
      <c r="D131" s="94">
        <f t="shared" si="10"/>
        <v>0</v>
      </c>
      <c r="E131" s="95">
        <f t="shared" si="11"/>
        <v>-15000</v>
      </c>
    </row>
    <row r="132" spans="1:5" s="13" customFormat="1" ht="16.5" customHeight="1">
      <c r="A132" s="60" t="s">
        <v>43</v>
      </c>
      <c r="B132" s="100">
        <v>15000</v>
      </c>
      <c r="C132" s="115">
        <v>0</v>
      </c>
      <c r="D132" s="103">
        <f t="shared" si="10"/>
        <v>0</v>
      </c>
      <c r="E132" s="104">
        <f t="shared" si="11"/>
        <v>-15000</v>
      </c>
    </row>
    <row r="133" spans="1:5" s="13" customFormat="1" ht="16.5" customHeight="1">
      <c r="A133" s="44" t="s">
        <v>15</v>
      </c>
      <c r="B133" s="116">
        <f>SUM(B64,B72,B74,B76,B99,B126,B127,B131,)</f>
        <v>14336366.4</v>
      </c>
      <c r="C133" s="116">
        <f>SUM(C64,C72,C74,C76,C99,C126,C127,C131,)</f>
        <v>10470498.379999999</v>
      </c>
      <c r="D133" s="46">
        <f>IF(B133=0,"   ",C133/B133*100)</f>
        <v>73.03453391090785</v>
      </c>
      <c r="E133" s="47">
        <f>C133-B133</f>
        <v>-3865868.0200000014</v>
      </c>
    </row>
    <row r="134" spans="1:5" s="13" customFormat="1" ht="12.75" customHeight="1" hidden="1">
      <c r="A134" s="60" t="s">
        <v>21</v>
      </c>
      <c r="B134" s="140"/>
      <c r="C134" s="101"/>
      <c r="D134" s="97" t="e">
        <f>IF(#REF!=0,"   ",C134/#REF!)</f>
        <v>#REF!</v>
      </c>
      <c r="E134" s="98" t="e">
        <f>C134-#REF!</f>
        <v>#REF!</v>
      </c>
    </row>
    <row r="135" spans="1:5" s="13" customFormat="1" ht="12.75" customHeight="1" hidden="1">
      <c r="A135" s="17" t="s">
        <v>22</v>
      </c>
      <c r="B135" s="141">
        <v>1122919</v>
      </c>
      <c r="C135" s="139">
        <v>815256</v>
      </c>
      <c r="D135" s="40" t="e">
        <f>IF(#REF!=0,"   ",C135/#REF!)</f>
        <v>#REF!</v>
      </c>
      <c r="E135" s="41" t="e">
        <f>C135-#REF!</f>
        <v>#REF!</v>
      </c>
    </row>
    <row r="136" spans="1:5" s="13" customFormat="1" ht="13.5" customHeight="1" hidden="1" thickBot="1">
      <c r="A136" s="17" t="s">
        <v>23</v>
      </c>
      <c r="B136" s="141">
        <v>1700000</v>
      </c>
      <c r="C136" s="142">
        <v>1700000</v>
      </c>
      <c r="D136" s="90" t="e">
        <f>IF(#REF!=0,"   ",C136/#REF!)</f>
        <v>#REF!</v>
      </c>
      <c r="E136" s="91" t="e">
        <f>C136-#REF!</f>
        <v>#REF!</v>
      </c>
    </row>
    <row r="137" spans="1:5" s="13" customFormat="1" ht="33" customHeight="1">
      <c r="A137" s="71" t="s">
        <v>276</v>
      </c>
      <c r="B137" s="71"/>
      <c r="C137" s="168"/>
      <c r="D137" s="168"/>
      <c r="E137" s="168"/>
    </row>
    <row r="138" spans="1:5" s="13" customFormat="1" ht="15.75" customHeight="1">
      <c r="A138" s="71" t="s">
        <v>144</v>
      </c>
      <c r="B138" s="71"/>
      <c r="C138" s="72" t="s">
        <v>277</v>
      </c>
      <c r="D138" s="73"/>
      <c r="E138" s="74"/>
    </row>
    <row r="139" spans="1:5" s="6" customFormat="1" ht="13.5">
      <c r="A139" s="71"/>
      <c r="B139" s="71"/>
      <c r="C139" s="117"/>
      <c r="D139" s="71"/>
      <c r="E139" s="118"/>
    </row>
    <row r="140" spans="1:5" s="6" customFormat="1" ht="13.5">
      <c r="A140" s="71"/>
      <c r="B140" s="71"/>
      <c r="C140" s="117"/>
      <c r="D140" s="71"/>
      <c r="E140" s="118"/>
    </row>
    <row r="141" spans="1:5" s="6" customFormat="1" ht="13.5">
      <c r="A141" s="71"/>
      <c r="B141" s="71"/>
      <c r="C141" s="117"/>
      <c r="D141" s="71"/>
      <c r="E141" s="118"/>
    </row>
    <row r="142" spans="1:5" s="6" customFormat="1" ht="13.5">
      <c r="A142" s="71"/>
      <c r="B142" s="71"/>
      <c r="C142" s="117"/>
      <c r="D142" s="71"/>
      <c r="E142" s="118"/>
    </row>
    <row r="143" spans="1:5" s="6" customFormat="1" ht="13.5">
      <c r="A143" s="71"/>
      <c r="B143" s="71"/>
      <c r="C143" s="117"/>
      <c r="D143" s="71"/>
      <c r="E143" s="118"/>
    </row>
    <row r="144" spans="1:5" s="6" customFormat="1" ht="13.5">
      <c r="A144" s="71"/>
      <c r="B144" s="71"/>
      <c r="C144" s="117"/>
      <c r="D144" s="71"/>
      <c r="E144" s="118"/>
    </row>
    <row r="145" spans="3:5" s="6" customFormat="1" ht="12.75">
      <c r="C145" s="5"/>
      <c r="E145" s="2"/>
    </row>
    <row r="146" spans="3:5" s="6" customFormat="1" ht="12.75">
      <c r="C146" s="5"/>
      <c r="E146" s="2"/>
    </row>
    <row r="147" spans="3:5" s="6" customFormat="1" ht="12.75">
      <c r="C147" s="5"/>
      <c r="E147" s="2"/>
    </row>
    <row r="148" spans="3:5" s="6" customFormat="1" ht="12.75">
      <c r="C148" s="5"/>
      <c r="E148" s="2"/>
    </row>
  </sheetData>
  <sheetProtection/>
  <mergeCells count="2">
    <mergeCell ref="C137:E137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31">
      <selection activeCell="C36" sqref="C36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3.5">
      <c r="A1" s="169" t="s">
        <v>372</v>
      </c>
      <c r="B1" s="169"/>
      <c r="C1" s="169"/>
      <c r="D1" s="169"/>
      <c r="E1" s="169"/>
    </row>
    <row r="2" spans="1:5" ht="3" customHeight="1" thickBot="1">
      <c r="A2" s="22"/>
      <c r="B2" s="22"/>
      <c r="C2" s="148"/>
      <c r="D2" s="148"/>
      <c r="E2" s="148"/>
    </row>
    <row r="3" spans="1:5" ht="14.25" hidden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319</v>
      </c>
      <c r="C4" s="26" t="s">
        <v>370</v>
      </c>
      <c r="D4" s="25" t="s">
        <v>320</v>
      </c>
      <c r="E4" s="27" t="s">
        <v>321</v>
      </c>
    </row>
    <row r="5" spans="1:5" ht="13.5">
      <c r="A5" s="28">
        <v>1</v>
      </c>
      <c r="B5" s="29"/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8.75" customHeight="1">
      <c r="A7" s="38" t="s">
        <v>45</v>
      </c>
      <c r="B7" s="143">
        <f>SUM(B8)</f>
        <v>19500</v>
      </c>
      <c r="C7" s="143">
        <f>SUM(C8)</f>
        <v>18249.12</v>
      </c>
      <c r="D7" s="40">
        <f aca="true" t="shared" si="0" ref="D7:D106">IF(B7=0,"   ",C7/B7*100)</f>
        <v>93.58523076923076</v>
      </c>
      <c r="E7" s="41">
        <f aca="true" t="shared" si="1" ref="E7:E107">C7-B7</f>
        <v>-1250.880000000001</v>
      </c>
    </row>
    <row r="8" spans="1:5" ht="13.5">
      <c r="A8" s="21" t="s">
        <v>44</v>
      </c>
      <c r="B8" s="36">
        <v>19500</v>
      </c>
      <c r="C8" s="86">
        <v>18249.12</v>
      </c>
      <c r="D8" s="40">
        <f t="shared" si="0"/>
        <v>93.58523076923076</v>
      </c>
      <c r="E8" s="41">
        <f t="shared" si="1"/>
        <v>-1250.880000000001</v>
      </c>
    </row>
    <row r="9" spans="1:5" ht="16.5" customHeight="1">
      <c r="A9" s="38" t="s">
        <v>128</v>
      </c>
      <c r="B9" s="143">
        <f>SUM(B10)</f>
        <v>573500</v>
      </c>
      <c r="C9" s="143">
        <f>SUM(C10)</f>
        <v>566383.84</v>
      </c>
      <c r="D9" s="40">
        <f t="shared" si="0"/>
        <v>98.75917000871839</v>
      </c>
      <c r="E9" s="41">
        <f t="shared" si="1"/>
        <v>-7116.160000000033</v>
      </c>
    </row>
    <row r="10" spans="1:5" ht="13.5">
      <c r="A10" s="21" t="s">
        <v>129</v>
      </c>
      <c r="B10" s="36">
        <v>573500</v>
      </c>
      <c r="C10" s="86">
        <v>566383.84</v>
      </c>
      <c r="D10" s="40">
        <f t="shared" si="0"/>
        <v>98.75917000871839</v>
      </c>
      <c r="E10" s="41">
        <f t="shared" si="1"/>
        <v>-7116.160000000033</v>
      </c>
    </row>
    <row r="11" spans="1:5" ht="16.5" customHeight="1">
      <c r="A11" s="21" t="s">
        <v>7</v>
      </c>
      <c r="B11" s="36">
        <f>SUM(B12:B12)</f>
        <v>700</v>
      </c>
      <c r="C11" s="36">
        <f>SUM(C12:C12)</f>
        <v>0</v>
      </c>
      <c r="D11" s="40">
        <f t="shared" si="0"/>
        <v>0</v>
      </c>
      <c r="E11" s="41">
        <f t="shared" si="1"/>
        <v>-700</v>
      </c>
    </row>
    <row r="12" spans="1:5" ht="15" customHeight="1">
      <c r="A12" s="21" t="s">
        <v>26</v>
      </c>
      <c r="B12" s="36">
        <v>700</v>
      </c>
      <c r="C12" s="107">
        <v>0</v>
      </c>
      <c r="D12" s="40">
        <f t="shared" si="0"/>
        <v>0</v>
      </c>
      <c r="E12" s="41">
        <f t="shared" si="1"/>
        <v>-700</v>
      </c>
    </row>
    <row r="13" spans="1:5" ht="15" customHeight="1">
      <c r="A13" s="21" t="s">
        <v>9</v>
      </c>
      <c r="B13" s="36">
        <f>SUM(B14:B15)</f>
        <v>239000</v>
      </c>
      <c r="C13" s="36">
        <f>SUM(C14:C15)</f>
        <v>131899.98</v>
      </c>
      <c r="D13" s="40">
        <f t="shared" si="0"/>
        <v>55.18827615062762</v>
      </c>
      <c r="E13" s="41">
        <f t="shared" si="1"/>
        <v>-107100.01999999999</v>
      </c>
    </row>
    <row r="14" spans="1:5" ht="15" customHeight="1">
      <c r="A14" s="21" t="s">
        <v>105</v>
      </c>
      <c r="B14" s="36">
        <v>27000</v>
      </c>
      <c r="C14" s="86">
        <v>8825.24</v>
      </c>
      <c r="D14" s="40">
        <f t="shared" si="0"/>
        <v>32.68607407407407</v>
      </c>
      <c r="E14" s="41">
        <f t="shared" si="1"/>
        <v>-18174.760000000002</v>
      </c>
    </row>
    <row r="15" spans="1:5" ht="15.75" customHeight="1">
      <c r="A15" s="21" t="s">
        <v>150</v>
      </c>
      <c r="B15" s="36">
        <f>SUM(B16:B17)</f>
        <v>212000</v>
      </c>
      <c r="C15" s="36">
        <f>SUM(C16:C17)</f>
        <v>123074.74</v>
      </c>
      <c r="D15" s="40">
        <f t="shared" si="0"/>
        <v>58.05412264150943</v>
      </c>
      <c r="E15" s="41">
        <f t="shared" si="1"/>
        <v>-88925.26</v>
      </c>
    </row>
    <row r="16" spans="1:5" ht="15.75" customHeight="1">
      <c r="A16" s="21" t="s">
        <v>151</v>
      </c>
      <c r="B16" s="36">
        <v>121000</v>
      </c>
      <c r="C16" s="86">
        <v>89075.52</v>
      </c>
      <c r="D16" s="40">
        <f t="shared" si="0"/>
        <v>73.61613223140496</v>
      </c>
      <c r="E16" s="41">
        <f t="shared" si="1"/>
        <v>-31924.479999999996</v>
      </c>
    </row>
    <row r="17" spans="1:5" ht="15.75" customHeight="1">
      <c r="A17" s="21" t="s">
        <v>152</v>
      </c>
      <c r="B17" s="36">
        <v>91000</v>
      </c>
      <c r="C17" s="86">
        <v>33999.22</v>
      </c>
      <c r="D17" s="40">
        <f t="shared" si="0"/>
        <v>37.36178021978022</v>
      </c>
      <c r="E17" s="41">
        <f t="shared" si="1"/>
        <v>-57000.78</v>
      </c>
    </row>
    <row r="18" spans="1:5" ht="15.75" customHeight="1">
      <c r="A18" s="21" t="s">
        <v>182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28.5" customHeight="1">
      <c r="A19" s="21" t="s">
        <v>85</v>
      </c>
      <c r="B19" s="36">
        <v>0</v>
      </c>
      <c r="C19" s="36">
        <v>0</v>
      </c>
      <c r="D19" s="40" t="str">
        <f t="shared" si="0"/>
        <v>   </v>
      </c>
      <c r="E19" s="41">
        <f t="shared" si="1"/>
        <v>0</v>
      </c>
    </row>
    <row r="20" spans="1:5" ht="25.5" customHeight="1">
      <c r="A20" s="21" t="s">
        <v>28</v>
      </c>
      <c r="B20" s="36">
        <f>SUM(B21:B23)</f>
        <v>243800</v>
      </c>
      <c r="C20" s="36">
        <f>SUM(C21:C23)</f>
        <v>292265.1</v>
      </c>
      <c r="D20" s="40">
        <f t="shared" si="0"/>
        <v>119.8790401968827</v>
      </c>
      <c r="E20" s="41">
        <f t="shared" si="1"/>
        <v>48465.09999999998</v>
      </c>
    </row>
    <row r="21" spans="1:5" ht="13.5">
      <c r="A21" s="21" t="s">
        <v>141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27">
      <c r="A22" s="21" t="s">
        <v>237</v>
      </c>
      <c r="B22" s="36">
        <v>0</v>
      </c>
      <c r="C22" s="107">
        <v>0</v>
      </c>
      <c r="D22" s="40" t="str">
        <f>IF(B22=0,"   ",C22/B22*100)</f>
        <v>   </v>
      </c>
      <c r="E22" s="41">
        <f>C22-B22</f>
        <v>0</v>
      </c>
    </row>
    <row r="23" spans="1:5" ht="16.5" customHeight="1">
      <c r="A23" s="21" t="s">
        <v>142</v>
      </c>
      <c r="B23" s="36">
        <v>243800</v>
      </c>
      <c r="C23" s="107">
        <v>292265.1</v>
      </c>
      <c r="D23" s="40">
        <f t="shared" si="0"/>
        <v>119.8790401968827</v>
      </c>
      <c r="E23" s="41">
        <f t="shared" si="1"/>
        <v>48465.09999999998</v>
      </c>
    </row>
    <row r="24" spans="1:5" ht="17.25" customHeight="1">
      <c r="A24" s="21" t="s">
        <v>87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4.25" customHeight="1">
      <c r="A25" s="21" t="s">
        <v>78</v>
      </c>
      <c r="B25" s="36">
        <f>SUM(B26)</f>
        <v>0</v>
      </c>
      <c r="C25" s="36">
        <f>SUM(C26)</f>
        <v>0</v>
      </c>
      <c r="D25" s="40" t="str">
        <f t="shared" si="0"/>
        <v>   </v>
      </c>
      <c r="E25" s="41">
        <f t="shared" si="1"/>
        <v>0</v>
      </c>
    </row>
    <row r="26" spans="1:5" ht="27" customHeight="1">
      <c r="A26" s="21" t="s">
        <v>158</v>
      </c>
      <c r="B26" s="143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5.75" customHeight="1">
      <c r="A27" s="21" t="s">
        <v>32</v>
      </c>
      <c r="B27" s="36">
        <f>SUM(B28:B30)</f>
        <v>42540</v>
      </c>
      <c r="C27" s="36">
        <f>SUM(C28:C30)</f>
        <v>42540</v>
      </c>
      <c r="D27" s="40">
        <f t="shared" si="0"/>
        <v>100</v>
      </c>
      <c r="E27" s="41">
        <f t="shared" si="1"/>
        <v>0</v>
      </c>
    </row>
    <row r="28" spans="1:5" ht="15.75" customHeight="1">
      <c r="A28" s="21" t="s">
        <v>120</v>
      </c>
      <c r="B28" s="36">
        <v>0</v>
      </c>
      <c r="C28" s="36">
        <v>0</v>
      </c>
      <c r="D28" s="40"/>
      <c r="E28" s="41">
        <f t="shared" si="1"/>
        <v>0</v>
      </c>
    </row>
    <row r="29" spans="1:5" ht="15.75" customHeight="1">
      <c r="A29" s="21" t="s">
        <v>301</v>
      </c>
      <c r="B29" s="36">
        <v>42540</v>
      </c>
      <c r="C29" s="36">
        <v>42540</v>
      </c>
      <c r="D29" s="40">
        <f>IF(B29=0,"   ",C29/B29*100)</f>
        <v>100</v>
      </c>
      <c r="E29" s="41">
        <f>C29-B29</f>
        <v>0</v>
      </c>
    </row>
    <row r="30" spans="1:5" ht="17.2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24" customHeight="1">
      <c r="A31" s="44" t="s">
        <v>10</v>
      </c>
      <c r="B31" s="156">
        <f>B7+B11+B13+B20+B24+B25+B27+B9+B19+B18</f>
        <v>1119040</v>
      </c>
      <c r="C31" s="156">
        <f>C7+C11+C13+C20+C24+C25+C27+C9+C19+C18</f>
        <v>1051338.04</v>
      </c>
      <c r="D31" s="46">
        <f t="shared" si="0"/>
        <v>93.94999642550758</v>
      </c>
      <c r="E31" s="47">
        <f t="shared" si="1"/>
        <v>-67701.95999999996</v>
      </c>
    </row>
    <row r="32" spans="1:5" ht="21" customHeight="1">
      <c r="A32" s="62" t="s">
        <v>131</v>
      </c>
      <c r="B32" s="145">
        <f>SUM(B33:B36,B39,B40,B46+B47+B48+B49)</f>
        <v>2928341.5300000003</v>
      </c>
      <c r="C32" s="145">
        <f>SUM(C33:C36,C39,C40,C46+C47+C48+C49)</f>
        <v>2574672.71</v>
      </c>
      <c r="D32" s="46">
        <f t="shared" si="0"/>
        <v>87.92255560436627</v>
      </c>
      <c r="E32" s="47">
        <f t="shared" si="1"/>
        <v>-353668.8200000003</v>
      </c>
    </row>
    <row r="33" spans="1:5" ht="15.75" customHeight="1">
      <c r="A33" s="38" t="s">
        <v>34</v>
      </c>
      <c r="B33" s="143">
        <v>1406100</v>
      </c>
      <c r="C33" s="86">
        <v>1172065</v>
      </c>
      <c r="D33" s="40">
        <f t="shared" si="0"/>
        <v>83.35573572292155</v>
      </c>
      <c r="E33" s="41">
        <f t="shared" si="1"/>
        <v>-234035</v>
      </c>
    </row>
    <row r="34" spans="1:5" ht="15.75" customHeight="1">
      <c r="A34" s="38" t="s">
        <v>207</v>
      </c>
      <c r="B34" s="143">
        <v>0</v>
      </c>
      <c r="C34" s="86">
        <v>0</v>
      </c>
      <c r="D34" s="40" t="str">
        <f>IF(B34=0,"   ",C34/B34*100)</f>
        <v>   </v>
      </c>
      <c r="E34" s="41">
        <f>C34-B34</f>
        <v>0</v>
      </c>
    </row>
    <row r="35" spans="1:5" ht="26.25" customHeight="1">
      <c r="A35" s="52" t="s">
        <v>51</v>
      </c>
      <c r="B35" s="85">
        <v>99800</v>
      </c>
      <c r="C35" s="161">
        <v>93400</v>
      </c>
      <c r="D35" s="54">
        <f t="shared" si="0"/>
        <v>93.5871743486974</v>
      </c>
      <c r="E35" s="55">
        <f t="shared" si="1"/>
        <v>-6400</v>
      </c>
    </row>
    <row r="36" spans="1:5" ht="29.25" customHeight="1">
      <c r="A36" s="52" t="s">
        <v>138</v>
      </c>
      <c r="B36" s="36">
        <f>SUM(B37:B38)</f>
        <v>100</v>
      </c>
      <c r="C36" s="36">
        <f>SUM(C37:C38)</f>
        <v>50.01</v>
      </c>
      <c r="D36" s="40">
        <f t="shared" si="0"/>
        <v>50.01</v>
      </c>
      <c r="E36" s="41">
        <f t="shared" si="1"/>
        <v>-49.99</v>
      </c>
    </row>
    <row r="37" spans="1:5" ht="14.25" customHeight="1">
      <c r="A37" s="52" t="s">
        <v>153</v>
      </c>
      <c r="B37" s="36">
        <v>100</v>
      </c>
      <c r="C37" s="107">
        <v>50.01</v>
      </c>
      <c r="D37" s="40">
        <f>IF(B37=0,"   ",C37/B37*100)</f>
        <v>50.01</v>
      </c>
      <c r="E37" s="41">
        <f>C37-B37</f>
        <v>-49.99</v>
      </c>
    </row>
    <row r="38" spans="1:5" ht="29.25" customHeight="1">
      <c r="A38" s="52" t="s">
        <v>154</v>
      </c>
      <c r="B38" s="36">
        <v>0</v>
      </c>
      <c r="C38" s="107">
        <v>0</v>
      </c>
      <c r="D38" s="40" t="str">
        <f>IF(B38=0,"   ",C38/B38*100)</f>
        <v>   </v>
      </c>
      <c r="E38" s="41">
        <f>C38-B38</f>
        <v>0</v>
      </c>
    </row>
    <row r="39" spans="1:5" ht="54.75" customHeight="1">
      <c r="A39" s="21" t="s">
        <v>214</v>
      </c>
      <c r="B39" s="36">
        <v>921700</v>
      </c>
      <c r="C39" s="107">
        <v>921700</v>
      </c>
      <c r="D39" s="40">
        <f>IF(B39=0,"   ",C39/B39*100)</f>
        <v>100</v>
      </c>
      <c r="E39" s="41">
        <f>C39-B39</f>
        <v>0</v>
      </c>
    </row>
    <row r="40" spans="1:5" ht="18" customHeight="1">
      <c r="A40" s="21" t="s">
        <v>81</v>
      </c>
      <c r="B40" s="36">
        <f>SUM(B41:B45)</f>
        <v>449741.53</v>
      </c>
      <c r="C40" s="36">
        <f>SUM(C41:C45)</f>
        <v>336557.7</v>
      </c>
      <c r="D40" s="40">
        <f t="shared" si="0"/>
        <v>74.83358274696134</v>
      </c>
      <c r="E40" s="41">
        <f t="shared" si="1"/>
        <v>-113183.83000000002</v>
      </c>
    </row>
    <row r="41" spans="1:5" ht="18.75" customHeight="1">
      <c r="A41" s="21" t="s">
        <v>337</v>
      </c>
      <c r="B41" s="36">
        <v>85078.8</v>
      </c>
      <c r="C41" s="36">
        <v>85078.8</v>
      </c>
      <c r="D41" s="40">
        <f>IF(B41=0,"   ",C41/B41*100)</f>
        <v>100</v>
      </c>
      <c r="E41" s="41">
        <f>C41-B41</f>
        <v>0</v>
      </c>
    </row>
    <row r="42" spans="1:5" ht="18" customHeight="1">
      <c r="A42" s="21" t="s">
        <v>337</v>
      </c>
      <c r="B42" s="36">
        <v>42541.2</v>
      </c>
      <c r="C42" s="36">
        <v>42541.2</v>
      </c>
      <c r="D42" s="40">
        <f>IF(B42=0,"   ",C42/B42*100)</f>
        <v>100</v>
      </c>
      <c r="E42" s="41">
        <f>C42-B42</f>
        <v>0</v>
      </c>
    </row>
    <row r="43" spans="1:5" ht="18.75" customHeight="1">
      <c r="A43" s="21" t="s">
        <v>278</v>
      </c>
      <c r="B43" s="36">
        <v>9221.53</v>
      </c>
      <c r="C43" s="36">
        <v>6442.7</v>
      </c>
      <c r="D43" s="40">
        <f>IF(B43=0,"   ",C43/B43*100)</f>
        <v>69.86584655691625</v>
      </c>
      <c r="E43" s="41">
        <f>C43-B43</f>
        <v>-2778.830000000001</v>
      </c>
    </row>
    <row r="44" spans="1:5" ht="17.25" customHeight="1">
      <c r="A44" s="21" t="s">
        <v>255</v>
      </c>
      <c r="B44" s="36">
        <v>0</v>
      </c>
      <c r="C44" s="36">
        <v>0</v>
      </c>
      <c r="D44" s="40" t="str">
        <f>IF(B44=0,"   ",C44/B44*100)</f>
        <v>   </v>
      </c>
      <c r="E44" s="41">
        <f>C44-B44</f>
        <v>0</v>
      </c>
    </row>
    <row r="45" spans="1:5" ht="17.25" customHeight="1">
      <c r="A45" s="21" t="s">
        <v>103</v>
      </c>
      <c r="B45" s="36">
        <v>312900</v>
      </c>
      <c r="C45" s="36">
        <v>202495</v>
      </c>
      <c r="D45" s="40">
        <f t="shared" si="0"/>
        <v>64.71556407798018</v>
      </c>
      <c r="E45" s="41">
        <f t="shared" si="1"/>
        <v>-110405</v>
      </c>
    </row>
    <row r="46" spans="1:5" ht="30.75" customHeight="1">
      <c r="A46" s="21" t="s">
        <v>310</v>
      </c>
      <c r="B46" s="36">
        <v>50900</v>
      </c>
      <c r="C46" s="36">
        <v>50900</v>
      </c>
      <c r="D46" s="40">
        <f t="shared" si="0"/>
        <v>100</v>
      </c>
      <c r="E46" s="41">
        <f t="shared" si="1"/>
        <v>0</v>
      </c>
    </row>
    <row r="47" spans="1:5" ht="30.75" customHeight="1">
      <c r="A47" s="21" t="s">
        <v>318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42" customHeight="1">
      <c r="A48" s="21" t="s">
        <v>97</v>
      </c>
      <c r="B48" s="36">
        <v>0</v>
      </c>
      <c r="C48" s="107">
        <v>0</v>
      </c>
      <c r="D48" s="40" t="str">
        <f t="shared" si="0"/>
        <v>   </v>
      </c>
      <c r="E48" s="41">
        <f t="shared" si="1"/>
        <v>0</v>
      </c>
    </row>
    <row r="49" spans="1:5" s="6" customFormat="1" ht="21" customHeight="1">
      <c r="A49" s="21" t="s">
        <v>184</v>
      </c>
      <c r="B49" s="36">
        <v>0</v>
      </c>
      <c r="C49" s="107">
        <v>0</v>
      </c>
      <c r="D49" s="40" t="str">
        <f t="shared" si="0"/>
        <v>   </v>
      </c>
      <c r="E49" s="41">
        <f t="shared" si="1"/>
        <v>0</v>
      </c>
    </row>
    <row r="50" spans="1:5" ht="26.25" customHeight="1">
      <c r="A50" s="44" t="s">
        <v>11</v>
      </c>
      <c r="B50" s="116">
        <f>SUM(B31,B32,)</f>
        <v>4047381.5300000003</v>
      </c>
      <c r="C50" s="116">
        <f>SUM(C31,C32,)</f>
        <v>3626010.75</v>
      </c>
      <c r="D50" s="46">
        <f t="shared" si="0"/>
        <v>89.58905215935992</v>
      </c>
      <c r="E50" s="47">
        <f t="shared" si="1"/>
        <v>-421370.78000000026</v>
      </c>
    </row>
    <row r="51" spans="1:5" ht="37.5" customHeight="1">
      <c r="A51" s="44"/>
      <c r="B51" s="143"/>
      <c r="C51" s="36"/>
      <c r="D51" s="40" t="str">
        <f t="shared" si="0"/>
        <v>   </v>
      </c>
      <c r="E51" s="41"/>
    </row>
    <row r="52" spans="1:5" ht="36.75" customHeight="1">
      <c r="A52" s="33" t="s">
        <v>12</v>
      </c>
      <c r="B52" s="154"/>
      <c r="C52" s="155"/>
      <c r="D52" s="40" t="str">
        <f t="shared" si="0"/>
        <v>   </v>
      </c>
      <c r="E52" s="41"/>
    </row>
    <row r="53" spans="1:5" ht="18.75" customHeight="1">
      <c r="A53" s="21" t="s">
        <v>35</v>
      </c>
      <c r="B53" s="107">
        <f>SUM(B54,B57,B58)</f>
        <v>1425400</v>
      </c>
      <c r="C53" s="107">
        <f>SUM(C54,C58)</f>
        <v>1125727.02</v>
      </c>
      <c r="D53" s="40">
        <f t="shared" si="0"/>
        <v>78.97621860530377</v>
      </c>
      <c r="E53" s="41">
        <f t="shared" si="1"/>
        <v>-299672.98</v>
      </c>
    </row>
    <row r="54" spans="1:5" ht="16.5" customHeight="1">
      <c r="A54" s="21" t="s">
        <v>36</v>
      </c>
      <c r="B54" s="36">
        <v>1414900</v>
      </c>
      <c r="C54" s="36">
        <v>1124227.02</v>
      </c>
      <c r="D54" s="40">
        <f t="shared" si="0"/>
        <v>79.4562880768959</v>
      </c>
      <c r="E54" s="41">
        <f t="shared" si="1"/>
        <v>-290672.98</v>
      </c>
    </row>
    <row r="55" spans="1:5" ht="13.5">
      <c r="A55" s="21" t="s">
        <v>116</v>
      </c>
      <c r="B55" s="36">
        <v>813825</v>
      </c>
      <c r="C55" s="99">
        <v>669296.97</v>
      </c>
      <c r="D55" s="40">
        <f t="shared" si="0"/>
        <v>82.24089576997511</v>
      </c>
      <c r="E55" s="41">
        <f t="shared" si="1"/>
        <v>-144528.03000000003</v>
      </c>
    </row>
    <row r="56" spans="1:5" ht="13.5">
      <c r="A56" s="21" t="s">
        <v>312</v>
      </c>
      <c r="B56" s="36">
        <v>50900</v>
      </c>
      <c r="C56" s="99">
        <v>50900</v>
      </c>
      <c r="D56" s="40">
        <f>IF(B56=0,"   ",C56/B56*100)</f>
        <v>100</v>
      </c>
      <c r="E56" s="41">
        <f>C56-B56</f>
        <v>0</v>
      </c>
    </row>
    <row r="57" spans="1:5" ht="13.5">
      <c r="A57" s="21" t="s">
        <v>96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3.5">
      <c r="A58" s="21" t="s">
        <v>52</v>
      </c>
      <c r="B58" s="107">
        <f>SUM(B59)</f>
        <v>10000</v>
      </c>
      <c r="C58" s="107">
        <f>SUM(C59)</f>
        <v>1500</v>
      </c>
      <c r="D58" s="40">
        <f t="shared" si="0"/>
        <v>15</v>
      </c>
      <c r="E58" s="41">
        <f t="shared" si="1"/>
        <v>-8500</v>
      </c>
    </row>
    <row r="59" spans="1:5" ht="27">
      <c r="A59" s="17" t="s">
        <v>220</v>
      </c>
      <c r="B59" s="36">
        <v>10000</v>
      </c>
      <c r="C59" s="107">
        <v>1500</v>
      </c>
      <c r="D59" s="40">
        <f t="shared" si="0"/>
        <v>15</v>
      </c>
      <c r="E59" s="41">
        <f t="shared" si="1"/>
        <v>-8500</v>
      </c>
    </row>
    <row r="60" spans="1:5" ht="19.5" customHeight="1">
      <c r="A60" s="21" t="s">
        <v>49</v>
      </c>
      <c r="B60" s="107">
        <f>SUM(B61)</f>
        <v>99800</v>
      </c>
      <c r="C60" s="107">
        <f>SUM(C61)</f>
        <v>67285.48</v>
      </c>
      <c r="D60" s="40">
        <f t="shared" si="0"/>
        <v>67.42032064128256</v>
      </c>
      <c r="E60" s="41">
        <f t="shared" si="1"/>
        <v>-32514.520000000004</v>
      </c>
    </row>
    <row r="61" spans="1:5" ht="19.5" customHeight="1">
      <c r="A61" s="21" t="s">
        <v>101</v>
      </c>
      <c r="B61" s="36">
        <v>99800</v>
      </c>
      <c r="C61" s="107">
        <v>67285.48</v>
      </c>
      <c r="D61" s="40">
        <f t="shared" si="0"/>
        <v>67.42032064128256</v>
      </c>
      <c r="E61" s="41">
        <f t="shared" si="1"/>
        <v>-32514.520000000004</v>
      </c>
    </row>
    <row r="62" spans="1:5" ht="16.5" customHeight="1">
      <c r="A62" s="21" t="s">
        <v>37</v>
      </c>
      <c r="B62" s="36">
        <f>SUM(B63)</f>
        <v>5000</v>
      </c>
      <c r="C62" s="107">
        <f>SUM(C63)</f>
        <v>0</v>
      </c>
      <c r="D62" s="40">
        <f t="shared" si="0"/>
        <v>0</v>
      </c>
      <c r="E62" s="41">
        <f t="shared" si="1"/>
        <v>-5000</v>
      </c>
    </row>
    <row r="63" spans="1:5" ht="30" customHeight="1">
      <c r="A63" s="60" t="s">
        <v>303</v>
      </c>
      <c r="B63" s="36">
        <v>5000</v>
      </c>
      <c r="C63" s="107">
        <v>0</v>
      </c>
      <c r="D63" s="40">
        <f t="shared" si="0"/>
        <v>0</v>
      </c>
      <c r="E63" s="41">
        <f t="shared" si="1"/>
        <v>-5000</v>
      </c>
    </row>
    <row r="64" spans="1:5" ht="19.5" customHeight="1">
      <c r="A64" s="21" t="s">
        <v>38</v>
      </c>
      <c r="B64" s="36">
        <f>B71+B65+B79</f>
        <v>1888599.14</v>
      </c>
      <c r="C64" s="36">
        <f>C71+C65+C79</f>
        <v>1273270.4799999997</v>
      </c>
      <c r="D64" s="40">
        <f t="shared" si="0"/>
        <v>67.41877897921736</v>
      </c>
      <c r="E64" s="41">
        <f t="shared" si="1"/>
        <v>-615328.6600000001</v>
      </c>
    </row>
    <row r="65" spans="1:5" ht="19.5" customHeight="1">
      <c r="A65" s="62" t="s">
        <v>155</v>
      </c>
      <c r="B65" s="36">
        <f>SUM(B66:B70)</f>
        <v>12588.970000000001</v>
      </c>
      <c r="C65" s="36">
        <f>SUM(C66:C70)</f>
        <v>9810.14</v>
      </c>
      <c r="D65" s="40">
        <f aca="true" t="shared" si="2" ref="D65:D70">IF(B65=0,"   ",C65/B65*100)</f>
        <v>77.9264705531906</v>
      </c>
      <c r="E65" s="41">
        <f aca="true" t="shared" si="3" ref="E65:E70">C65-B65</f>
        <v>-2778.8300000000017</v>
      </c>
    </row>
    <row r="66" spans="1:5" ht="15" customHeight="1">
      <c r="A66" s="62" t="s">
        <v>159</v>
      </c>
      <c r="B66" s="36">
        <v>0</v>
      </c>
      <c r="C66" s="36">
        <v>0</v>
      </c>
      <c r="D66" s="40" t="str">
        <f t="shared" si="2"/>
        <v>   </v>
      </c>
      <c r="E66" s="41">
        <f t="shared" si="3"/>
        <v>0</v>
      </c>
    </row>
    <row r="67" spans="1:5" ht="13.5" customHeight="1">
      <c r="A67" s="62" t="s">
        <v>156</v>
      </c>
      <c r="B67" s="36">
        <v>0</v>
      </c>
      <c r="C67" s="36">
        <v>0</v>
      </c>
      <c r="D67" s="40" t="str">
        <f t="shared" si="2"/>
        <v>   </v>
      </c>
      <c r="E67" s="41">
        <f t="shared" si="3"/>
        <v>0</v>
      </c>
    </row>
    <row r="68" spans="1:5" ht="13.5" customHeight="1">
      <c r="A68" s="62" t="s">
        <v>280</v>
      </c>
      <c r="B68" s="36">
        <v>2778.83</v>
      </c>
      <c r="C68" s="36">
        <v>2778.83</v>
      </c>
      <c r="D68" s="40">
        <f t="shared" si="2"/>
        <v>100</v>
      </c>
      <c r="E68" s="41">
        <f t="shared" si="3"/>
        <v>0</v>
      </c>
    </row>
    <row r="69" spans="1:5" ht="13.5" customHeight="1">
      <c r="A69" s="60" t="s">
        <v>279</v>
      </c>
      <c r="B69" s="36">
        <v>9221.53</v>
      </c>
      <c r="C69" s="36">
        <v>6442.7</v>
      </c>
      <c r="D69" s="40">
        <f t="shared" si="2"/>
        <v>69.86584655691625</v>
      </c>
      <c r="E69" s="41">
        <f t="shared" si="3"/>
        <v>-2778.830000000001</v>
      </c>
    </row>
    <row r="70" spans="1:5" ht="13.5" customHeight="1">
      <c r="A70" s="60" t="s">
        <v>375</v>
      </c>
      <c r="B70" s="36">
        <v>588.61</v>
      </c>
      <c r="C70" s="36">
        <v>588.61</v>
      </c>
      <c r="D70" s="40">
        <f t="shared" si="2"/>
        <v>100</v>
      </c>
      <c r="E70" s="41">
        <f t="shared" si="3"/>
        <v>0</v>
      </c>
    </row>
    <row r="71" spans="1:5" ht="13.5">
      <c r="A71" s="62" t="s">
        <v>123</v>
      </c>
      <c r="B71" s="36">
        <f>SUM(B72:B78)</f>
        <v>1857989</v>
      </c>
      <c r="C71" s="36">
        <f>SUM(C72:C78)</f>
        <v>1263460.3399999999</v>
      </c>
      <c r="D71" s="40">
        <f t="shared" si="0"/>
        <v>68.00149731779896</v>
      </c>
      <c r="E71" s="41">
        <f t="shared" si="1"/>
        <v>-594528.6600000001</v>
      </c>
    </row>
    <row r="72" spans="1:5" ht="19.5" customHeight="1">
      <c r="A72" s="60" t="s">
        <v>139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25.5" customHeight="1">
      <c r="A73" s="17" t="s">
        <v>225</v>
      </c>
      <c r="B73" s="36">
        <v>436089</v>
      </c>
      <c r="C73" s="36">
        <v>14260.34</v>
      </c>
      <c r="D73" s="40">
        <f t="shared" si="0"/>
        <v>3.270052672734235</v>
      </c>
      <c r="E73" s="41">
        <f t="shared" si="1"/>
        <v>-421828.66</v>
      </c>
    </row>
    <row r="74" spans="1:5" ht="27.75" customHeight="1">
      <c r="A74" s="17" t="s">
        <v>226</v>
      </c>
      <c r="B74" s="36">
        <v>50000</v>
      </c>
      <c r="C74" s="36">
        <v>0</v>
      </c>
      <c r="D74" s="40">
        <f t="shared" si="0"/>
        <v>0</v>
      </c>
      <c r="E74" s="41">
        <f t="shared" si="1"/>
        <v>-50000</v>
      </c>
    </row>
    <row r="75" spans="1:5" ht="31.5" customHeight="1">
      <c r="A75" s="17" t="s">
        <v>227</v>
      </c>
      <c r="B75" s="36">
        <v>921700</v>
      </c>
      <c r="C75" s="36">
        <v>921700</v>
      </c>
      <c r="D75" s="40">
        <f t="shared" si="0"/>
        <v>100</v>
      </c>
      <c r="E75" s="41">
        <f t="shared" si="1"/>
        <v>0</v>
      </c>
    </row>
    <row r="76" spans="1:5" ht="27.75" customHeight="1">
      <c r="A76" s="17" t="s">
        <v>228</v>
      </c>
      <c r="B76" s="36">
        <v>102500</v>
      </c>
      <c r="C76" s="36">
        <v>102500</v>
      </c>
      <c r="D76" s="40">
        <f t="shared" si="0"/>
        <v>100</v>
      </c>
      <c r="E76" s="41">
        <f t="shared" si="1"/>
        <v>0</v>
      </c>
    </row>
    <row r="77" spans="1:5" ht="28.5" customHeight="1">
      <c r="A77" s="17" t="s">
        <v>229</v>
      </c>
      <c r="B77" s="36">
        <v>312900</v>
      </c>
      <c r="C77" s="36">
        <v>202495</v>
      </c>
      <c r="D77" s="40">
        <f t="shared" si="0"/>
        <v>64.71556407798018</v>
      </c>
      <c r="E77" s="41">
        <f t="shared" si="1"/>
        <v>-110405</v>
      </c>
    </row>
    <row r="78" spans="1:5" ht="30" customHeight="1">
      <c r="A78" s="17" t="s">
        <v>230</v>
      </c>
      <c r="B78" s="36">
        <v>34800</v>
      </c>
      <c r="C78" s="36">
        <v>22505</v>
      </c>
      <c r="D78" s="40">
        <f t="shared" si="0"/>
        <v>64.66954022988506</v>
      </c>
      <c r="E78" s="41">
        <f t="shared" si="1"/>
        <v>-12295</v>
      </c>
    </row>
    <row r="79" spans="1:5" ht="24" customHeight="1">
      <c r="A79" s="68" t="s">
        <v>166</v>
      </c>
      <c r="B79" s="36">
        <f>SUM(B80+B81)</f>
        <v>18021.17</v>
      </c>
      <c r="C79" s="36">
        <f>SUM(C80+C81)</f>
        <v>0</v>
      </c>
      <c r="D79" s="40">
        <f>IF(B79=0,"   ",C79/B79*100)</f>
        <v>0</v>
      </c>
      <c r="E79" s="41">
        <f>C79-B79</f>
        <v>-18021.17</v>
      </c>
    </row>
    <row r="80" spans="1:5" ht="24" customHeight="1">
      <c r="A80" s="62" t="s">
        <v>145</v>
      </c>
      <c r="B80" s="36">
        <v>0</v>
      </c>
      <c r="C80" s="36">
        <v>0</v>
      </c>
      <c r="D80" s="40" t="str">
        <f>IF(B80=0,"   ",C80/B80*100)</f>
        <v>   </v>
      </c>
      <c r="E80" s="41">
        <f>C80-B80</f>
        <v>0</v>
      </c>
    </row>
    <row r="81" spans="1:5" ht="30" customHeight="1">
      <c r="A81" s="60" t="s">
        <v>167</v>
      </c>
      <c r="B81" s="36">
        <v>18021.17</v>
      </c>
      <c r="C81" s="36">
        <v>0</v>
      </c>
      <c r="D81" s="40">
        <f>IF(B81=0,"   ",C81/B81*100)</f>
        <v>0</v>
      </c>
      <c r="E81" s="41">
        <f>C81-B81</f>
        <v>-18021.17</v>
      </c>
    </row>
    <row r="82" spans="1:5" ht="15" customHeight="1">
      <c r="A82" s="21" t="s">
        <v>13</v>
      </c>
      <c r="B82" s="36">
        <f>SUM(B89,B83+B98)</f>
        <v>425800</v>
      </c>
      <c r="C82" s="36">
        <f>SUM(C89,C83+C98)</f>
        <v>340745.93</v>
      </c>
      <c r="D82" s="40">
        <f t="shared" si="0"/>
        <v>80.02487787693752</v>
      </c>
      <c r="E82" s="41">
        <f t="shared" si="1"/>
        <v>-85054.07</v>
      </c>
    </row>
    <row r="83" spans="1:5" ht="15.75" customHeight="1">
      <c r="A83" s="21" t="s">
        <v>86</v>
      </c>
      <c r="B83" s="36">
        <f>SUM(B84:B88)</f>
        <v>20000</v>
      </c>
      <c r="C83" s="36">
        <f>SUM(C84:C88)</f>
        <v>0</v>
      </c>
      <c r="D83" s="40">
        <f aca="true" t="shared" si="4" ref="D83:D88">IF(B83=0,"   ",C83/B83*100)</f>
        <v>0</v>
      </c>
      <c r="E83" s="41">
        <f aca="true" t="shared" si="5" ref="E83:E88">C83-B83</f>
        <v>-20000</v>
      </c>
    </row>
    <row r="84" spans="1:5" ht="33.75" customHeight="1">
      <c r="A84" s="21" t="s">
        <v>181</v>
      </c>
      <c r="B84" s="36">
        <v>20000</v>
      </c>
      <c r="C84" s="36">
        <v>0</v>
      </c>
      <c r="D84" s="40">
        <f t="shared" si="4"/>
        <v>0</v>
      </c>
      <c r="E84" s="41">
        <f t="shared" si="5"/>
        <v>-20000</v>
      </c>
    </row>
    <row r="85" spans="1:5" ht="25.5" customHeight="1">
      <c r="A85" s="21" t="s">
        <v>258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6.5" customHeight="1">
      <c r="A86" s="21" t="s">
        <v>267</v>
      </c>
      <c r="B86" s="36">
        <v>0</v>
      </c>
      <c r="C86" s="36">
        <v>0</v>
      </c>
      <c r="D86" s="40" t="str">
        <f t="shared" si="4"/>
        <v>   </v>
      </c>
      <c r="E86" s="41">
        <f t="shared" si="5"/>
        <v>0</v>
      </c>
    </row>
    <row r="87" spans="1:5" ht="16.5" customHeight="1">
      <c r="A87" s="38" t="s">
        <v>149</v>
      </c>
      <c r="B87" s="36">
        <v>0</v>
      </c>
      <c r="C87" s="36">
        <v>0</v>
      </c>
      <c r="D87" s="40" t="str">
        <f t="shared" si="4"/>
        <v>   </v>
      </c>
      <c r="E87" s="41">
        <f t="shared" si="5"/>
        <v>0</v>
      </c>
    </row>
    <row r="88" spans="1:5" ht="16.5" customHeight="1">
      <c r="A88" s="21" t="s">
        <v>304</v>
      </c>
      <c r="B88" s="36">
        <v>0</v>
      </c>
      <c r="C88" s="36">
        <v>0</v>
      </c>
      <c r="D88" s="40" t="str">
        <f t="shared" si="4"/>
        <v>   </v>
      </c>
      <c r="E88" s="41">
        <f t="shared" si="5"/>
        <v>0</v>
      </c>
    </row>
    <row r="89" spans="1:5" ht="13.5">
      <c r="A89" s="21" t="s">
        <v>58</v>
      </c>
      <c r="B89" s="36">
        <f>B90+B92+B91+B93+B94</f>
        <v>405700</v>
      </c>
      <c r="C89" s="36">
        <f>C90+C92+C91+C93+C94</f>
        <v>340745.93</v>
      </c>
      <c r="D89" s="40">
        <f t="shared" si="0"/>
        <v>83.98963026867143</v>
      </c>
      <c r="E89" s="41">
        <f t="shared" si="1"/>
        <v>-64954.07000000001</v>
      </c>
    </row>
    <row r="90" spans="1:5" ht="13.5">
      <c r="A90" s="21" t="s">
        <v>60</v>
      </c>
      <c r="B90" s="36">
        <v>170000</v>
      </c>
      <c r="C90" s="107">
        <v>114869.03</v>
      </c>
      <c r="D90" s="40">
        <f t="shared" si="0"/>
        <v>67.57001764705882</v>
      </c>
      <c r="E90" s="41">
        <f t="shared" si="1"/>
        <v>-55130.97</v>
      </c>
    </row>
    <row r="91" spans="1:5" ht="27">
      <c r="A91" s="17" t="s">
        <v>259</v>
      </c>
      <c r="B91" s="36">
        <v>0</v>
      </c>
      <c r="C91" s="107">
        <v>0</v>
      </c>
      <c r="D91" s="40" t="str">
        <f t="shared" si="0"/>
        <v>   </v>
      </c>
      <c r="E91" s="41">
        <f t="shared" si="1"/>
        <v>0</v>
      </c>
    </row>
    <row r="92" spans="1:5" ht="13.5">
      <c r="A92" s="21" t="s">
        <v>59</v>
      </c>
      <c r="B92" s="36">
        <v>23000</v>
      </c>
      <c r="C92" s="107">
        <v>13176.9</v>
      </c>
      <c r="D92" s="40">
        <f t="shared" si="0"/>
        <v>57.29086956521739</v>
      </c>
      <c r="E92" s="41">
        <f t="shared" si="1"/>
        <v>-9823.1</v>
      </c>
    </row>
    <row r="93" spans="1:5" ht="13.5">
      <c r="A93" s="21" t="s">
        <v>317</v>
      </c>
      <c r="B93" s="36">
        <v>0</v>
      </c>
      <c r="C93" s="107">
        <v>0</v>
      </c>
      <c r="D93" s="40" t="str">
        <f t="shared" si="0"/>
        <v>   </v>
      </c>
      <c r="E93" s="41">
        <f t="shared" si="1"/>
        <v>0</v>
      </c>
    </row>
    <row r="94" spans="1:5" ht="13.5">
      <c r="A94" s="17" t="s">
        <v>325</v>
      </c>
      <c r="B94" s="36">
        <f>B95+B96+B97</f>
        <v>212700</v>
      </c>
      <c r="C94" s="36">
        <f>C95+C96+C97</f>
        <v>212700</v>
      </c>
      <c r="D94" s="40">
        <f>IF(B94=0,"   ",C94/B94*100)</f>
        <v>100</v>
      </c>
      <c r="E94" s="41">
        <f>C94-B94</f>
        <v>0</v>
      </c>
    </row>
    <row r="95" spans="1:5" ht="13.5">
      <c r="A95" s="17" t="s">
        <v>331</v>
      </c>
      <c r="B95" s="36">
        <v>127620</v>
      </c>
      <c r="C95" s="107">
        <v>127620</v>
      </c>
      <c r="D95" s="40">
        <f>IF(B95=0,"   ",C95/B95*100)</f>
        <v>100</v>
      </c>
      <c r="E95" s="41">
        <f>C95-B95</f>
        <v>0</v>
      </c>
    </row>
    <row r="96" spans="1:5" ht="13.5">
      <c r="A96" s="17" t="s">
        <v>332</v>
      </c>
      <c r="B96" s="36">
        <v>42540</v>
      </c>
      <c r="C96" s="107">
        <v>42540</v>
      </c>
      <c r="D96" s="40">
        <f>IF(B96=0,"   ",C96/B96*100)</f>
        <v>100</v>
      </c>
      <c r="E96" s="41">
        <f>C96-B96</f>
        <v>0</v>
      </c>
    </row>
    <row r="97" spans="1:5" ht="18" customHeight="1" thickBot="1">
      <c r="A97" s="17" t="s">
        <v>333</v>
      </c>
      <c r="B97" s="36">
        <v>42540</v>
      </c>
      <c r="C97" s="36">
        <v>42540</v>
      </c>
      <c r="D97" s="40">
        <f t="shared" si="0"/>
        <v>100</v>
      </c>
      <c r="E97" s="41">
        <f t="shared" si="1"/>
        <v>0</v>
      </c>
    </row>
    <row r="98" spans="1:5" ht="18" customHeight="1" thickBot="1">
      <c r="A98" s="62" t="s">
        <v>290</v>
      </c>
      <c r="B98" s="111">
        <f>SUM(B99)</f>
        <v>100</v>
      </c>
      <c r="C98" s="111">
        <f>SUM(C99)</f>
        <v>0</v>
      </c>
      <c r="D98" s="40">
        <f>IF(B98=0,"   ",C98/B98*100)</f>
        <v>0</v>
      </c>
      <c r="E98" s="41">
        <f>C98-B98</f>
        <v>-100</v>
      </c>
    </row>
    <row r="99" spans="1:5" ht="18" customHeight="1">
      <c r="A99" s="62" t="s">
        <v>247</v>
      </c>
      <c r="B99" s="36">
        <v>100</v>
      </c>
      <c r="C99" s="36">
        <v>0</v>
      </c>
      <c r="D99" s="40">
        <f>IF(B99=0,"   ",C99/B99*100)</f>
        <v>0</v>
      </c>
      <c r="E99" s="41">
        <f>C99-B99</f>
        <v>-100</v>
      </c>
    </row>
    <row r="100" spans="1:5" ht="24.75" customHeight="1">
      <c r="A100" s="21" t="s">
        <v>17</v>
      </c>
      <c r="B100" s="36">
        <v>8000</v>
      </c>
      <c r="C100" s="36">
        <v>8000</v>
      </c>
      <c r="D100" s="40">
        <f t="shared" si="0"/>
        <v>100</v>
      </c>
      <c r="E100" s="41">
        <f t="shared" si="1"/>
        <v>0</v>
      </c>
    </row>
    <row r="101" spans="1:5" ht="15" customHeight="1">
      <c r="A101" s="21" t="s">
        <v>41</v>
      </c>
      <c r="B101" s="143">
        <f>SUM(B102,)</f>
        <v>299520</v>
      </c>
      <c r="C101" s="143">
        <f>SUM(C102,)</f>
        <v>263876.39</v>
      </c>
      <c r="D101" s="40">
        <f t="shared" si="0"/>
        <v>88.0997562767094</v>
      </c>
      <c r="E101" s="41">
        <f t="shared" si="1"/>
        <v>-35643.609999999986</v>
      </c>
    </row>
    <row r="102" spans="1:5" ht="13.5">
      <c r="A102" s="21" t="s">
        <v>42</v>
      </c>
      <c r="B102" s="36">
        <v>299520</v>
      </c>
      <c r="C102" s="107">
        <v>263876.39</v>
      </c>
      <c r="D102" s="40">
        <f t="shared" si="0"/>
        <v>88.0997562767094</v>
      </c>
      <c r="E102" s="41">
        <f t="shared" si="1"/>
        <v>-35643.609999999986</v>
      </c>
    </row>
    <row r="103" spans="1:5" ht="13.5">
      <c r="A103" s="21" t="s">
        <v>210</v>
      </c>
      <c r="B103" s="143">
        <f>SUM(B104,)</f>
        <v>6000</v>
      </c>
      <c r="C103" s="143">
        <f>SUM(C104,)</f>
        <v>0</v>
      </c>
      <c r="D103" s="40">
        <f>IF(B103=0,"   ",C103/B103*100)</f>
        <v>0</v>
      </c>
      <c r="E103" s="41">
        <f>C103-B103</f>
        <v>-6000</v>
      </c>
    </row>
    <row r="104" spans="1:5" ht="13.5">
      <c r="A104" s="21" t="s">
        <v>211</v>
      </c>
      <c r="B104" s="36">
        <v>6000</v>
      </c>
      <c r="C104" s="107">
        <v>0</v>
      </c>
      <c r="D104" s="40">
        <f>IF(B104=0,"   ",C104/B104*100)</f>
        <v>0</v>
      </c>
      <c r="E104" s="41">
        <f>C104-B104</f>
        <v>-6000</v>
      </c>
    </row>
    <row r="105" spans="1:5" ht="18" customHeight="1">
      <c r="A105" s="21" t="s">
        <v>118</v>
      </c>
      <c r="B105" s="143">
        <f>SUM(B106,)</f>
        <v>50000</v>
      </c>
      <c r="C105" s="143">
        <f>SUM(C106,)</f>
        <v>50000</v>
      </c>
      <c r="D105" s="40">
        <f t="shared" si="0"/>
        <v>100</v>
      </c>
      <c r="E105" s="41">
        <f t="shared" si="1"/>
        <v>0</v>
      </c>
    </row>
    <row r="106" spans="1:5" ht="13.5">
      <c r="A106" s="21" t="s">
        <v>43</v>
      </c>
      <c r="B106" s="36">
        <v>50000</v>
      </c>
      <c r="C106" s="99">
        <v>50000</v>
      </c>
      <c r="D106" s="40">
        <f t="shared" si="0"/>
        <v>100</v>
      </c>
      <c r="E106" s="41">
        <f t="shared" si="1"/>
        <v>0</v>
      </c>
    </row>
    <row r="107" spans="1:5" ht="21" customHeight="1">
      <c r="A107" s="44" t="s">
        <v>15</v>
      </c>
      <c r="B107" s="116">
        <f>SUM(B53,B60,B62,B64,B82,B100,B101,B103,B105,)</f>
        <v>4208119.14</v>
      </c>
      <c r="C107" s="116">
        <f>SUM(C53,C60,C62,C64,C82,C100,C101,C103,C105,)</f>
        <v>3128905.3</v>
      </c>
      <c r="D107" s="46">
        <f>IF(B107=0,"   ",C107/B107*100)</f>
        <v>74.35400937816604</v>
      </c>
      <c r="E107" s="47">
        <f t="shared" si="1"/>
        <v>-1079213.8399999999</v>
      </c>
    </row>
    <row r="108" spans="1:5" s="13" customFormat="1" ht="31.5" customHeight="1">
      <c r="A108" s="71" t="s">
        <v>276</v>
      </c>
      <c r="B108" s="71"/>
      <c r="C108" s="168"/>
      <c r="D108" s="168"/>
      <c r="E108" s="168"/>
    </row>
    <row r="109" spans="1:5" s="13" customFormat="1" ht="12" customHeight="1">
      <c r="A109" s="71" t="s">
        <v>144</v>
      </c>
      <c r="B109" s="71"/>
      <c r="C109" s="72" t="s">
        <v>277</v>
      </c>
      <c r="D109" s="73"/>
      <c r="E109" s="74"/>
    </row>
    <row r="110" spans="1:5" ht="13.5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2.75">
      <c r="A112" s="6"/>
      <c r="B112" s="6"/>
      <c r="C112" s="5"/>
      <c r="D112" s="6"/>
      <c r="E112" s="2"/>
    </row>
    <row r="113" spans="1:5" ht="12.75">
      <c r="A113" s="6"/>
      <c r="B113" s="6"/>
      <c r="C113" s="5"/>
      <c r="D113" s="6"/>
      <c r="E113" s="2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</sheetData>
  <sheetProtection/>
  <mergeCells count="2">
    <mergeCell ref="A1:E1"/>
    <mergeCell ref="C108:E108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tabSelected="1" zoomScalePageLayoutView="0" workbookViewId="0" topLeftCell="A190">
      <selection activeCell="B205" sqref="B205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169" t="s">
        <v>373</v>
      </c>
      <c r="B1" s="169"/>
      <c r="C1" s="169"/>
      <c r="D1" s="169"/>
      <c r="E1" s="169"/>
    </row>
    <row r="2" spans="1:5" ht="9.75" customHeight="1" thickBot="1">
      <c r="A2" s="22"/>
      <c r="B2" s="22"/>
      <c r="C2" s="23"/>
      <c r="D2" s="22"/>
      <c r="E2" s="22" t="s">
        <v>0</v>
      </c>
    </row>
    <row r="3" spans="1:5" ht="108" customHeight="1">
      <c r="A3" s="24" t="s">
        <v>1</v>
      </c>
      <c r="B3" s="25" t="s">
        <v>319</v>
      </c>
      <c r="C3" s="26" t="s">
        <v>368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30">
        <v>3</v>
      </c>
      <c r="D4" s="31">
        <v>4</v>
      </c>
      <c r="E4" s="32">
        <v>5</v>
      </c>
    </row>
    <row r="5" spans="1:5" ht="15.75" customHeight="1">
      <c r="A5" s="33" t="s">
        <v>2</v>
      </c>
      <c r="B5" s="34"/>
      <c r="C5" s="35"/>
      <c r="D5" s="36"/>
      <c r="E5" s="37"/>
    </row>
    <row r="6" spans="1:5" ht="13.5">
      <c r="A6" s="38" t="s">
        <v>45</v>
      </c>
      <c r="B6" s="39">
        <f>SUM(B7)</f>
        <v>12347800</v>
      </c>
      <c r="C6" s="39">
        <f>SUM(C7)</f>
        <v>11956468.54</v>
      </c>
      <c r="D6" s="40">
        <f aca="true" t="shared" si="0" ref="D6:D36">IF(B6=0,"   ",C6/B6*100)</f>
        <v>96.83075964949222</v>
      </c>
      <c r="E6" s="41">
        <f aca="true" t="shared" si="1" ref="E6:E40">C6-B6</f>
        <v>-391331.4600000009</v>
      </c>
    </row>
    <row r="7" spans="1:5" ht="13.5">
      <c r="A7" s="21" t="s">
        <v>44</v>
      </c>
      <c r="B7" s="42">
        <f>Лист1!B9+Лист2!B7+Лист3!B7+Лист4!B8+Лист5!B8+Лист6!B8+Лист7!B8+Лист8!B8+Лист9!B8+Лист10!B8</f>
        <v>12347800</v>
      </c>
      <c r="C7" s="42">
        <f>Лист1!C9+Лист2!C7+Лист3!C7+Лист4!C8+Лист5!C8+Лист6!C8+Лист7!C8+Лист8!C8+Лист9!C8+Лист10!C8</f>
        <v>11956468.54</v>
      </c>
      <c r="D7" s="40">
        <f t="shared" si="0"/>
        <v>96.83075964949222</v>
      </c>
      <c r="E7" s="41">
        <f t="shared" si="1"/>
        <v>-391331.4600000009</v>
      </c>
    </row>
    <row r="8" spans="1:5" ht="31.5" customHeight="1">
      <c r="A8" s="38" t="s">
        <v>128</v>
      </c>
      <c r="B8" s="39">
        <f>SUM(B9)</f>
        <v>8304900</v>
      </c>
      <c r="C8" s="39">
        <f>SUM(C9)</f>
        <v>8201350</v>
      </c>
      <c r="D8" s="40">
        <f t="shared" si="0"/>
        <v>98.75314573324182</v>
      </c>
      <c r="E8" s="41">
        <f t="shared" si="1"/>
        <v>-103550</v>
      </c>
    </row>
    <row r="9" spans="1:5" ht="27">
      <c r="A9" s="21" t="s">
        <v>129</v>
      </c>
      <c r="B9" s="42">
        <f>Лист1!B15+Лист2!B9+Лист3!B9+Лист4!B10+Лист5!B10+Лист6!B10+Лист7!B10+Лист8!B10+Лист9!B10+Лист10!B10</f>
        <v>8304900</v>
      </c>
      <c r="C9" s="42">
        <f>Лист1!C15+Лист2!C9+Лист3!C9+Лист4!C10+Лист5!C10+Лист6!C10+Лист7!C10+Лист8!C10+Лист9!C10+Лист10!C10</f>
        <v>8201350</v>
      </c>
      <c r="D9" s="40">
        <f t="shared" si="0"/>
        <v>98.75314573324182</v>
      </c>
      <c r="E9" s="41">
        <f t="shared" si="1"/>
        <v>-103550</v>
      </c>
    </row>
    <row r="10" spans="1:5" ht="13.5">
      <c r="A10" s="21" t="s">
        <v>7</v>
      </c>
      <c r="B10" s="42">
        <f>B11</f>
        <v>398400</v>
      </c>
      <c r="C10" s="42">
        <f>SUM(C11:C11)</f>
        <v>421445.57</v>
      </c>
      <c r="D10" s="40">
        <f t="shared" si="0"/>
        <v>105.78453062248995</v>
      </c>
      <c r="E10" s="41">
        <f t="shared" si="1"/>
        <v>23045.570000000007</v>
      </c>
    </row>
    <row r="11" spans="1:5" ht="13.5">
      <c r="A11" s="21" t="s">
        <v>26</v>
      </c>
      <c r="B11" s="42">
        <f>Лист1!B18+Лист2!B11+Лист3!B11+Лист4!B12+Лист5!B12+Лист6!B12+Лист7!B12+Лист8!B12+Лист9!B12+Лист10!B12</f>
        <v>398400</v>
      </c>
      <c r="C11" s="42">
        <f>Лист1!C18+Лист2!C11+Лист3!C11+Лист4!C12+Лист5!C12+Лист6!C12+Лист7!C12+Лист8!C12+Лист9!C12+Лист10!C12</f>
        <v>421445.57</v>
      </c>
      <c r="D11" s="40">
        <f t="shared" si="0"/>
        <v>105.78453062248995</v>
      </c>
      <c r="E11" s="41">
        <f t="shared" si="1"/>
        <v>23045.570000000007</v>
      </c>
    </row>
    <row r="12" spans="1:5" ht="13.5">
      <c r="A12" s="21" t="s">
        <v>9</v>
      </c>
      <c r="B12" s="42">
        <f>SUM(B13:B14)</f>
        <v>10752000</v>
      </c>
      <c r="C12" s="42">
        <f>SUM(C13:C14)</f>
        <v>5220728.59</v>
      </c>
      <c r="D12" s="40">
        <f t="shared" si="0"/>
        <v>48.55588346354167</v>
      </c>
      <c r="E12" s="41">
        <f t="shared" si="1"/>
        <v>-5531271.41</v>
      </c>
    </row>
    <row r="13" spans="1:5" ht="13.5">
      <c r="A13" s="21" t="s">
        <v>27</v>
      </c>
      <c r="B13" s="42">
        <f>Лист1!B20+Лист2!B13+Лист3!B13+Лист4!B14+Лист5!B14+Лист6!B14+Лист7!B14+Лист8!B14+Лист9!B14+Лист10!B14</f>
        <v>5941000</v>
      </c>
      <c r="C13" s="42">
        <f>Лист1!C20+Лист2!C13+Лист3!C13+Лист4!C14+Лист5!C14+Лист6!C14+Лист7!C14+Лист8!C14+Лист9!C14+Лист10!C14</f>
        <v>1929416.93</v>
      </c>
      <c r="D13" s="40">
        <f t="shared" si="0"/>
        <v>32.47629910789429</v>
      </c>
      <c r="E13" s="41">
        <f t="shared" si="1"/>
        <v>-4011583.0700000003</v>
      </c>
    </row>
    <row r="14" spans="1:5" ht="13.5">
      <c r="A14" s="21" t="s">
        <v>150</v>
      </c>
      <c r="B14" s="42">
        <f>Лист1!B21+Лист2!B14+Лист3!B14+Лист4!B15+Лист5!B15+Лист6!B15+Лист7!B15+Лист8!B15+Лист9!B15+Лист10!B15</f>
        <v>4811000</v>
      </c>
      <c r="C14" s="42">
        <f>Лист1!C21+Лист2!C14+Лист3!C14+Лист4!C15+Лист5!C15+Лист6!C15+Лист7!C15+Лист8!C15+Лист9!C15+Лист10!C15</f>
        <v>3291311.66</v>
      </c>
      <c r="D14" s="40">
        <f t="shared" si="0"/>
        <v>68.4122149241322</v>
      </c>
      <c r="E14" s="41">
        <f t="shared" si="1"/>
        <v>-1519688.3399999999</v>
      </c>
    </row>
    <row r="15" spans="1:5" ht="13.5">
      <c r="A15" s="21" t="s">
        <v>151</v>
      </c>
      <c r="B15" s="42">
        <f>Лист1!B22+Лист2!B15+Лист3!B15+Лист4!B16+Лист5!B16+Лист6!B16+Лист7!B16+Лист8!B16+Лист9!B16+Лист10!B16</f>
        <v>1820000</v>
      </c>
      <c r="C15" s="42">
        <f>Лист1!C22+Лист2!C15+Лист3!C15+Лист4!C16+Лист5!C16+Лист6!C16+Лист7!C16+Лист8!C16+Лист9!C16+Лист10!C16</f>
        <v>1862668.43</v>
      </c>
      <c r="D15" s="40">
        <f t="shared" si="0"/>
        <v>102.34441923076922</v>
      </c>
      <c r="E15" s="41">
        <f t="shared" si="1"/>
        <v>42668.429999999935</v>
      </c>
    </row>
    <row r="16" spans="1:5" ht="13.5">
      <c r="A16" s="21" t="s">
        <v>152</v>
      </c>
      <c r="B16" s="42">
        <f>Лист1!B23+Лист2!B16+Лист3!B16+Лист4!B17+Лист5!B17+Лист6!B17+Лист7!B17+Лист8!B17+Лист9!B17+Лист10!B17</f>
        <v>2991000</v>
      </c>
      <c r="C16" s="42">
        <f>Лист1!C23+Лист2!C16+Лист3!C16+Лист4!C17+Лист5!C17+Лист6!C17+Лист7!C17+Лист8!C17+Лист9!C17+Лист10!C17</f>
        <v>1428643.2299999997</v>
      </c>
      <c r="D16" s="40">
        <f t="shared" si="0"/>
        <v>47.764735205616844</v>
      </c>
      <c r="E16" s="41">
        <f t="shared" si="1"/>
        <v>-1562356.7700000003</v>
      </c>
    </row>
    <row r="17" spans="1:5" ht="13.5">
      <c r="A17" s="21" t="s">
        <v>182</v>
      </c>
      <c r="B17" s="43">
        <f>Лист8!B18+Лист5!B18+Лист9!B18+Лист3!B17+Лист4!B18+Лист2!B17+Лист10!B18+Лист1!B24+Лист6!B18</f>
        <v>600</v>
      </c>
      <c r="C17" s="43">
        <f>Лист8!C18+Лист5!C18+Лист9!C18+Лист3!C17+Лист4!C18+Лист2!C17+Лист10!C18+Лист1!C24+Лист6!C18</f>
        <v>4820</v>
      </c>
      <c r="D17" s="40">
        <f>IF(B17=0,"   ",C17/B17*100)</f>
        <v>803.3333333333334</v>
      </c>
      <c r="E17" s="41">
        <f t="shared" si="1"/>
        <v>4220</v>
      </c>
    </row>
    <row r="18" spans="1:5" ht="28.5" customHeight="1">
      <c r="A18" s="21" t="s">
        <v>89</v>
      </c>
      <c r="B18" s="43">
        <f>Лист1!B25+Лист2!B18+Лист3!B18+Лист4!B19+Лист5!B19+Лист6!B19+Лист7!B18+Лист8!B19+Лист9!B19+Лист10!B19</f>
        <v>0</v>
      </c>
      <c r="C18" s="43">
        <f>Лист1!C25+Лист2!C18+Лист3!C18+Лист4!C19+Лист5!C19+Лист6!C19+Лист7!C18+Лист8!C19+Лист9!C19+Лист10!C19</f>
        <v>0</v>
      </c>
      <c r="D18" s="40" t="str">
        <f t="shared" si="0"/>
        <v>   </v>
      </c>
      <c r="E18" s="41">
        <f t="shared" si="1"/>
        <v>0</v>
      </c>
    </row>
    <row r="19" spans="1:5" ht="30" customHeight="1">
      <c r="A19" s="21" t="s">
        <v>28</v>
      </c>
      <c r="B19" s="42">
        <f>SUM(B20:B25)</f>
        <v>3097680</v>
      </c>
      <c r="C19" s="42">
        <f>SUM(C20:C25)</f>
        <v>2328197.08</v>
      </c>
      <c r="D19" s="40">
        <f t="shared" si="0"/>
        <v>75.15937992303918</v>
      </c>
      <c r="E19" s="41">
        <f t="shared" si="1"/>
        <v>-769482.9199999999</v>
      </c>
    </row>
    <row r="20" spans="1:5" ht="13.5">
      <c r="A20" s="21" t="s">
        <v>143</v>
      </c>
      <c r="B20" s="42">
        <f>Лист7!B20</f>
        <v>571400</v>
      </c>
      <c r="C20" s="42">
        <f>Лист7!C20</f>
        <v>642590.8</v>
      </c>
      <c r="D20" s="40">
        <f t="shared" si="0"/>
        <v>112.45901295064753</v>
      </c>
      <c r="E20" s="41">
        <f t="shared" si="1"/>
        <v>71190.80000000005</v>
      </c>
    </row>
    <row r="21" spans="1:5" ht="13.5">
      <c r="A21" s="21" t="s">
        <v>130</v>
      </c>
      <c r="B21" s="42">
        <f>Лист1!B27+Лист2!B23+Лист3!B20+Лист4!B21+Лист5!B21+Лист6!B21+Лист7!B21+Лист8!B21+Лист9!B22+Лист10!B23</f>
        <v>1423800</v>
      </c>
      <c r="C21" s="42">
        <f>Лист1!C27+Лист2!C23+Лист3!C20+Лист4!C21+Лист5!C21+Лист6!C21+Лист7!C21+Лист8!C21+Лист9!C22+Лист10!C23</f>
        <v>942547.2199999999</v>
      </c>
      <c r="D21" s="40">
        <f t="shared" si="0"/>
        <v>66.19941143419018</v>
      </c>
      <c r="E21" s="41">
        <f t="shared" si="1"/>
        <v>-481252.78000000014</v>
      </c>
    </row>
    <row r="22" spans="1:5" ht="33" customHeight="1">
      <c r="A22" s="21" t="s">
        <v>30</v>
      </c>
      <c r="B22" s="42">
        <f>Лист1!B28+Лист2!B25+Лист3!B21+Лист4!B22+Лист5!B22+Лист6!B22+Лист7!B22+Лист8!B22+Лист9!B23+Лист10!B21</f>
        <v>210180</v>
      </c>
      <c r="C22" s="42">
        <f>Лист1!C28+Лист2!C25+Лист3!C21+Лист4!C22+Лист5!C22+Лист6!C22+Лист7!C22+Лист8!C22+Лист9!C23+Лист10!C21</f>
        <v>226476.99000000002</v>
      </c>
      <c r="D22" s="40">
        <f t="shared" si="0"/>
        <v>107.75382529260635</v>
      </c>
      <c r="E22" s="41">
        <f t="shared" si="1"/>
        <v>16296.99000000002</v>
      </c>
    </row>
    <row r="23" spans="1:5" ht="33" customHeight="1">
      <c r="A23" s="21" t="s">
        <v>237</v>
      </c>
      <c r="B23" s="42">
        <f>Лист8!B23+Лист10!B22+Лист1!B29+Лист7!B23+Лист4!B23+Лист2!B24</f>
        <v>42100</v>
      </c>
      <c r="C23" s="42">
        <f>Лист8!C23+Лист10!C22+Лист1!C29+Лист7!C23+Лист4!C23+Лист2!C24</f>
        <v>79583</v>
      </c>
      <c r="D23" s="40">
        <f>IF(B23=0,"   ",C23/B23*100)</f>
        <v>189.0332541567696</v>
      </c>
      <c r="E23" s="41">
        <f t="shared" si="1"/>
        <v>37483</v>
      </c>
    </row>
    <row r="24" spans="1:5" ht="73.5" customHeight="1">
      <c r="A24" s="21" t="s">
        <v>186</v>
      </c>
      <c r="B24" s="42">
        <f>Лист7!B24</f>
        <v>820200</v>
      </c>
      <c r="C24" s="42">
        <f>Лист7!C24</f>
        <v>401010.47</v>
      </c>
      <c r="D24" s="40">
        <f>IF(B24=0,"   ",C24/B24*100)</f>
        <v>48.89179102657888</v>
      </c>
      <c r="E24" s="41">
        <f t="shared" si="1"/>
        <v>-419189.53</v>
      </c>
    </row>
    <row r="25" spans="1:5" ht="72" customHeight="1">
      <c r="A25" s="21" t="s">
        <v>204</v>
      </c>
      <c r="B25" s="42">
        <f>Лист1!B30+Лист9!B24</f>
        <v>30000</v>
      </c>
      <c r="C25" s="42">
        <f>Лист1!C30+Лист9!C24</f>
        <v>35988.6</v>
      </c>
      <c r="D25" s="40">
        <f>IF(B25=0,"   ",C25/B25*100)</f>
        <v>119.96199999999999</v>
      </c>
      <c r="E25" s="41">
        <f t="shared" si="1"/>
        <v>5988.5999999999985</v>
      </c>
    </row>
    <row r="26" spans="1:5" ht="30.75" customHeight="1">
      <c r="A26" s="21" t="s">
        <v>82</v>
      </c>
      <c r="B26" s="42">
        <f>Лист1!B31+Лист3!B22+Лист9!B25</f>
        <v>94000</v>
      </c>
      <c r="C26" s="42">
        <f>Лист1!C31+Лист3!C22+Лист9!C25</f>
        <v>38780.99</v>
      </c>
      <c r="D26" s="40">
        <f t="shared" si="0"/>
        <v>41.25637234042553</v>
      </c>
      <c r="E26" s="41">
        <f t="shared" si="1"/>
        <v>-55219.01</v>
      </c>
    </row>
    <row r="27" spans="1:5" ht="31.5" customHeight="1">
      <c r="A27" s="21" t="s">
        <v>76</v>
      </c>
      <c r="B27" s="42">
        <f>SUM(B28:B31)</f>
        <v>7866133.55</v>
      </c>
      <c r="C27" s="42">
        <f>SUM(C28:C31)</f>
        <v>11068313.219999999</v>
      </c>
      <c r="D27" s="40">
        <f t="shared" si="0"/>
        <v>140.70843254371138</v>
      </c>
      <c r="E27" s="41">
        <f t="shared" si="1"/>
        <v>3202179.669999999</v>
      </c>
    </row>
    <row r="28" spans="1:5" ht="30.75" customHeight="1">
      <c r="A28" s="21" t="s">
        <v>126</v>
      </c>
      <c r="B28" s="42">
        <f>Лист7!B27+Лист1!B33+Лист9!B27+Лист4!B26+Лист3!B25</f>
        <v>1479953.55</v>
      </c>
      <c r="C28" s="42">
        <f>Лист7!C27+Лист1!C33+Лист9!C27+Лист4!C26+Лист3!C25</f>
        <v>3907102.25</v>
      </c>
      <c r="D28" s="40">
        <f t="shared" si="0"/>
        <v>264.0016809987043</v>
      </c>
      <c r="E28" s="41">
        <f t="shared" si="1"/>
        <v>2427148.7</v>
      </c>
    </row>
    <row r="29" spans="1:5" ht="42" customHeight="1">
      <c r="A29" s="21" t="s">
        <v>355</v>
      </c>
      <c r="B29" s="42">
        <f>Лист7!B28</f>
        <v>214000</v>
      </c>
      <c r="C29" s="42">
        <f>Лист7!C28</f>
        <v>214994.29</v>
      </c>
      <c r="D29" s="40">
        <f t="shared" si="0"/>
        <v>100.46462149532711</v>
      </c>
      <c r="E29" s="41">
        <f t="shared" si="1"/>
        <v>994.2900000000081</v>
      </c>
    </row>
    <row r="30" spans="1:5" ht="42" customHeight="1">
      <c r="A30" s="21" t="s">
        <v>205</v>
      </c>
      <c r="B30" s="42">
        <f>Лист7!B29</f>
        <v>0</v>
      </c>
      <c r="C30" s="42">
        <f>Лист7!C29</f>
        <v>552793.68</v>
      </c>
      <c r="D30" s="40" t="str">
        <f>IF(B30=0,"   ",C30/B30*100)</f>
        <v>   </v>
      </c>
      <c r="E30" s="41">
        <f>C30-B30</f>
        <v>552793.68</v>
      </c>
    </row>
    <row r="31" spans="1:5" ht="39" customHeight="1">
      <c r="A31" s="21" t="s">
        <v>206</v>
      </c>
      <c r="B31" s="42">
        <f>Лист1!B34+Лист2!B21+Лист3!B24+Лист4!B27+Лист6!B25+Лист8!B26+Лист9!B28+Лист10!B26</f>
        <v>6172180</v>
      </c>
      <c r="C31" s="42">
        <f>Лист1!C34+Лист2!C21+Лист3!C24+Лист4!C27+Лист6!C25+Лист8!C26+Лист9!C28+Лист10!C26</f>
        <v>6393423</v>
      </c>
      <c r="D31" s="40">
        <f t="shared" si="0"/>
        <v>103.58451957007087</v>
      </c>
      <c r="E31" s="41">
        <f t="shared" si="1"/>
        <v>221243</v>
      </c>
    </row>
    <row r="32" spans="1:5" ht="13.5">
      <c r="A32" s="21" t="s">
        <v>31</v>
      </c>
      <c r="B32" s="42">
        <f>Лист9!B29+Лист7!B30</f>
        <v>21100</v>
      </c>
      <c r="C32" s="42">
        <f>Лист9!C29+Лист7!C30</f>
        <v>27055.56</v>
      </c>
      <c r="D32" s="40">
        <f t="shared" si="0"/>
        <v>128.2254028436019</v>
      </c>
      <c r="E32" s="41">
        <f t="shared" si="1"/>
        <v>5955.560000000001</v>
      </c>
    </row>
    <row r="33" spans="1:5" ht="13.5">
      <c r="A33" s="21" t="s">
        <v>32</v>
      </c>
      <c r="B33" s="42">
        <f>B34+B36+B35</f>
        <v>1092584.66</v>
      </c>
      <c r="C33" s="42">
        <f>C34+C36+C35</f>
        <v>1002442.97</v>
      </c>
      <c r="D33" s="40">
        <f t="shared" si="0"/>
        <v>91.74968372702578</v>
      </c>
      <c r="E33" s="41">
        <f t="shared" si="1"/>
        <v>-90141.68999999994</v>
      </c>
    </row>
    <row r="34" spans="1:5" ht="13.5">
      <c r="A34" s="21" t="s">
        <v>46</v>
      </c>
      <c r="B34" s="42">
        <v>0</v>
      </c>
      <c r="C34" s="42">
        <f>Лист1!C39+Лист2!C30+Лист4!C29+Лист6!C28+Лист7!C32+Лист8!C28+Лист9!C31+Лист3!C28+Лист10!C28+Лист5!C27</f>
        <v>-97.66</v>
      </c>
      <c r="D34" s="40" t="str">
        <f t="shared" si="0"/>
        <v>   </v>
      </c>
      <c r="E34" s="41">
        <f t="shared" si="1"/>
        <v>-97.66</v>
      </c>
    </row>
    <row r="35" spans="1:5" ht="13.5">
      <c r="A35" s="21" t="s">
        <v>302</v>
      </c>
      <c r="B35" s="42">
        <f>Лист7!B33+Лист2!B31+Лист4!B30+Лист3!B29+Лист9!B32+Лист1!B40+Лист5!B28+Лист8!B29+Лист10!B29</f>
        <v>1092584.66</v>
      </c>
      <c r="C35" s="42">
        <f>Лист7!C33+Лист2!C31+Лист4!C30+Лист3!C29+Лист9!C32+Лист1!C40+Лист5!C28+Лист8!C29+Лист10!C29</f>
        <v>1002540.63</v>
      </c>
      <c r="D35" s="40">
        <f t="shared" si="0"/>
        <v>91.75862216480324</v>
      </c>
      <c r="E35" s="41">
        <f t="shared" si="1"/>
        <v>-90044.02999999991</v>
      </c>
    </row>
    <row r="36" spans="1:5" ht="13.5">
      <c r="A36" s="21" t="s">
        <v>50</v>
      </c>
      <c r="B36" s="42">
        <f>Лист1!B41+Лист2!B32+Лист3!B30+Лист4!B31+Лист5!B27+Лист6!B29+Лист7!B34+Лист8!B30+Лист9!B33+Лист10!B30</f>
        <v>0</v>
      </c>
      <c r="C36" s="42">
        <f>Лист1!C41+Лист2!C32+Лист3!C30+Лист4!C31+Лист6!C29+Лист7!C34+Лист8!C30+Лист9!C33+Лист10!C30</f>
        <v>0</v>
      </c>
      <c r="D36" s="40" t="str">
        <f t="shared" si="0"/>
        <v>   </v>
      </c>
      <c r="E36" s="41">
        <f t="shared" si="1"/>
        <v>0</v>
      </c>
    </row>
    <row r="37" spans="1:5" ht="18" customHeight="1">
      <c r="A37" s="44" t="s">
        <v>10</v>
      </c>
      <c r="B37" s="45">
        <f>SUM(B6,B8,B10,B12,B18,B19,B26,B27,B33,+B32+B17)</f>
        <v>43975198.20999999</v>
      </c>
      <c r="C37" s="45">
        <f>SUM(C6,C8,C10,C12,C18,C19,C26,C27,C33,+C32+C17)</f>
        <v>40269602.519999996</v>
      </c>
      <c r="D37" s="46">
        <f>IF(B37=0,"   ",C37/B37*100)</f>
        <v>91.57344175618213</v>
      </c>
      <c r="E37" s="47">
        <f t="shared" si="1"/>
        <v>-3705595.6899999976</v>
      </c>
    </row>
    <row r="38" spans="1:5" ht="33" customHeight="1">
      <c r="A38" s="38" t="s">
        <v>34</v>
      </c>
      <c r="B38" s="39">
        <f>Лист1!B46+Лист2!B35+Лист3!B34+Лист4!B35+Лист5!B32+Лист6!B32+Лист7!B37+Лист8!B34+Лист9!B36+Лист10!B33</f>
        <v>29908100</v>
      </c>
      <c r="C38" s="39">
        <f>Лист1!C46+Лист2!C35+Лист3!C34+Лист4!C35+Лист5!C32+Лист6!C32+Лист7!C37+Лист8!C34+Лист9!C36+Лист10!C33</f>
        <v>24934925</v>
      </c>
      <c r="D38" s="40">
        <f>IF(B38=0,"   ",C38/B38*100)</f>
        <v>83.37181231840204</v>
      </c>
      <c r="E38" s="41">
        <f t="shared" si="1"/>
        <v>-4973175</v>
      </c>
    </row>
    <row r="39" spans="1:5" ht="33" customHeight="1">
      <c r="A39" s="38" t="s">
        <v>207</v>
      </c>
      <c r="B39" s="39">
        <f>Лист1!B47+Лист2!B36+Лист3!B35+Лист4!B36+Лист5!B33+Лист6!B33+Лист7!B38+Лист8!B35+Лист9!B37+Лист10!B34</f>
        <v>0</v>
      </c>
      <c r="C39" s="39">
        <f>Лист1!C47+Лист2!C36+Лист3!C35+Лист4!C36+Лист5!C33+Лист6!C33+Лист7!C38+Лист8!C35+Лист9!C37+Лист10!C34</f>
        <v>0</v>
      </c>
      <c r="D39" s="40" t="str">
        <f>IF(B39=0,"   ",C39/B39*100)</f>
        <v>   </v>
      </c>
      <c r="E39" s="41">
        <f t="shared" si="1"/>
        <v>0</v>
      </c>
    </row>
    <row r="40" spans="1:5" ht="13.5">
      <c r="A40" s="48" t="s">
        <v>109</v>
      </c>
      <c r="B40" s="39">
        <f>SUM(B42:B49)</f>
        <v>69154262.31</v>
      </c>
      <c r="C40" s="39">
        <f>SUM(C42:C49)</f>
        <v>57354459.06</v>
      </c>
      <c r="D40" s="40">
        <f>IF(B40=0,"   ",C40/B40*100)</f>
        <v>82.9369834109362</v>
      </c>
      <c r="E40" s="41">
        <f t="shared" si="1"/>
        <v>-11799803.25</v>
      </c>
    </row>
    <row r="41" spans="1:5" ht="13.5">
      <c r="A41" s="38" t="s">
        <v>110</v>
      </c>
      <c r="B41" s="39"/>
      <c r="C41" s="39"/>
      <c r="D41" s="40"/>
      <c r="E41" s="41"/>
    </row>
    <row r="42" spans="1:5" ht="33" customHeight="1">
      <c r="A42" s="21" t="s">
        <v>215</v>
      </c>
      <c r="B42" s="42">
        <v>0</v>
      </c>
      <c r="C42" s="42">
        <f>Лист2!C46</f>
        <v>0</v>
      </c>
      <c r="D42" s="40" t="str">
        <f>IF(B42=0,"   ",C42/B42*100)</f>
        <v>   </v>
      </c>
      <c r="E42" s="41">
        <f aca="true" t="shared" si="2" ref="E42:E49">C42-B42</f>
        <v>0</v>
      </c>
    </row>
    <row r="43" spans="1:5" ht="45" customHeight="1">
      <c r="A43" s="21" t="s">
        <v>168</v>
      </c>
      <c r="B43" s="49">
        <v>0</v>
      </c>
      <c r="C43" s="49">
        <v>0</v>
      </c>
      <c r="D43" s="50" t="str">
        <f>IF(B43=0,"   ",C43/B43)</f>
        <v>   </v>
      </c>
      <c r="E43" s="51">
        <f t="shared" si="2"/>
        <v>0</v>
      </c>
    </row>
    <row r="44" spans="1:5" ht="90" customHeight="1">
      <c r="A44" s="21" t="s">
        <v>214</v>
      </c>
      <c r="B44" s="42">
        <f>Лист1!B54+Лист2!B45+Лист3!B42+Лист4!B43+Лист5!B38+Лист6!B38+Лист7!B48+Лист8!B42+Лист9!B42+Лист10!B39</f>
        <v>25548700</v>
      </c>
      <c r="C44" s="42">
        <f>Лист1!C54+Лист2!C45+Лист3!C42+Лист4!C43+Лист5!C38+Лист6!C38+Лист7!C48+Лист8!C42+Лист9!C42+Лист10!C39</f>
        <v>25474964.560000002</v>
      </c>
      <c r="D44" s="40">
        <f aca="true" t="shared" si="3" ref="D44:D49">IF(B44=0,"   ",C44/B44*100)</f>
        <v>99.71139259531797</v>
      </c>
      <c r="E44" s="41">
        <f t="shared" si="2"/>
        <v>-73735.43999999762</v>
      </c>
    </row>
    <row r="45" spans="1:5" ht="96" customHeight="1">
      <c r="A45" s="21" t="s">
        <v>216</v>
      </c>
      <c r="B45" s="42">
        <f>Лист7!B49</f>
        <v>1741900</v>
      </c>
      <c r="C45" s="42">
        <f>Лист7!C49</f>
        <v>948925.8</v>
      </c>
      <c r="D45" s="40">
        <f t="shared" si="3"/>
        <v>54.47647970606809</v>
      </c>
      <c r="E45" s="41">
        <f t="shared" si="2"/>
        <v>-792974.2</v>
      </c>
    </row>
    <row r="46" spans="1:5" ht="72" customHeight="1">
      <c r="A46" s="21" t="s">
        <v>334</v>
      </c>
      <c r="B46" s="42">
        <f>Лист7!B50</f>
        <v>9548369.6</v>
      </c>
      <c r="C46" s="42">
        <v>0</v>
      </c>
      <c r="D46" s="40">
        <f t="shared" si="3"/>
        <v>0</v>
      </c>
      <c r="E46" s="41">
        <f t="shared" si="2"/>
        <v>-9548369.6</v>
      </c>
    </row>
    <row r="47" spans="1:5" ht="49.5" customHeight="1">
      <c r="A47" s="21" t="s">
        <v>239</v>
      </c>
      <c r="B47" s="42">
        <f>Лист2!B46+Лист4!B44+Лист9!B43</f>
        <v>0</v>
      </c>
      <c r="C47" s="42">
        <f>Лист2!C46+Лист4!C44+Лист9!C43</f>
        <v>0</v>
      </c>
      <c r="D47" s="40" t="str">
        <f t="shared" si="3"/>
        <v>   </v>
      </c>
      <c r="E47" s="41">
        <f t="shared" si="2"/>
        <v>0</v>
      </c>
    </row>
    <row r="48" spans="1:5" ht="49.5" customHeight="1">
      <c r="A48" s="21" t="s">
        <v>268</v>
      </c>
      <c r="B48" s="42">
        <f>Лист6!B39</f>
        <v>0</v>
      </c>
      <c r="C48" s="42">
        <f>Лист6!C39</f>
        <v>0</v>
      </c>
      <c r="D48" s="40" t="str">
        <f t="shared" si="3"/>
        <v>   </v>
      </c>
      <c r="E48" s="41">
        <f>C48-B48</f>
        <v>0</v>
      </c>
    </row>
    <row r="49" spans="1:5" ht="13.5">
      <c r="A49" s="21" t="s">
        <v>100</v>
      </c>
      <c r="B49" s="42">
        <f>SUM(B51:B59)</f>
        <v>32315292.71</v>
      </c>
      <c r="C49" s="42">
        <f>SUM(C51:C59)</f>
        <v>30930568.700000003</v>
      </c>
      <c r="D49" s="40">
        <f t="shared" si="3"/>
        <v>95.71495755143974</v>
      </c>
      <c r="E49" s="41">
        <f t="shared" si="2"/>
        <v>-1384724.009999998</v>
      </c>
    </row>
    <row r="50" spans="1:5" ht="13.5">
      <c r="A50" s="21" t="s">
        <v>111</v>
      </c>
      <c r="B50" s="42"/>
      <c r="C50" s="42"/>
      <c r="D50" s="40"/>
      <c r="E50" s="41"/>
    </row>
    <row r="51" spans="1:5" ht="13.5">
      <c r="A51" s="21" t="s">
        <v>339</v>
      </c>
      <c r="B51" s="42">
        <f>Лист7!B53+Лист7!B52+Лист4!B46</f>
        <v>3575235.18</v>
      </c>
      <c r="C51" s="42">
        <f>Лист7!C53+Лист7!C52+Лист4!C46</f>
        <v>3575235.18</v>
      </c>
      <c r="D51" s="40">
        <f>IF(B51=0,"   ",C51/B51*100)</f>
        <v>100</v>
      </c>
      <c r="E51" s="41">
        <f>C51-B51</f>
        <v>0</v>
      </c>
    </row>
    <row r="52" spans="1:5" ht="17.25" customHeight="1">
      <c r="A52" s="21" t="s">
        <v>340</v>
      </c>
      <c r="B52" s="42">
        <f>Лист1!B56+Лист2!B48+Лист3!B44+Лист4!B47+Лист5!B44+Лист6!B44+Лист8!B44+Лист9!B45+Лист10!B41+Лист5!B43+Лист8!B45+Лист10!B42</f>
        <v>1105567.44</v>
      </c>
      <c r="C52" s="42">
        <f>Лист1!C56+Лист2!C48+Лист3!C44+Лист4!C47+Лист5!C44+Лист6!C44+Лист8!C44+Лист9!C45+Лист10!C41+Лист5!C43+Лист8!C45+Лист10!C42</f>
        <v>665364.6</v>
      </c>
      <c r="D52" s="42">
        <f>Лист7!D52</f>
        <v>100</v>
      </c>
      <c r="E52" s="41">
        <f>C52-B52</f>
        <v>-440202.83999999997</v>
      </c>
    </row>
    <row r="53" spans="1:5" ht="23.25" customHeight="1">
      <c r="A53" s="21" t="s">
        <v>241</v>
      </c>
      <c r="B53" s="42">
        <f>Лист7!B54</f>
        <v>0</v>
      </c>
      <c r="C53" s="42">
        <f>Лист7!C54</f>
        <v>0</v>
      </c>
      <c r="D53" s="42" t="str">
        <f>Лист7!D54</f>
        <v>   </v>
      </c>
      <c r="E53" s="42">
        <f>Лист7!E54</f>
        <v>0</v>
      </c>
    </row>
    <row r="54" spans="1:5" ht="23.25" customHeight="1">
      <c r="A54" s="21" t="s">
        <v>270</v>
      </c>
      <c r="B54" s="42">
        <f>Лист7!B55</f>
        <v>15891835.52</v>
      </c>
      <c r="C54" s="42">
        <f>Лист7!C55</f>
        <v>15891835.52</v>
      </c>
      <c r="D54" s="42">
        <f>Лист7!D55</f>
        <v>100</v>
      </c>
      <c r="E54" s="42">
        <f>Лист7!E55</f>
        <v>0</v>
      </c>
    </row>
    <row r="55" spans="1:5" ht="28.5" customHeight="1">
      <c r="A55" s="21" t="s">
        <v>281</v>
      </c>
      <c r="B55" s="42">
        <f>Лист7!B56</f>
        <v>576824.57</v>
      </c>
      <c r="C55" s="42">
        <f>Лист7!C56</f>
        <v>576824.57</v>
      </c>
      <c r="D55" s="40">
        <f aca="true" t="shared" si="4" ref="D55:D60">IF(B55=0,"   ",C55/B55*100)</f>
        <v>100</v>
      </c>
      <c r="E55" s="41">
        <f aca="true" t="shared" si="5" ref="E55:E60">C55-B55</f>
        <v>0</v>
      </c>
    </row>
    <row r="56" spans="1:5" ht="32.25" customHeight="1">
      <c r="A56" s="21" t="s">
        <v>282</v>
      </c>
      <c r="B56" s="42">
        <f>Лист7!B57</f>
        <v>0</v>
      </c>
      <c r="C56" s="42">
        <f>Лист7!C57</f>
        <v>0</v>
      </c>
      <c r="D56" s="40" t="str">
        <f t="shared" si="4"/>
        <v>   </v>
      </c>
      <c r="E56" s="41">
        <f t="shared" si="5"/>
        <v>0</v>
      </c>
    </row>
    <row r="57" spans="1:5" ht="32.25" customHeight="1">
      <c r="A57" s="21" t="s">
        <v>257</v>
      </c>
      <c r="B57" s="42">
        <f>Лист1!B59+Лист2!B50+Лист3!B46+Лист5!B42+Лист6!B43+Лист7!B58+Лист8!B47+Лист9!B47+Лист10!B44</f>
        <v>5314830</v>
      </c>
      <c r="C57" s="42">
        <f>Лист1!C59+Лист2!C50+Лист3!C46+Лист5!C42+Лист6!C43+Лист7!C58+Лист8!C47+Лист9!C47+Лист10!C44</f>
        <v>5237913</v>
      </c>
      <c r="D57" s="40">
        <f t="shared" si="4"/>
        <v>98.55278531956809</v>
      </c>
      <c r="E57" s="41">
        <f t="shared" si="5"/>
        <v>-76917</v>
      </c>
    </row>
    <row r="58" spans="1:5" ht="32.25" customHeight="1">
      <c r="A58" s="21" t="s">
        <v>278</v>
      </c>
      <c r="B58" s="42">
        <f>Лист2!B49+Лист3!B45+Лист5!B41+Лист6!B42+Лист7!B59+Лист8!B46+Лист1!B58+Лист4!B48+Лист9!B46+Лист10!B43</f>
        <v>1319900</v>
      </c>
      <c r="C58" s="42">
        <f>Лист2!C49+Лист3!C45+Лист5!C41+Лист6!C42+Лист7!C59+Лист8!C46+Лист1!C58+Лист4!C48+Лист9!C46+Лист10!C43</f>
        <v>1212490.2300000002</v>
      </c>
      <c r="D58" s="40">
        <f t="shared" si="4"/>
        <v>91.86227971816048</v>
      </c>
      <c r="E58" s="41">
        <f t="shared" si="5"/>
        <v>-107409.76999999979</v>
      </c>
    </row>
    <row r="59" spans="1:5" s="13" customFormat="1" ht="48" customHeight="1">
      <c r="A59" s="21" t="s">
        <v>112</v>
      </c>
      <c r="B59" s="42">
        <f>Лист1!B60+Лист2!B51+Лист3!B47+Лист4!B49+Лист5!B40+Лист6!B41+Лист7!B60+Лист8!B48+Лист9!B48+Лист10!B45</f>
        <v>4531100</v>
      </c>
      <c r="C59" s="42">
        <f>Лист1!C60+Лист2!C51+Лист3!C47+Лист4!C49+Лист5!C40+Лист6!C41+Лист7!C60+Лист8!C48+Лист9!C48+Лист10!C45</f>
        <v>3770905.6</v>
      </c>
      <c r="D59" s="40">
        <f t="shared" si="4"/>
        <v>83.22274061486173</v>
      </c>
      <c r="E59" s="41">
        <f t="shared" si="5"/>
        <v>-760194.3999999999</v>
      </c>
    </row>
    <row r="60" spans="1:5" s="13" customFormat="1" ht="13.5">
      <c r="A60" s="48" t="s">
        <v>19</v>
      </c>
      <c r="B60" s="42">
        <f>B62+B63</f>
        <v>1707400</v>
      </c>
      <c r="C60" s="42">
        <f>C62+C63</f>
        <v>1462250.01</v>
      </c>
      <c r="D60" s="40">
        <f t="shared" si="4"/>
        <v>85.64191226426145</v>
      </c>
      <c r="E60" s="41">
        <f t="shared" si="5"/>
        <v>-245149.99</v>
      </c>
    </row>
    <row r="61" spans="1:5" ht="13.5">
      <c r="A61" s="38" t="s">
        <v>110</v>
      </c>
      <c r="B61" s="39"/>
      <c r="C61" s="39"/>
      <c r="D61" s="40"/>
      <c r="E61" s="41"/>
    </row>
    <row r="62" spans="1:5" ht="48.75" customHeight="1">
      <c r="A62" s="52" t="s">
        <v>51</v>
      </c>
      <c r="B62" s="53">
        <f>Лист1!B48+Лист2!B38+Лист3!B36+Лист4!B37+Лист5!B34+Лист6!B34+Лист7!B39+Лист8!B36+Лист9!B38+Лист10!B35</f>
        <v>1547900</v>
      </c>
      <c r="C62" s="53">
        <f>Лист1!C48+Лист2!C38+Лист3!C36+Лист4!C37+Лист5!C34+Лист6!C34+Лист7!C39+Лист8!C36+Лист9!C38+Лист10!C35</f>
        <v>1303900</v>
      </c>
      <c r="D62" s="54">
        <f>IF(B62=0,"   ",C62/B62*100)</f>
        <v>84.23670779766135</v>
      </c>
      <c r="E62" s="55">
        <f>C62-B62</f>
        <v>-244000</v>
      </c>
    </row>
    <row r="63" spans="1:5" ht="45" customHeight="1">
      <c r="A63" s="52" t="s">
        <v>138</v>
      </c>
      <c r="B63" s="53">
        <f>Лист1!B49+Лист2!B39+Лист3!B37+Лист4!B38+Лист5!B35+Лист6!B35+Лист7!B40+Лист8!B37+Лист9!B39+Лист10!B36</f>
        <v>159500</v>
      </c>
      <c r="C63" s="53">
        <f>Лист1!C49+Лист2!C39+Лист3!C37+Лист4!C38+Лист5!C35+Лист6!C35+Лист7!C40+Лист8!C37+Лист9!C39+Лист10!C36</f>
        <v>158350.01</v>
      </c>
      <c r="D63" s="54">
        <f>IF(B63=0,"   ",C63/B63*100)</f>
        <v>99.27900313479624</v>
      </c>
      <c r="E63" s="55">
        <f>C63-B63</f>
        <v>-1149.9899999999907</v>
      </c>
    </row>
    <row r="64" spans="1:5" ht="27.75" customHeight="1">
      <c r="A64" s="52" t="s">
        <v>153</v>
      </c>
      <c r="B64" s="53">
        <f>Лист1!B50+Лист2!B40+Лист3!B38+Лист4!B39+Лист5!B36+Лист6!B36+Лист7!B41+Лист8!B38+Лист9!B40+Лист10!B37</f>
        <v>2300</v>
      </c>
      <c r="C64" s="53">
        <f>Лист1!C50+Лист2!C40+Лист3!C38+Лист4!C39+Лист5!C36+Лист6!C36+Лист7!C41+Лист8!C38+Лист9!C40+Лист10!C37</f>
        <v>1150.01</v>
      </c>
      <c r="D64" s="54">
        <f>IF(B64=0,"   ",C64/B64*100)</f>
        <v>50.00043478260869</v>
      </c>
      <c r="E64" s="55">
        <f>C64-B64</f>
        <v>-1149.99</v>
      </c>
    </row>
    <row r="65" spans="1:5" ht="47.25" customHeight="1">
      <c r="A65" s="52" t="s">
        <v>154</v>
      </c>
      <c r="B65" s="53">
        <f>Лист1!B51+Лист2!B41+Лист3!B39+Лист4!B40+Лист5!B37+Лист6!B37+Лист7!B42+Лист8!B39+Лист9!B41+Лист10!B38</f>
        <v>157200</v>
      </c>
      <c r="C65" s="53">
        <f>Лист1!C51+Лист2!C41+Лист3!C39+Лист4!C40+Лист5!C37+Лист6!C37+Лист7!C42+Лист8!C39+Лист9!C41+Лист10!C38</f>
        <v>157200</v>
      </c>
      <c r="D65" s="54">
        <f>IF(B65=0,"   ",C65/B65*100)</f>
        <v>100</v>
      </c>
      <c r="E65" s="55">
        <f>C65-B65</f>
        <v>0</v>
      </c>
    </row>
    <row r="66" spans="1:5" ht="13.5">
      <c r="A66" s="48" t="s">
        <v>113</v>
      </c>
      <c r="B66" s="42">
        <f>B73+B68+B69+B71+B70+B72</f>
        <v>61464132.75</v>
      </c>
      <c r="C66" s="42">
        <f>C73+C68+C69+C71+C70+C72</f>
        <v>44498555.15</v>
      </c>
      <c r="D66" s="40">
        <f>IF(B66=0,"   ",C66/B66*100)</f>
        <v>72.39759703597217</v>
      </c>
      <c r="E66" s="41">
        <f>C66-B66</f>
        <v>-16965577.6</v>
      </c>
    </row>
    <row r="67" spans="1:5" ht="13.5">
      <c r="A67" s="38" t="s">
        <v>110</v>
      </c>
      <c r="B67" s="39"/>
      <c r="C67" s="39"/>
      <c r="D67" s="40"/>
      <c r="E67" s="41"/>
    </row>
    <row r="68" spans="1:5" ht="85.5" customHeight="1">
      <c r="A68" s="21" t="s">
        <v>236</v>
      </c>
      <c r="B68" s="49">
        <f>Лист7!B46</f>
        <v>5739532.75</v>
      </c>
      <c r="C68" s="49">
        <f>Лист7!C46</f>
        <v>5739532.75</v>
      </c>
      <c r="D68" s="40">
        <f>IF(B68=0,"   ",C68/B68*100)</f>
        <v>100</v>
      </c>
      <c r="E68" s="41">
        <f aca="true" t="shared" si="6" ref="E68:E74">C68-B68</f>
        <v>0</v>
      </c>
    </row>
    <row r="69" spans="1:5" ht="69" customHeight="1">
      <c r="A69" s="21" t="s">
        <v>322</v>
      </c>
      <c r="B69" s="49">
        <f>Лист7!B47</f>
        <v>55120000</v>
      </c>
      <c r="C69" s="49">
        <f>Лист7!C47</f>
        <v>38154422.4</v>
      </c>
      <c r="D69" s="40">
        <f>IF(B69=0,"   ",C69/B69*100)</f>
        <v>69.22065021770682</v>
      </c>
      <c r="E69" s="41">
        <f>C69-B69</f>
        <v>-16965577.6</v>
      </c>
    </row>
    <row r="70" spans="1:5" ht="63" customHeight="1">
      <c r="A70" s="21" t="s">
        <v>260</v>
      </c>
      <c r="B70" s="53">
        <f>Лист2!B42+Лист4!B41+Лист9!B49</f>
        <v>0</v>
      </c>
      <c r="C70" s="53">
        <f>Лист2!C42+Лист4!C41+Лист9!C49</f>
        <v>0</v>
      </c>
      <c r="D70" s="40" t="str">
        <f>IF(B70=0,"   ",C70/B70*100)</f>
        <v>   </v>
      </c>
      <c r="E70" s="41">
        <f t="shared" si="6"/>
        <v>0</v>
      </c>
    </row>
    <row r="71" spans="1:5" ht="50.25" customHeight="1">
      <c r="A71" s="21" t="s">
        <v>256</v>
      </c>
      <c r="B71" s="49">
        <f>Лист7!B45</f>
        <v>0</v>
      </c>
      <c r="C71" s="49">
        <f>Лист7!C45</f>
        <v>0</v>
      </c>
      <c r="D71" s="40" t="str">
        <f>IF(B71=0,"   ",C71/B71*100)</f>
        <v>   </v>
      </c>
      <c r="E71" s="41">
        <f t="shared" si="6"/>
        <v>0</v>
      </c>
    </row>
    <row r="72" spans="1:5" ht="50.25" customHeight="1">
      <c r="A72" s="21" t="s">
        <v>318</v>
      </c>
      <c r="B72" s="49">
        <f>Лист2!B44+Лист5!B47+Лист10!B47</f>
        <v>0</v>
      </c>
      <c r="C72" s="49">
        <f>Лист2!C44+Лист5!C47+Лист10!C47</f>
        <v>0</v>
      </c>
      <c r="D72" s="40" t="str">
        <f>IF(B72=0,"   ",C72/B72*100)</f>
        <v>   </v>
      </c>
      <c r="E72" s="41">
        <f t="shared" si="6"/>
        <v>0</v>
      </c>
    </row>
    <row r="73" spans="1:5" ht="33" customHeight="1">
      <c r="A73" s="21" t="s">
        <v>160</v>
      </c>
      <c r="B73" s="53">
        <f>Лист1!B53+Лист2!B43+Лист3!B41+Лист6!B45+Лист8!B41+Лист10!B46+Лист4!B42+Лист5!B46+Лист7!B44+Лист9!B50</f>
        <v>604600</v>
      </c>
      <c r="C73" s="53">
        <f>Лист1!C53+Лист2!C43+Лист3!C41+Лист6!C45+Лист8!C41+Лист10!C46+Лист4!C42+Лист5!C46+Лист7!C44+Лист9!C50</f>
        <v>604600</v>
      </c>
      <c r="D73" s="40">
        <f aca="true" t="shared" si="7" ref="D73:D104">IF(B73=0,"   ",C73/B73*100)</f>
        <v>100</v>
      </c>
      <c r="E73" s="41">
        <f t="shared" si="6"/>
        <v>0</v>
      </c>
    </row>
    <row r="74" spans="1:5" ht="39" customHeight="1">
      <c r="A74" s="21" t="s">
        <v>347</v>
      </c>
      <c r="B74" s="42">
        <f>Лист1!B61+Лист2!B52+Лист3!B48+Лист4!B50+Лист5!B48+Лист6!B47+Лист7!B61+Лист8!B49+Лист9!B51+Лист10!B49</f>
        <v>-2716.03</v>
      </c>
      <c r="C74" s="42">
        <f>Лист2!C52</f>
        <v>-2716.03</v>
      </c>
      <c r="D74" s="40">
        <f>IF(B74=0,"   ",C74/B74*100)</f>
        <v>100</v>
      </c>
      <c r="E74" s="41">
        <f t="shared" si="6"/>
        <v>0</v>
      </c>
    </row>
    <row r="75" spans="1:5" ht="13.5">
      <c r="A75" s="44" t="s">
        <v>98</v>
      </c>
      <c r="B75" s="45">
        <f>B38+B40+B60+B66+B74+B39</f>
        <v>162231179.03</v>
      </c>
      <c r="C75" s="45">
        <f>C38+C40+C60+C66+C74+C39</f>
        <v>128247473.19</v>
      </c>
      <c r="D75" s="46">
        <f t="shared" si="7"/>
        <v>79.05229682531267</v>
      </c>
      <c r="E75" s="47">
        <f aca="true" t="shared" si="8" ref="E75:E123">C75-B75</f>
        <v>-33983705.84</v>
      </c>
    </row>
    <row r="76" spans="1:5" ht="23.25" customHeight="1">
      <c r="A76" s="44" t="s">
        <v>11</v>
      </c>
      <c r="B76" s="45">
        <f>B37+B75</f>
        <v>206206377.24</v>
      </c>
      <c r="C76" s="45">
        <f>C37+C75</f>
        <v>168517075.70999998</v>
      </c>
      <c r="D76" s="46">
        <f t="shared" si="7"/>
        <v>81.72253349558918</v>
      </c>
      <c r="E76" s="47">
        <f t="shared" si="8"/>
        <v>-37689301.53000003</v>
      </c>
    </row>
    <row r="77" spans="1:5" ht="13.5" hidden="1">
      <c r="A77" s="44" t="s">
        <v>48</v>
      </c>
      <c r="B77" s="42"/>
      <c r="C77" s="42"/>
      <c r="D77" s="40" t="str">
        <f t="shared" si="7"/>
        <v>   </v>
      </c>
      <c r="E77" s="41">
        <f t="shared" si="8"/>
        <v>0</v>
      </c>
    </row>
    <row r="78" spans="1:5" ht="14.25">
      <c r="A78" s="56" t="s">
        <v>12</v>
      </c>
      <c r="B78" s="57"/>
      <c r="C78" s="58"/>
      <c r="D78" s="40" t="str">
        <f t="shared" si="7"/>
        <v>   </v>
      </c>
      <c r="E78" s="41"/>
    </row>
    <row r="79" spans="1:5" ht="13.5">
      <c r="A79" s="21" t="s">
        <v>35</v>
      </c>
      <c r="B79" s="42">
        <f>Лист1!B64+Лист2!B56+Лист3!B51+Лист4!B53+Лист5!B52+Лист6!B50+Лист7!B65+Лист8!B52+Лист9!B54+Лист10!B53</f>
        <v>18783346.11</v>
      </c>
      <c r="C79" s="42">
        <f>Лист1!C64+Лист2!C56+Лист3!C51+Лист4!C53+Лист5!C52+Лист6!C50+Лист7!C65+Лист8!C52+Лист9!C54+Лист10!C53</f>
        <v>14003821</v>
      </c>
      <c r="D79" s="40">
        <f t="shared" si="7"/>
        <v>74.55445327999655</v>
      </c>
      <c r="E79" s="41">
        <f t="shared" si="8"/>
        <v>-4779525.109999999</v>
      </c>
    </row>
    <row r="80" spans="1:5" ht="13.5" customHeight="1">
      <c r="A80" s="21" t="s">
        <v>36</v>
      </c>
      <c r="B80" s="42">
        <f>Лист1!B65+Лист2!B57+Лист3!B52+Лист4!B54+Лист5!B53+Лист6!B51+Лист7!B66+Лист8!B53+Лист9!B55+Лист10!B54</f>
        <v>18437938.009999998</v>
      </c>
      <c r="C80" s="42">
        <f>Лист1!C65+Лист2!C57+Лист3!C52+Лист4!C54+Лист5!C53+Лист6!C51+Лист7!C66+Лист8!C53+Лист9!C55+Лист10!C54</f>
        <v>13849056.399999999</v>
      </c>
      <c r="D80" s="40">
        <f t="shared" si="7"/>
        <v>75.11174184710256</v>
      </c>
      <c r="E80" s="41">
        <f t="shared" si="8"/>
        <v>-4588881.609999999</v>
      </c>
    </row>
    <row r="81" spans="1:5" ht="13.5">
      <c r="A81" s="21" t="s">
        <v>115</v>
      </c>
      <c r="B81" s="42">
        <f>Лист1!B66+Лист2!B58+Лист3!B53+Лист4!B55+Лист5!B54+Лист6!B52+Лист7!B67+Лист8!B54+Лист9!B56+Лист10!B55</f>
        <v>10182651.5</v>
      </c>
      <c r="C81" s="42">
        <f>Лист1!C66+Лист2!C58+Лист3!C53+Лист4!C55+Лист5!C54+Лист6!C52+Лист7!C67+Лист8!C54+Лист9!C56+Лист10!C55</f>
        <v>7717469.400000001</v>
      </c>
      <c r="D81" s="40">
        <f t="shared" si="7"/>
        <v>75.7903714960686</v>
      </c>
      <c r="E81" s="41">
        <f t="shared" si="8"/>
        <v>-2465182.0999999987</v>
      </c>
    </row>
    <row r="82" spans="1:5" ht="27">
      <c r="A82" s="21" t="s">
        <v>312</v>
      </c>
      <c r="B82" s="42">
        <f>Лист1!B67+Лист2!B59+Лист3!B54+Лист4!B56+Лист5!B55+Лист6!B53+Лист7!B68+Лист8!B55+Лист9!B57+Лист10!B56</f>
        <v>604600</v>
      </c>
      <c r="C82" s="42">
        <f>Лист1!C67+Лист2!C59+Лист3!C54+Лист4!C56+Лист5!C55+Лист6!C53+Лист7!C68+Лист8!C55+Лист9!C57+Лист10!C56</f>
        <v>604600</v>
      </c>
      <c r="D82" s="40">
        <f>IF(B82=0,"   ",C82/B82*100)</f>
        <v>100</v>
      </c>
      <c r="E82" s="41">
        <f>C82-B82</f>
        <v>0</v>
      </c>
    </row>
    <row r="83" spans="1:5" ht="27">
      <c r="A83" s="21" t="s">
        <v>317</v>
      </c>
      <c r="B83" s="42">
        <f>+Лист2!B60+Лист5!B56</f>
        <v>0</v>
      </c>
      <c r="C83" s="42">
        <f>+Лист2!C60+Лист5!C56</f>
        <v>0</v>
      </c>
      <c r="D83" s="40" t="str">
        <f>IF(B83=0,"   ",C83/B83*100)</f>
        <v>   </v>
      </c>
      <c r="E83" s="41">
        <f>C83-B83</f>
        <v>0</v>
      </c>
    </row>
    <row r="84" spans="1:5" ht="13.5">
      <c r="A84" s="21" t="s">
        <v>90</v>
      </c>
      <c r="B84" s="42">
        <f>Лист1!B68+Лист2!B61+Лист3!B55+Лист4!B57+Лист5!B57+Лист6!B54+Лист7!B69+Лист8!B56+Лист9!B58+Лист10!B57</f>
        <v>14500</v>
      </c>
      <c r="C84" s="42">
        <f>Лист1!C68+Лист2!C61+Лист3!C55+Лист4!C57+Лист5!C57+Лист6!C54+Лист7!C69+Лист8!C56+Лист9!C58+Лист10!C57</f>
        <v>0</v>
      </c>
      <c r="D84" s="40">
        <f t="shared" si="7"/>
        <v>0</v>
      </c>
      <c r="E84" s="41">
        <f t="shared" si="8"/>
        <v>-14500</v>
      </c>
    </row>
    <row r="85" spans="1:5" ht="13.5">
      <c r="A85" s="21" t="s">
        <v>52</v>
      </c>
      <c r="B85" s="43">
        <f>SUM(B86:B90)</f>
        <v>330908.1</v>
      </c>
      <c r="C85" s="43">
        <f>SUM(C86:C90)</f>
        <v>154764.6</v>
      </c>
      <c r="D85" s="40">
        <f t="shared" si="7"/>
        <v>46.7696620300319</v>
      </c>
      <c r="E85" s="41">
        <f t="shared" si="8"/>
        <v>-176143.49999999997</v>
      </c>
    </row>
    <row r="86" spans="1:5" ht="27">
      <c r="A86" s="17" t="s">
        <v>219</v>
      </c>
      <c r="B86" s="42">
        <f>Лист7!B72+Лист8!B59</f>
        <v>2000</v>
      </c>
      <c r="C86" s="42">
        <f>Лист7!C72+Лист8!C59</f>
        <v>0</v>
      </c>
      <c r="D86" s="40">
        <f>IF(B86=0,"   ",C86/B86*100)</f>
        <v>0</v>
      </c>
      <c r="E86" s="41">
        <f>C86-B86</f>
        <v>-2000</v>
      </c>
    </row>
    <row r="87" spans="1:5" ht="47.25" customHeight="1">
      <c r="A87" s="17" t="s">
        <v>220</v>
      </c>
      <c r="B87" s="42">
        <f>Лист3!B57+Лист7!B71+Лист1!B70+Лист2!B63+Лист4!B60+Лист5!B59+Лист6!B56+Лист8!B58+Лист9!B60+Лист10!B59</f>
        <v>209900</v>
      </c>
      <c r="C87" s="42">
        <f>Лист3!C57+Лист7!C71+Лист1!C70+Лист2!C63+Лист4!C60+Лист5!C59+Лист6!C56+Лист8!C58+Лист9!C60+Лист10!C59</f>
        <v>131600</v>
      </c>
      <c r="D87" s="40">
        <f>IF(B87=0,"   ",C87/B87*100)</f>
        <v>62.696522153406384</v>
      </c>
      <c r="E87" s="41">
        <f>C87-B87</f>
        <v>-78300</v>
      </c>
    </row>
    <row r="88" spans="1:5" ht="26.25" customHeight="1">
      <c r="A88" s="17" t="s">
        <v>262</v>
      </c>
      <c r="B88" s="42">
        <f>Лист3!B58</f>
        <v>0</v>
      </c>
      <c r="C88" s="42">
        <f>Лист3!C58</f>
        <v>0</v>
      </c>
      <c r="D88" s="40" t="str">
        <f t="shared" si="7"/>
        <v>   </v>
      </c>
      <c r="E88" s="41">
        <f>C88-B88</f>
        <v>0</v>
      </c>
    </row>
    <row r="89" spans="1:5" ht="22.5" customHeight="1">
      <c r="A89" s="17" t="s">
        <v>202</v>
      </c>
      <c r="B89" s="42">
        <f>Лист9!B61+Лист7!B74+Лист5!B60+Лист1!B71</f>
        <v>119008.1</v>
      </c>
      <c r="C89" s="42">
        <f>Лист9!C61+Лист7!C74+Лист5!C60+Лист1!C71</f>
        <v>23164.6</v>
      </c>
      <c r="D89" s="40">
        <f>IF(B89=0,"   ",C89/B89*100)</f>
        <v>19.464725510280388</v>
      </c>
      <c r="E89" s="41">
        <f>C89-B89</f>
        <v>-95843.5</v>
      </c>
    </row>
    <row r="90" spans="1:5" ht="33" customHeight="1">
      <c r="A90" s="17" t="s">
        <v>223</v>
      </c>
      <c r="B90" s="42">
        <f>Лист7!B73</f>
        <v>0</v>
      </c>
      <c r="C90" s="42">
        <f>Лист7!C73</f>
        <v>0</v>
      </c>
      <c r="D90" s="42" t="str">
        <f>Лист7!D73</f>
        <v>   </v>
      </c>
      <c r="E90" s="42">
        <f>Лист7!E73</f>
        <v>0</v>
      </c>
    </row>
    <row r="91" spans="1:5" ht="13.5">
      <c r="A91" s="21" t="s">
        <v>49</v>
      </c>
      <c r="B91" s="43">
        <f>SUM(B92)</f>
        <v>1547900</v>
      </c>
      <c r="C91" s="43">
        <f>SUM(C92)</f>
        <v>1040211.66</v>
      </c>
      <c r="D91" s="40">
        <f t="shared" si="7"/>
        <v>67.20147683958912</v>
      </c>
      <c r="E91" s="41">
        <f t="shared" si="8"/>
        <v>-507688.33999999997</v>
      </c>
    </row>
    <row r="92" spans="1:5" ht="33" customHeight="1">
      <c r="A92" s="21" t="s">
        <v>101</v>
      </c>
      <c r="B92" s="42">
        <f>Лист1!B73+Лист2!B65+Лист3!B60+Лист4!B62+Лист5!B62+Лист6!B58+Лист7!B76+Лист8!B61+Лист9!B63+Лист10!B61</f>
        <v>1547900</v>
      </c>
      <c r="C92" s="42">
        <f>Лист1!C73+Лист2!C65+Лист3!C60+Лист4!C62+Лист5!C62+Лист6!C58+Лист7!C76+Лист8!C61+Лист9!C63+Лист10!C61</f>
        <v>1040211.66</v>
      </c>
      <c r="D92" s="40">
        <f t="shared" si="7"/>
        <v>67.20147683958912</v>
      </c>
      <c r="E92" s="41">
        <f t="shared" si="8"/>
        <v>-507688.33999999997</v>
      </c>
    </row>
    <row r="93" spans="1:5" ht="27">
      <c r="A93" s="21" t="s">
        <v>37</v>
      </c>
      <c r="B93" s="42">
        <f>Лист1!B74+Лист2!B66+Лист3!B61+Лист4!B63+Лист5!B63+Лист6!B59+Лист7!B77+Лист8!B62+Лист9!B64+Лист10!B62</f>
        <v>897606.25</v>
      </c>
      <c r="C93" s="42">
        <f>Лист1!C74+Лист2!C66+Лист3!C61+Лист4!C63+Лист5!C63+Лист6!C59+Лист7!C77+Лист8!C62+Лист9!C64+Лист10!C62</f>
        <v>656824.47</v>
      </c>
      <c r="D93" s="40">
        <f t="shared" si="7"/>
        <v>73.17512216520328</v>
      </c>
      <c r="E93" s="41">
        <f t="shared" si="8"/>
        <v>-240781.78000000003</v>
      </c>
    </row>
    <row r="94" spans="1:5" ht="33.75" customHeight="1">
      <c r="A94" s="60" t="s">
        <v>303</v>
      </c>
      <c r="B94" s="43">
        <f>Лист7!B78</f>
        <v>827606.25</v>
      </c>
      <c r="C94" s="43">
        <f>Лист7!C78</f>
        <v>649924.47</v>
      </c>
      <c r="D94" s="40">
        <f t="shared" si="7"/>
        <v>78.53063821110582</v>
      </c>
      <c r="E94" s="41">
        <f t="shared" si="8"/>
        <v>-177681.78000000003</v>
      </c>
    </row>
    <row r="95" spans="1:5" ht="18.75" customHeight="1">
      <c r="A95" s="21" t="s">
        <v>91</v>
      </c>
      <c r="B95" s="42">
        <f>Лист7!B79</f>
        <v>827606.25</v>
      </c>
      <c r="C95" s="42">
        <f>Лист7!C79</f>
        <v>649924.47</v>
      </c>
      <c r="D95" s="40">
        <f t="shared" si="7"/>
        <v>78.53063821110582</v>
      </c>
      <c r="E95" s="41">
        <f t="shared" si="8"/>
        <v>-177681.78000000003</v>
      </c>
    </row>
    <row r="96" spans="1:5" ht="15.75" customHeight="1">
      <c r="A96" s="21" t="s">
        <v>115</v>
      </c>
      <c r="B96" s="42">
        <f>Лист7!B80</f>
        <v>635633.36</v>
      </c>
      <c r="C96" s="42">
        <f>Лист7!C80</f>
        <v>508033.99</v>
      </c>
      <c r="D96" s="40">
        <f t="shared" si="7"/>
        <v>79.92563354446972</v>
      </c>
      <c r="E96" s="41">
        <f t="shared" si="8"/>
        <v>-127599.37</v>
      </c>
    </row>
    <row r="97" spans="1:5" ht="27">
      <c r="A97" s="21" t="s">
        <v>305</v>
      </c>
      <c r="B97" s="42">
        <f>Лист1!B75+Лист2!B67+Лист3!B62+Лист4!B64+Лист5!B64+Лист6!B60+Лист7!B81+Лист8!B63+Лист9!B66+Лист10!B63</f>
        <v>45000</v>
      </c>
      <c r="C97" s="42">
        <f>Лист1!C75+Лист2!C67+Лист3!C62+Лист4!C64+Лист5!C64+Лист6!C60+Лист7!C81+Лист8!C63+Лист9!C65+Лист10!C63</f>
        <v>6900</v>
      </c>
      <c r="D97" s="40">
        <f t="shared" si="7"/>
        <v>15.333333333333332</v>
      </c>
      <c r="E97" s="41">
        <f t="shared" si="8"/>
        <v>-38100</v>
      </c>
    </row>
    <row r="98" spans="1:5" ht="27">
      <c r="A98" s="21" t="s">
        <v>351</v>
      </c>
      <c r="B98" s="42">
        <f>Лист9!B67</f>
        <v>25000</v>
      </c>
      <c r="C98" s="42">
        <f>Лист9!C67</f>
        <v>0</v>
      </c>
      <c r="D98" s="40">
        <f>IF(B98=0,"   ",C98/B98*100)</f>
        <v>0</v>
      </c>
      <c r="E98" s="41">
        <f>C98-B98</f>
        <v>-25000</v>
      </c>
    </row>
    <row r="99" spans="1:5" ht="13.5">
      <c r="A99" s="21" t="s">
        <v>38</v>
      </c>
      <c r="B99" s="43">
        <f>B110+B102+B125+B108+B100</f>
        <v>50021178.56000001</v>
      </c>
      <c r="C99" s="43">
        <f>C110+C102+C125+C108+C100</f>
        <v>43931072.55</v>
      </c>
      <c r="D99" s="40">
        <f t="shared" si="7"/>
        <v>87.82494498266374</v>
      </c>
      <c r="E99" s="41">
        <f t="shared" si="8"/>
        <v>-6090106.010000013</v>
      </c>
    </row>
    <row r="100" spans="1:5" ht="13.5">
      <c r="A100" s="61" t="s">
        <v>217</v>
      </c>
      <c r="B100" s="43">
        <f>B101</f>
        <v>0</v>
      </c>
      <c r="C100" s="43">
        <f>C101</f>
        <v>0</v>
      </c>
      <c r="D100" s="40" t="str">
        <f>IF(B100=0,"   ",C100/B100*100)</f>
        <v>   </v>
      </c>
      <c r="E100" s="41">
        <f t="shared" si="8"/>
        <v>0</v>
      </c>
    </row>
    <row r="101" spans="1:5" ht="27">
      <c r="A101" s="62" t="s">
        <v>218</v>
      </c>
      <c r="B101" s="43">
        <f>Лист7!B84</f>
        <v>0</v>
      </c>
      <c r="C101" s="43">
        <f>Лист7!C84</f>
        <v>0</v>
      </c>
      <c r="D101" s="40" t="str">
        <f>IF(B101=0,"   ",C101/B101*100)</f>
        <v>   </v>
      </c>
      <c r="E101" s="41">
        <f t="shared" si="8"/>
        <v>0</v>
      </c>
    </row>
    <row r="102" spans="1:5" ht="15.75" customHeight="1">
      <c r="A102" s="61" t="s">
        <v>162</v>
      </c>
      <c r="B102" s="43">
        <f>SUM(B103:B107)</f>
        <v>1728758.71</v>
      </c>
      <c r="C102" s="43">
        <f>SUM(C103:C107)</f>
        <v>1597099.04</v>
      </c>
      <c r="D102" s="40">
        <f t="shared" si="7"/>
        <v>92.38415001246763</v>
      </c>
      <c r="E102" s="41">
        <f aca="true" t="shared" si="9" ref="E102:E109">C102-B102</f>
        <v>-131659.66999999993</v>
      </c>
    </row>
    <row r="103" spans="1:5" ht="30" customHeight="1">
      <c r="A103" s="60" t="s">
        <v>159</v>
      </c>
      <c r="B103" s="43">
        <f>Лист10!B66+Лист7!B86+Лист2!B71+Лист6!B64+Лист1!B79+Лист3!B66+Лист4!B68+Лист5!B68+Лист8!B67+Лист9!B71</f>
        <v>60000</v>
      </c>
      <c r="C103" s="43">
        <f>Лист10!C66+Лист7!C86+Лист2!C71+Лист6!C64+Лист1!C79+Лист3!C66+Лист4!C68+Лист5!C68+Лист8!C67+Лист9!C71</f>
        <v>35750.1</v>
      </c>
      <c r="D103" s="40">
        <f t="shared" si="7"/>
        <v>59.5835</v>
      </c>
      <c r="E103" s="41">
        <f t="shared" si="9"/>
        <v>-24249.9</v>
      </c>
    </row>
    <row r="104" spans="1:5" ht="27">
      <c r="A104" s="62" t="s">
        <v>156</v>
      </c>
      <c r="B104" s="43">
        <f>Лист1!B78+Лист2!B70+Лист3!B65+Лист4!B67+Лист5!B67+Лист6!B63+Лист7!B87+Лист8!B66+Лист9!B70+Лист10!B67</f>
        <v>157200</v>
      </c>
      <c r="C104" s="43">
        <f>Лист1!C78+Лист2!C70+Лист3!C65+Лист4!C67+Лист5!C67+Лист6!C63+Лист7!C87+Лист8!C66+Лист9!C70+Лист10!C67</f>
        <v>157200</v>
      </c>
      <c r="D104" s="40">
        <f t="shared" si="7"/>
        <v>100</v>
      </c>
      <c r="E104" s="41">
        <f t="shared" si="9"/>
        <v>0</v>
      </c>
    </row>
    <row r="105" spans="1:5" ht="27">
      <c r="A105" s="62" t="s">
        <v>280</v>
      </c>
      <c r="B105" s="43">
        <f>Лист7!B88+Лист2!B71+Лист6!B65+Лист3!B67+Лист5!B68+Лист8!B67+Лист1!B79+Лист4!B69+Лист9!B71+Лист10!B68</f>
        <v>107409.77</v>
      </c>
      <c r="C105" s="43">
        <f>Лист7!C88+Лист2!C71+Лист6!C65+Лист3!C67+Лист5!C68+Лист8!C67+Лист1!C79+Лист4!C69+Лист9!C71+Лист10!C68</f>
        <v>107409.77</v>
      </c>
      <c r="D105" s="40">
        <f>IF(B105=0,"   ",C105/B105*100)</f>
        <v>100</v>
      </c>
      <c r="E105" s="41">
        <f>C105-B105</f>
        <v>0</v>
      </c>
    </row>
    <row r="106" spans="1:5" ht="27">
      <c r="A106" s="60" t="s">
        <v>279</v>
      </c>
      <c r="B106" s="43">
        <f>Лист7!B89+Лист2!B72+Лист6!B66+Лист3!B68+Лист5!B69+Лист8!B68+Лист1!B80+Лист4!B70+Лист9!B72+Лист10!B69</f>
        <v>1319900</v>
      </c>
      <c r="C106" s="43">
        <f>Лист7!C89+Лист2!C72+Лист6!C66+Лист3!C68+Лист5!C69+Лист8!C68+Лист1!C80+Лист4!C70+Лист9!C72+Лист10!C69</f>
        <v>1212490.2300000002</v>
      </c>
      <c r="D106" s="40">
        <f>IF(B106=0,"   ",C106/B106*100)</f>
        <v>91.86227971816048</v>
      </c>
      <c r="E106" s="41">
        <f t="shared" si="9"/>
        <v>-107409.76999999979</v>
      </c>
    </row>
    <row r="107" spans="1:5" ht="27">
      <c r="A107" s="60" t="s">
        <v>378</v>
      </c>
      <c r="B107" s="43">
        <f>Лист7!B90+Лист2!B73+Лист6!B67+Лист3!B69+Лист5!B70+Лист8!B69+Лист1!B81+Лист4!B71+Лист9!B73+Лист10!B70</f>
        <v>84248.94</v>
      </c>
      <c r="C107" s="43">
        <f>Лист7!C90+Лист2!C73+Лист6!C67+Лист3!C69+Лист5!C70+Лист8!C69+Лист1!C81+Лист4!C71+Лист9!C73+Лист10!C70</f>
        <v>84248.94</v>
      </c>
      <c r="D107" s="40">
        <f>IF(B107=0,"   ",C107/B107*100)</f>
        <v>100</v>
      </c>
      <c r="E107" s="41">
        <f t="shared" si="9"/>
        <v>0</v>
      </c>
    </row>
    <row r="108" spans="1:5" ht="13.5">
      <c r="A108" s="59" t="s">
        <v>212</v>
      </c>
      <c r="B108" s="43">
        <f>B109</f>
        <v>15000</v>
      </c>
      <c r="C108" s="43">
        <f>C109</f>
        <v>15000</v>
      </c>
      <c r="D108" s="40">
        <f>IF(B108=0,"   ",C108/B108*100)</f>
        <v>100</v>
      </c>
      <c r="E108" s="41">
        <f t="shared" si="9"/>
        <v>0</v>
      </c>
    </row>
    <row r="109" spans="1:5" ht="27">
      <c r="A109" s="60" t="s">
        <v>209</v>
      </c>
      <c r="B109" s="43">
        <f>Лист7!B92+Лист2!B75+Лист1!B83+Лист6!B69+Лист8!B71</f>
        <v>15000</v>
      </c>
      <c r="C109" s="43">
        <f>Лист7!C92+Лист2!C75+Лист1!C83+Лист6!C69+Лист8!C71</f>
        <v>15000</v>
      </c>
      <c r="D109" s="40">
        <f>IF(B109=0,"   ",C109/B109*100)</f>
        <v>100</v>
      </c>
      <c r="E109" s="41">
        <f t="shared" si="9"/>
        <v>0</v>
      </c>
    </row>
    <row r="110" spans="1:5" ht="13.5">
      <c r="A110" s="63" t="s">
        <v>123</v>
      </c>
      <c r="B110" s="43">
        <f>SUM(B111,B115:B124)</f>
        <v>47774619.86000001</v>
      </c>
      <c r="C110" s="43">
        <f>SUM(C111,C115:C124)</f>
        <v>42023473.51</v>
      </c>
      <c r="D110" s="40">
        <f aca="true" t="shared" si="10" ref="D110:D131">IF(B110=0,"   ",C110/B110*100)</f>
        <v>87.96192127356886</v>
      </c>
      <c r="E110" s="41">
        <f t="shared" si="8"/>
        <v>-5751146.350000009</v>
      </c>
    </row>
    <row r="111" spans="1:5" ht="13.5">
      <c r="A111" s="17" t="s">
        <v>325</v>
      </c>
      <c r="B111" s="43">
        <f>SUM(B112:B114)</f>
        <v>6011431.18</v>
      </c>
      <c r="C111" s="43">
        <f>SUM(C112:C114)</f>
        <v>5958725.299999999</v>
      </c>
      <c r="D111" s="40">
        <f t="shared" si="10"/>
        <v>99.12323906867049</v>
      </c>
      <c r="E111" s="41">
        <f t="shared" si="8"/>
        <v>-52705.88000000082</v>
      </c>
    </row>
    <row r="112" spans="1:5" ht="27">
      <c r="A112" s="17" t="s">
        <v>326</v>
      </c>
      <c r="B112" s="43">
        <f>Лист4!B75+Лист7!B96</f>
        <v>3575235.1799999997</v>
      </c>
      <c r="C112" s="43">
        <f>Лист4!C75+Лист7!C96</f>
        <v>3575235.1799999997</v>
      </c>
      <c r="D112" s="40">
        <f t="shared" si="10"/>
        <v>100</v>
      </c>
      <c r="E112" s="41">
        <f t="shared" si="8"/>
        <v>0</v>
      </c>
    </row>
    <row r="113" spans="1:5" ht="27">
      <c r="A113" s="17" t="s">
        <v>324</v>
      </c>
      <c r="B113" s="43">
        <f>Лист4!B76+Лист7!B97</f>
        <v>1631693.6</v>
      </c>
      <c r="C113" s="43">
        <f>Лист4!C76+Лист7!C97</f>
        <v>1592164.19</v>
      </c>
      <c r="D113" s="40">
        <f t="shared" si="10"/>
        <v>97.5773999481275</v>
      </c>
      <c r="E113" s="41">
        <f t="shared" si="8"/>
        <v>-39529.41000000015</v>
      </c>
    </row>
    <row r="114" spans="1:5" ht="27" customHeight="1">
      <c r="A114" s="17" t="s">
        <v>327</v>
      </c>
      <c r="B114" s="43">
        <f>Лист4!B77+Лист7!B98</f>
        <v>804502.3999999999</v>
      </c>
      <c r="C114" s="43">
        <f>Лист4!C77+Лист7!C98</f>
        <v>791325.9299999999</v>
      </c>
      <c r="D114" s="40">
        <f t="shared" si="10"/>
        <v>98.36215901904085</v>
      </c>
      <c r="E114" s="41">
        <f t="shared" si="8"/>
        <v>-13176.469999999972</v>
      </c>
    </row>
    <row r="115" spans="1:5" ht="13.5">
      <c r="A115" s="62" t="s">
        <v>242</v>
      </c>
      <c r="B115" s="43">
        <f>Лист1!B85+Лист2!B77+Лист3!B71+Лист4!B73+Лист5!B72+Лист6!B71+Лист7!B94+Лист8!B73+Лист9!B75+Лист10!B72</f>
        <v>0</v>
      </c>
      <c r="C115" s="43">
        <f>Лист1!C85+Лист2!C77+Лист3!C71+Лист4!C73+Лист5!C72+Лист6!C71+Лист7!C94+Лист8!C73+Лист9!C75+Лист10!C72</f>
        <v>0</v>
      </c>
      <c r="D115" s="40" t="str">
        <f>IF(B115=0,"   ",C115/B115*100)</f>
        <v>   </v>
      </c>
      <c r="E115" s="41">
        <f>C115-B115</f>
        <v>0</v>
      </c>
    </row>
    <row r="116" spans="1:5" ht="27">
      <c r="A116" s="60" t="s">
        <v>235</v>
      </c>
      <c r="B116" s="43">
        <f>Лист4!B84</f>
        <v>27177.99</v>
      </c>
      <c r="C116" s="43">
        <f>Лист4!C84</f>
        <v>27177.99</v>
      </c>
      <c r="D116" s="40">
        <f>IF(B116=0,"   ",C116/B116*100)</f>
        <v>100</v>
      </c>
      <c r="E116" s="41">
        <f>C116-B116</f>
        <v>0</v>
      </c>
    </row>
    <row r="117" spans="1:5" ht="42.75" customHeight="1">
      <c r="A117" s="17" t="s">
        <v>225</v>
      </c>
      <c r="B117" s="43">
        <f>Лист1!B90+Лист2!B78+Лист3!B72+Лист4!B78+Лист5!B73+Лист6!B72+Лист7!B99+Лист8!B74+Лист9!B76+Лист10!B73</f>
        <v>4793372.2</v>
      </c>
      <c r="C117" s="43">
        <f>Лист1!C90+Лист2!C78+Лист3!C72+Лист4!C78+Лист5!C73+Лист6!C72+Лист7!C99+Лист8!C74+Лист9!C76+Лист10!C73</f>
        <v>1677853.36</v>
      </c>
      <c r="D117" s="40">
        <f>IF(B117=0,"   ",C117/B117*100)</f>
        <v>35.00361102774369</v>
      </c>
      <c r="E117" s="41">
        <f>C117-B117</f>
        <v>-3115518.84</v>
      </c>
    </row>
    <row r="118" spans="1:5" ht="45" customHeight="1">
      <c r="A118" s="17" t="s">
        <v>226</v>
      </c>
      <c r="B118" s="43">
        <f>Лист1!B91+Лист2!B79+Лист3!B73+Лист4!B79+Лист5!B74+Лист6!B73+Лист7!B100+Лист8!B75+Лист9!B77+Лист10!B74</f>
        <v>1846897</v>
      </c>
      <c r="C118" s="43">
        <f>Лист1!C91+Лист2!C79+Лист3!C73+Лист4!C79+Лист5!C74+Лист6!C73+Лист7!C100+Лист8!C75+Лист9!C77+Лист10!C74</f>
        <v>1187263</v>
      </c>
      <c r="D118" s="40">
        <f t="shared" si="10"/>
        <v>64.28420209681428</v>
      </c>
      <c r="E118" s="41">
        <f t="shared" si="8"/>
        <v>-659634</v>
      </c>
    </row>
    <row r="119" spans="1:5" ht="44.25" customHeight="1">
      <c r="A119" s="17" t="s">
        <v>227</v>
      </c>
      <c r="B119" s="43">
        <f>Лист1!B92+Лист2!B80+Лист3!B74+Лист4!B80+Лист5!B75+Лист6!B74+Лист7!B101+Лист8!B76+Лист9!B78+Лист10!B75</f>
        <v>25548700</v>
      </c>
      <c r="C119" s="43">
        <f>Лист1!C92+Лист2!C80+Лист3!C74+Лист4!C80+Лист5!C75+Лист6!C74+Лист7!C101+Лист8!C76+Лист9!C78+Лист10!C75</f>
        <v>25474964.560000002</v>
      </c>
      <c r="D119" s="40">
        <f t="shared" si="10"/>
        <v>99.71139259531797</v>
      </c>
      <c r="E119" s="41">
        <f t="shared" si="8"/>
        <v>-73735.43999999762</v>
      </c>
    </row>
    <row r="120" spans="1:5" ht="48" customHeight="1">
      <c r="A120" s="17" t="s">
        <v>228</v>
      </c>
      <c r="B120" s="43">
        <f>Лист1!B93+Лист2!B81+Лист3!B75+Лист4!B81+Лист5!B76+Лист6!B75+Лист7!B102+Лист8!B77+Лист9!B79+Лист10!B76</f>
        <v>2576641.49</v>
      </c>
      <c r="C120" s="43">
        <f>Лист1!C93+Лист2!C81+Лист3!C75+Лист4!C81+Лист5!C76+Лист6!C75+Лист7!C102+Лист8!C77+Лист9!C79+Лист10!C76</f>
        <v>2377732.23</v>
      </c>
      <c r="D120" s="40">
        <f t="shared" si="10"/>
        <v>92.28028964169167</v>
      </c>
      <c r="E120" s="41">
        <f t="shared" si="8"/>
        <v>-198909.26000000024</v>
      </c>
    </row>
    <row r="121" spans="1:5" ht="33.75" customHeight="1">
      <c r="A121" s="17" t="s">
        <v>229</v>
      </c>
      <c r="B121" s="43">
        <f>Лист1!B94+Лист2!B82+Лист3!B76+Лист4!B82+Лист5!B77+Лист6!B76+Лист7!B103+Лист8!B78+Лист9!B80+Лист10!B77</f>
        <v>4531100</v>
      </c>
      <c r="C121" s="43">
        <f>Лист1!C94+Лист2!C82+Лист3!C76+Лист4!C82+Лист5!C77+Лист6!C76+Лист7!C103+Лист8!C78+Лист9!C80+Лист10!C77</f>
        <v>3764182.0300000003</v>
      </c>
      <c r="D121" s="40">
        <f t="shared" si="10"/>
        <v>83.07435346825275</v>
      </c>
      <c r="E121" s="41">
        <f>C121-B121</f>
        <v>-766917.9699999997</v>
      </c>
    </row>
    <row r="122" spans="1:5" ht="46.5" customHeight="1">
      <c r="A122" s="17" t="s">
        <v>230</v>
      </c>
      <c r="B122" s="43">
        <f>Лист1!B95+Лист2!B83+Лист3!B77+Лист4!B83+Лист5!B78+Лист6!B77+Лист7!B104+Лист8!B79+Лист9!B81+Лист10!B78</f>
        <v>503800</v>
      </c>
      <c r="C122" s="43">
        <f>Лист1!C95+Лист2!C83+Лист3!C77+Лист4!C83+Лист5!C78+Лист6!C77+Лист7!C104+Лист8!C79+Лист9!C81+Лист10!C78</f>
        <v>418325.33999999997</v>
      </c>
      <c r="D122" s="40">
        <f t="shared" si="10"/>
        <v>83.0340095275903</v>
      </c>
      <c r="E122" s="41">
        <f t="shared" si="8"/>
        <v>-85474.66000000003</v>
      </c>
    </row>
    <row r="123" spans="1:5" ht="45" customHeight="1">
      <c r="A123" s="17" t="s">
        <v>357</v>
      </c>
      <c r="B123" s="43">
        <f>Лист7!B106</f>
        <v>1741900</v>
      </c>
      <c r="C123" s="43">
        <f>Лист7!C106</f>
        <v>948925.8</v>
      </c>
      <c r="D123" s="40">
        <f t="shared" si="10"/>
        <v>54.47647970606809</v>
      </c>
      <c r="E123" s="41">
        <f t="shared" si="8"/>
        <v>-792974.2</v>
      </c>
    </row>
    <row r="124" spans="1:5" ht="36" customHeight="1">
      <c r="A124" s="21" t="s">
        <v>221</v>
      </c>
      <c r="B124" s="43">
        <f>Лист7!B107</f>
        <v>193600</v>
      </c>
      <c r="C124" s="43">
        <f>Лист7!C107</f>
        <v>188323.9</v>
      </c>
      <c r="D124" s="40">
        <f>IF(B124=0,"   ",C124/B124*100)</f>
        <v>97.27474173553719</v>
      </c>
      <c r="E124" s="41">
        <f aca="true" t="shared" si="11" ref="E124:E161">C124-B124</f>
        <v>-5276.100000000006</v>
      </c>
    </row>
    <row r="125" spans="1:5" ht="18.75" customHeight="1">
      <c r="A125" s="63" t="s">
        <v>166</v>
      </c>
      <c r="B125" s="43">
        <f>B126+B127</f>
        <v>502799.99</v>
      </c>
      <c r="C125" s="43">
        <f>C126+C127</f>
        <v>295500</v>
      </c>
      <c r="D125" s="40">
        <f t="shared" si="10"/>
        <v>58.77088422376461</v>
      </c>
      <c r="E125" s="41">
        <f t="shared" si="11"/>
        <v>-207299.99</v>
      </c>
    </row>
    <row r="126" spans="1:5" ht="45" customHeight="1">
      <c r="A126" s="21" t="s">
        <v>145</v>
      </c>
      <c r="B126" s="43">
        <f>Лист1!B97+Лист2!B85+Лист7!B109+Лист9!B83+Лист4!B86+Лист5!B80+Лист6!B79+Лист10!B80+Лист8!B81+Лист3!B79</f>
        <v>247878.82</v>
      </c>
      <c r="C126" s="43">
        <f>Лист1!C97+Лист2!C85+Лист7!C109+Лист9!C83+Лист4!C86+Лист5!C80+Лист6!C79+Лист10!C80+Лист8!C81+Лист3!C79</f>
        <v>225500</v>
      </c>
      <c r="D126" s="40">
        <f t="shared" si="10"/>
        <v>90.97187085205586</v>
      </c>
      <c r="E126" s="41">
        <f t="shared" si="11"/>
        <v>-22378.820000000007</v>
      </c>
    </row>
    <row r="127" spans="1:5" ht="44.25" customHeight="1">
      <c r="A127" s="68" t="s">
        <v>167</v>
      </c>
      <c r="B127" s="43">
        <f>Лист1!B98+Лист2!B86+Лист3!B80+Лист5!B81+Лист7!B110+Лист8!B82+Лист9!B84+Лист10!B81+Лист4!B87</f>
        <v>254921.16999999998</v>
      </c>
      <c r="C127" s="43">
        <f>Лист1!C98+Лист2!C86+Лист3!C80+Лист5!C81+Лист7!C110+Лист8!C82+Лист9!C84+Лист10!C81+Лист4!C87</f>
        <v>70000</v>
      </c>
      <c r="D127" s="40">
        <f>IF(B127=0,"   ",C127/B127*100)</f>
        <v>27.45946913706696</v>
      </c>
      <c r="E127" s="41">
        <f t="shared" si="11"/>
        <v>-184921.16999999998</v>
      </c>
    </row>
    <row r="128" spans="1:5" ht="15.75" customHeight="1">
      <c r="A128" s="21" t="s">
        <v>13</v>
      </c>
      <c r="B128" s="42">
        <f>SUM(B129,B132,B150,B175)</f>
        <v>117357572.13</v>
      </c>
      <c r="C128" s="42">
        <f>SUM(C129,C132,C150,C175)</f>
        <v>81390108.66</v>
      </c>
      <c r="D128" s="40">
        <f t="shared" si="10"/>
        <v>69.35224304899738</v>
      </c>
      <c r="E128" s="41">
        <f t="shared" si="11"/>
        <v>-35967463.47</v>
      </c>
    </row>
    <row r="129" spans="1:5" ht="14.25" customHeight="1">
      <c r="A129" s="21" t="s">
        <v>14</v>
      </c>
      <c r="B129" s="70">
        <f>SUM(B130:B131)</f>
        <v>740415.81</v>
      </c>
      <c r="C129" s="70">
        <f>SUM(C130:C131)</f>
        <v>267224.84</v>
      </c>
      <c r="D129" s="40">
        <f t="shared" si="10"/>
        <v>36.09118503290738</v>
      </c>
      <c r="E129" s="41">
        <f t="shared" si="11"/>
        <v>-473190.97000000003</v>
      </c>
    </row>
    <row r="130" spans="1:5" ht="14.25" customHeight="1">
      <c r="A130" s="21" t="s">
        <v>88</v>
      </c>
      <c r="B130" s="42">
        <f>Лист7!B113+Лист9!B87+Лист1!B103</f>
        <v>180000</v>
      </c>
      <c r="C130" s="42">
        <f>Лист7!C113+Лист9!C87+Лист1!C103</f>
        <v>74765.92</v>
      </c>
      <c r="D130" s="40">
        <f t="shared" si="10"/>
        <v>41.53662222222222</v>
      </c>
      <c r="E130" s="41">
        <f t="shared" si="11"/>
        <v>-105234.08</v>
      </c>
    </row>
    <row r="131" spans="1:5" ht="15" customHeight="1">
      <c r="A131" s="21" t="s">
        <v>172</v>
      </c>
      <c r="B131" s="42">
        <f>Лист7!B114</f>
        <v>560415.81</v>
      </c>
      <c r="C131" s="42">
        <f>Лист7!C114</f>
        <v>192458.92</v>
      </c>
      <c r="D131" s="40">
        <f t="shared" si="10"/>
        <v>34.34216461523453</v>
      </c>
      <c r="E131" s="41">
        <f t="shared" si="11"/>
        <v>-367956.89</v>
      </c>
    </row>
    <row r="132" spans="1:5" ht="14.25" customHeight="1">
      <c r="A132" s="21" t="s">
        <v>70</v>
      </c>
      <c r="B132" s="70">
        <f>SUM(B133:B146)</f>
        <v>11406430.82</v>
      </c>
      <c r="C132" s="70">
        <f>SUM(C133:C146)</f>
        <v>8374935.63</v>
      </c>
      <c r="D132" s="40">
        <f aca="true" t="shared" si="12" ref="D132:D157">IF(B132=0,"   ",C132/B132*100)</f>
        <v>73.42292924194493</v>
      </c>
      <c r="E132" s="41">
        <f t="shared" si="11"/>
        <v>-3031495.1900000004</v>
      </c>
    </row>
    <row r="133" spans="1:5" ht="13.5">
      <c r="A133" s="21" t="s">
        <v>71</v>
      </c>
      <c r="B133" s="42">
        <f>Лист7!B127</f>
        <v>300000</v>
      </c>
      <c r="C133" s="42">
        <f>Лист7!C127</f>
        <v>300000</v>
      </c>
      <c r="D133" s="40">
        <f t="shared" si="12"/>
        <v>100</v>
      </c>
      <c r="E133" s="41">
        <f t="shared" si="11"/>
        <v>0</v>
      </c>
    </row>
    <row r="134" spans="1:5" ht="27">
      <c r="A134" s="21" t="s">
        <v>258</v>
      </c>
      <c r="B134" s="42">
        <f>Лист1!B108+Лист2!B91+Лист3!B84+Лист5!B86+Лист6!B85+Лист7!B124+Лист8!B90+Лист9!B89+Лист10!B85</f>
        <v>5314830</v>
      </c>
      <c r="C134" s="42">
        <f>Лист1!C108+Лист2!C91+Лист3!C84+Лист5!C86+Лист6!C85+Лист7!C124+Лист8!C90+Лист9!C89+Лист10!C85</f>
        <v>5237913</v>
      </c>
      <c r="D134" s="40">
        <f t="shared" si="12"/>
        <v>98.55278531956809</v>
      </c>
      <c r="E134" s="41">
        <f t="shared" si="11"/>
        <v>-76917</v>
      </c>
    </row>
    <row r="135" spans="1:5" ht="27">
      <c r="A135" s="21" t="s">
        <v>283</v>
      </c>
      <c r="B135" s="42">
        <f>Лист7!B118</f>
        <v>0</v>
      </c>
      <c r="C135" s="42">
        <f>Лист7!C118</f>
        <v>0</v>
      </c>
      <c r="D135" s="40" t="str">
        <f>IF(B135=0,"   ",C135/B135*100)</f>
        <v>   </v>
      </c>
      <c r="E135" s="41">
        <f>C135-B135</f>
        <v>0</v>
      </c>
    </row>
    <row r="136" spans="1:5" ht="27">
      <c r="A136" s="21" t="s">
        <v>284</v>
      </c>
      <c r="B136" s="42">
        <f>Лист7!B119</f>
        <v>0</v>
      </c>
      <c r="C136" s="42">
        <f>Лист7!C119</f>
        <v>0</v>
      </c>
      <c r="D136" s="40" t="str">
        <f>IF(B136=0,"   ",C136/B136*100)</f>
        <v>   </v>
      </c>
      <c r="E136" s="41">
        <f>C136-B136</f>
        <v>0</v>
      </c>
    </row>
    <row r="137" spans="1:5" ht="32.25" customHeight="1">
      <c r="A137" s="21" t="s">
        <v>309</v>
      </c>
      <c r="B137" s="42">
        <f>Лист1!B109+Лист5!B87+Лист8!B91+Лист7!B125</f>
        <v>461746</v>
      </c>
      <c r="C137" s="42">
        <f>Лист1!C109+Лист5!C87+Лист8!C91+Лист7!C125</f>
        <v>334336.5</v>
      </c>
      <c r="D137" s="40">
        <f>IF(B137=0,"   ",C137/B137*100)</f>
        <v>72.40701597848168</v>
      </c>
      <c r="E137" s="41">
        <f t="shared" si="11"/>
        <v>-127409.5</v>
      </c>
    </row>
    <row r="138" spans="1:5" ht="41.25">
      <c r="A138" s="21" t="s">
        <v>181</v>
      </c>
      <c r="B138" s="42">
        <f>Лист8!B87+Лист7!B116+Лист6!B82+Лист2!B89+Лист1!B105+Лист5!B85+Лист9!B91+Лист3!B83+Лист4!B90+Лист10!B84</f>
        <v>1053000</v>
      </c>
      <c r="C138" s="42">
        <f>Лист8!C87+Лист7!C116+Лист6!C82+Лист2!C89+Лист1!C105+Лист5!C85+Лист9!C91+Лист3!C83+Лист4!C90+Лист10!C84</f>
        <v>63337.18</v>
      </c>
      <c r="D138" s="40">
        <f t="shared" si="12"/>
        <v>6.0149268755935426</v>
      </c>
      <c r="E138" s="41">
        <f t="shared" si="11"/>
        <v>-989662.82</v>
      </c>
    </row>
    <row r="139" spans="1:5" ht="27">
      <c r="A139" s="38" t="s">
        <v>307</v>
      </c>
      <c r="B139" s="42">
        <f>Лист9!B95</f>
        <v>0</v>
      </c>
      <c r="C139" s="42">
        <f>Лист9!C95</f>
        <v>0</v>
      </c>
      <c r="D139" s="40" t="str">
        <f>IF(B139=0,"   ",C139/B139*100)</f>
        <v>   </v>
      </c>
      <c r="E139" s="41">
        <f>C139-B139</f>
        <v>0</v>
      </c>
    </row>
    <row r="140" spans="1:5" ht="31.5" customHeight="1">
      <c r="A140" s="21" t="s">
        <v>298</v>
      </c>
      <c r="B140" s="42">
        <f>Лист7!B126</f>
        <v>0</v>
      </c>
      <c r="C140" s="42">
        <f>Лист7!C126</f>
        <v>0</v>
      </c>
      <c r="D140" s="40" t="str">
        <f>IF(B140=0,"   ",C140/B140*100)</f>
        <v>   </v>
      </c>
      <c r="E140" s="41">
        <f>C140-B140</f>
        <v>0</v>
      </c>
    </row>
    <row r="141" spans="1:5" ht="27">
      <c r="A141" s="21" t="s">
        <v>288</v>
      </c>
      <c r="B141" s="42">
        <f>Лист1!B114</f>
        <v>0</v>
      </c>
      <c r="C141" s="42">
        <f>Лист1!C114</f>
        <v>0</v>
      </c>
      <c r="D141" s="40" t="str">
        <f t="shared" si="12"/>
        <v>   </v>
      </c>
      <c r="E141" s="41">
        <f t="shared" si="11"/>
        <v>0</v>
      </c>
    </row>
    <row r="142" spans="1:5" ht="17.25" customHeight="1">
      <c r="A142" s="38" t="s">
        <v>149</v>
      </c>
      <c r="B142" s="42">
        <f>Лист7!B117+Лист9!B92+Лист1!B106+Лист5!B84+Лист8!B88+Лист10!B87+Лист3!B87+Лист4!B92+Лист2!B90</f>
        <v>1329029.82</v>
      </c>
      <c r="C142" s="42">
        <f>Лист7!C117+Лист9!C92+Лист1!C106+Лист5!C84+Лист8!C88+Лист10!C87+Лист3!C87+Лист4!C92</f>
        <v>736588.21</v>
      </c>
      <c r="D142" s="40">
        <f t="shared" si="12"/>
        <v>55.42300096772846</v>
      </c>
      <c r="E142" s="41">
        <f t="shared" si="11"/>
        <v>-592441.6100000001</v>
      </c>
    </row>
    <row r="143" spans="1:5" ht="30" customHeight="1">
      <c r="A143" s="38" t="s">
        <v>306</v>
      </c>
      <c r="B143" s="42">
        <f>Лист9!B93</f>
        <v>0</v>
      </c>
      <c r="C143" s="42">
        <f>Лист9!C93</f>
        <v>0</v>
      </c>
      <c r="D143" s="40" t="str">
        <f>IF(B143=0,"   ",C143/B143*100)</f>
        <v>   </v>
      </c>
      <c r="E143" s="41">
        <f>C143-B143</f>
        <v>0</v>
      </c>
    </row>
    <row r="144" spans="1:5" ht="28.5" customHeight="1">
      <c r="A144" s="21" t="s">
        <v>304</v>
      </c>
      <c r="B144" s="42">
        <f>Лист2!B93+Лист3!B86+Лист5!B88+Лист6!B83+Лист8!B89+Лист9!B94+Лист10!B88+Лист1!B107+Лист4!B91</f>
        <v>2944325</v>
      </c>
      <c r="C144" s="42">
        <f>Лист2!C93+Лист3!C86+Лист5!C88+Лист6!C83+Лист8!C89+Лист9!C94+Лист10!C88+Лист1!C107+Лист4!C91</f>
        <v>1702760.74</v>
      </c>
      <c r="D144" s="40">
        <f>IF(B144=0,"   ",C144/B144*100)</f>
        <v>57.83195605104735</v>
      </c>
      <c r="E144" s="41">
        <f>C144-B144</f>
        <v>-1241564.26</v>
      </c>
    </row>
    <row r="145" spans="1:5" ht="28.5" customHeight="1">
      <c r="A145" s="21" t="s">
        <v>317</v>
      </c>
      <c r="B145" s="42">
        <f>Лист5!B89</f>
        <v>0</v>
      </c>
      <c r="C145" s="42">
        <f>Лист5!C89</f>
        <v>0</v>
      </c>
      <c r="D145" s="40" t="str">
        <f>IF(B145=0,"   ",C145/B145*100)</f>
        <v>   </v>
      </c>
      <c r="E145" s="41">
        <f>C145-B145</f>
        <v>0</v>
      </c>
    </row>
    <row r="146" spans="1:5" ht="21.75" customHeight="1">
      <c r="A146" s="17" t="s">
        <v>325</v>
      </c>
      <c r="B146" s="42">
        <f>SUM(B147:B149)</f>
        <v>3500</v>
      </c>
      <c r="C146" s="42">
        <f>SUM(C147:C149)</f>
        <v>0</v>
      </c>
      <c r="D146" s="40">
        <f t="shared" si="12"/>
        <v>0</v>
      </c>
      <c r="E146" s="41">
        <f t="shared" si="11"/>
        <v>-3500</v>
      </c>
    </row>
    <row r="147" spans="1:5" ht="18.75" customHeight="1">
      <c r="A147" s="17" t="s">
        <v>331</v>
      </c>
      <c r="B147" s="42">
        <v>0</v>
      </c>
      <c r="C147" s="42">
        <v>0</v>
      </c>
      <c r="D147" s="40" t="str">
        <f t="shared" si="12"/>
        <v>   </v>
      </c>
      <c r="E147" s="41">
        <f t="shared" si="11"/>
        <v>0</v>
      </c>
    </row>
    <row r="148" spans="1:5" ht="17.25" customHeight="1">
      <c r="A148" s="17" t="s">
        <v>332</v>
      </c>
      <c r="B148" s="42">
        <v>0</v>
      </c>
      <c r="C148" s="42">
        <v>0</v>
      </c>
      <c r="D148" s="40" t="str">
        <f t="shared" si="12"/>
        <v>   </v>
      </c>
      <c r="E148" s="41">
        <f t="shared" si="11"/>
        <v>0</v>
      </c>
    </row>
    <row r="149" spans="1:5" ht="15" customHeight="1">
      <c r="A149" s="17" t="s">
        <v>333</v>
      </c>
      <c r="B149" s="42">
        <f>Лист7!B123</f>
        <v>3500</v>
      </c>
      <c r="C149" s="42">
        <f>Лист7!C123</f>
        <v>0</v>
      </c>
      <c r="D149" s="40">
        <f t="shared" si="12"/>
        <v>0</v>
      </c>
      <c r="E149" s="41">
        <f t="shared" si="11"/>
        <v>-3500</v>
      </c>
    </row>
    <row r="150" spans="1:5" ht="13.5">
      <c r="A150" s="21" t="s">
        <v>72</v>
      </c>
      <c r="B150" s="70">
        <f>SUM(B151:B161,B162,B166,B167,B171)</f>
        <v>39930585.5</v>
      </c>
      <c r="C150" s="70">
        <f>SUM(C151:C161,C162,C167,C171)</f>
        <v>34592725.79</v>
      </c>
      <c r="D150" s="40">
        <f t="shared" si="12"/>
        <v>86.63215266402743</v>
      </c>
      <c r="E150" s="41">
        <f t="shared" si="11"/>
        <v>-5337859.710000001</v>
      </c>
    </row>
    <row r="151" spans="1:5" ht="13.5">
      <c r="A151" s="21" t="s">
        <v>60</v>
      </c>
      <c r="B151" s="42">
        <f>Лист1!B116+Лист2!B100+Лист3!B89+Лист4!B94+Лист5!B95+Лист6!B92+Лист7!B129+Лист8!B93+Лист9!B101+Лист10!B90</f>
        <v>8905630.83</v>
      </c>
      <c r="C151" s="42">
        <f>Лист1!C116+Лист2!C100+Лист3!C89+Лист4!C94+Лист5!C95+Лист6!C92+Лист7!C129+Лист8!C93+Лист9!C101+Лист10!C90</f>
        <v>5697637.16</v>
      </c>
      <c r="D151" s="40">
        <f t="shared" si="12"/>
        <v>63.977917665378904</v>
      </c>
      <c r="E151" s="41">
        <f t="shared" si="11"/>
        <v>-3207993.67</v>
      </c>
    </row>
    <row r="152" spans="1:5" ht="27" customHeight="1">
      <c r="A152" s="21" t="s">
        <v>199</v>
      </c>
      <c r="B152" s="42">
        <f>Лист7!B130</f>
        <v>6000</v>
      </c>
      <c r="C152" s="42">
        <f>Лист7!C130</f>
        <v>0</v>
      </c>
      <c r="D152" s="40">
        <f t="shared" si="12"/>
        <v>0</v>
      </c>
      <c r="E152" s="41">
        <f t="shared" si="11"/>
        <v>-6000</v>
      </c>
    </row>
    <row r="153" spans="1:5" ht="27" customHeight="1">
      <c r="A153" s="17" t="s">
        <v>300</v>
      </c>
      <c r="B153" s="42">
        <f>Лист7!B135</f>
        <v>0</v>
      </c>
      <c r="C153" s="42">
        <f>Лист7!C135</f>
        <v>0</v>
      </c>
      <c r="D153" s="40" t="str">
        <f>IF(B153=0,"   ",C153/B153*100)</f>
        <v>   </v>
      </c>
      <c r="E153" s="41">
        <f t="shared" si="11"/>
        <v>0</v>
      </c>
    </row>
    <row r="154" spans="1:5" ht="23.25" customHeight="1">
      <c r="A154" s="17" t="s">
        <v>224</v>
      </c>
      <c r="B154" s="42">
        <f>Лист7!B145</f>
        <v>666675</v>
      </c>
      <c r="C154" s="42">
        <f>Лист7!C145</f>
        <v>610000</v>
      </c>
      <c r="D154" s="40">
        <f t="shared" si="12"/>
        <v>91.4988562642967</v>
      </c>
      <c r="E154" s="41">
        <f t="shared" si="11"/>
        <v>-56675</v>
      </c>
    </row>
    <row r="155" spans="1:5" ht="13.5">
      <c r="A155" s="21" t="s">
        <v>73</v>
      </c>
      <c r="B155" s="42">
        <f>Лист7!B131</f>
        <v>128865.6</v>
      </c>
      <c r="C155" s="42">
        <f>Лист7!C131</f>
        <v>128865.6</v>
      </c>
      <c r="D155" s="40">
        <f t="shared" si="12"/>
        <v>100</v>
      </c>
      <c r="E155" s="41">
        <f t="shared" si="11"/>
        <v>0</v>
      </c>
    </row>
    <row r="156" spans="1:5" ht="13.5">
      <c r="A156" s="21" t="s">
        <v>74</v>
      </c>
      <c r="B156" s="42">
        <f>Лист7!B132+Лист6!B94</f>
        <v>240000</v>
      </c>
      <c r="C156" s="42">
        <f>Лист7!C132+Лист6!C94</f>
        <v>0</v>
      </c>
      <c r="D156" s="40">
        <f t="shared" si="12"/>
        <v>0</v>
      </c>
      <c r="E156" s="41">
        <f t="shared" si="11"/>
        <v>-240000</v>
      </c>
    </row>
    <row r="157" spans="1:5" ht="13.5">
      <c r="A157" s="21" t="s">
        <v>75</v>
      </c>
      <c r="B157" s="42">
        <f>Лист1!B118+Лист3!B90+Лист4!B95+Лист5!B96+Лист7!B133+Лист8!B95+Лист9!B102+Лист10!B92+Лист6!B93+Лист2!B105</f>
        <v>5133516.680000001</v>
      </c>
      <c r="C157" s="42">
        <f>Лист1!C118+Лист3!C90+Лист4!C95+Лист5!C96+Лист7!C133+Лист8!C95+Лист9!C102+Лист10!C92+Лист6!C93+Лист2!C105</f>
        <v>4264333.87</v>
      </c>
      <c r="D157" s="40">
        <f t="shared" si="12"/>
        <v>83.06847207906607</v>
      </c>
      <c r="E157" s="41">
        <f t="shared" si="11"/>
        <v>-869182.8100000005</v>
      </c>
    </row>
    <row r="158" spans="1:5" ht="27">
      <c r="A158" s="17" t="s">
        <v>350</v>
      </c>
      <c r="B158" s="42">
        <f>Лист1!B119+Лист9!B104</f>
        <v>65000</v>
      </c>
      <c r="C158" s="42">
        <f>Лист1!C119+Лист9!C104</f>
        <v>0</v>
      </c>
      <c r="D158" s="40">
        <f>IF(B158=0,"   ",C158/B158*100)</f>
        <v>0</v>
      </c>
      <c r="E158" s="41">
        <f>C158-B158</f>
        <v>-65000</v>
      </c>
    </row>
    <row r="159" spans="1:5" ht="24" customHeight="1">
      <c r="A159" s="21" t="s">
        <v>308</v>
      </c>
      <c r="B159" s="42">
        <f>Лист9!B103</f>
        <v>0</v>
      </c>
      <c r="C159" s="42">
        <f>Лист9!C103</f>
        <v>0</v>
      </c>
      <c r="D159" s="40" t="str">
        <f>IF(B159=0,"   ",C159/B159*100)</f>
        <v>   </v>
      </c>
      <c r="E159" s="41">
        <f>C159-B159</f>
        <v>0</v>
      </c>
    </row>
    <row r="160" spans="1:5" ht="27">
      <c r="A160" s="62" t="s">
        <v>218</v>
      </c>
      <c r="B160" s="42">
        <f>Лист7!B140</f>
        <v>276800</v>
      </c>
      <c r="C160" s="42">
        <f>Лист7!C140</f>
        <v>266975.73</v>
      </c>
      <c r="D160" s="40">
        <f>IF(B160=0,"   ",C160/B160*100)</f>
        <v>96.4507695086705</v>
      </c>
      <c r="E160" s="41">
        <f>C160-B160</f>
        <v>-9824.270000000019</v>
      </c>
    </row>
    <row r="161" spans="1:5" ht="27">
      <c r="A161" s="17" t="s">
        <v>315</v>
      </c>
      <c r="B161" s="42">
        <v>0</v>
      </c>
      <c r="C161" s="42">
        <f>Лист1!C119+Лист3!C96+Лист4!C100+Лист5!C102+Лист7!C134+Лист8!C94+Лист9!C104+Лист10!C91+Лист6!C99+Лист2!C106</f>
        <v>0</v>
      </c>
      <c r="D161" s="40" t="str">
        <f aca="true" t="shared" si="13" ref="D161:D170">IF(B161=0,"   ",C161/B161*100)</f>
        <v>   </v>
      </c>
      <c r="E161" s="41">
        <f t="shared" si="11"/>
        <v>0</v>
      </c>
    </row>
    <row r="162" spans="1:5" ht="13.5">
      <c r="A162" s="17" t="s">
        <v>325</v>
      </c>
      <c r="B162" s="42">
        <f>SUM(B163:B165)</f>
        <v>1842618.8</v>
      </c>
      <c r="C162" s="42">
        <f>SUM(C163:C165)</f>
        <v>1108947.4</v>
      </c>
      <c r="D162" s="40">
        <f t="shared" si="13"/>
        <v>60.1832240070491</v>
      </c>
      <c r="E162" s="41">
        <f>C162-B162</f>
        <v>-733671.4000000001</v>
      </c>
    </row>
    <row r="163" spans="1:5" ht="27">
      <c r="A163" s="17" t="s">
        <v>328</v>
      </c>
      <c r="B163" s="42">
        <f>Лист8!B97+Лист10!B95+Лист1!B121+Лист3!B93+Лист4!B97+Лист5!B99</f>
        <v>1105567.44</v>
      </c>
      <c r="C163" s="42">
        <f>Лист8!C97+Лист10!C95+Лист1!C121+Лист3!C93+Лист4!C97+Лист5!C99</f>
        <v>665364.6</v>
      </c>
      <c r="D163" s="40">
        <f t="shared" si="13"/>
        <v>60.18308571026658</v>
      </c>
      <c r="E163" s="41">
        <f>C163-B163</f>
        <v>-440202.83999999997</v>
      </c>
    </row>
    <row r="164" spans="1:5" ht="27">
      <c r="A164" s="17" t="s">
        <v>329</v>
      </c>
      <c r="B164" s="42">
        <f>Лист8!B98+Лист10!B96+Лист1!B122+Лист3!B94+Лист4!B98+Лист5!B100</f>
        <v>448969.1</v>
      </c>
      <c r="C164" s="42">
        <f>Лист8!C98+Лист10!C96+Лист1!C122+Лист3!C94+Лист4!C98+Лист5!C100</f>
        <v>228868.1</v>
      </c>
      <c r="D164" s="40">
        <f t="shared" si="13"/>
        <v>50.97635895209716</v>
      </c>
      <c r="E164" s="41">
        <f>C164-B164</f>
        <v>-220100.99999999997</v>
      </c>
    </row>
    <row r="165" spans="1:5" ht="24.75" customHeight="1">
      <c r="A165" s="17" t="s">
        <v>330</v>
      </c>
      <c r="B165" s="42">
        <f>Лист8!B99+Лист10!B97+Лист1!B123+Лист3!B95+Лист4!B99+Лист5!B101</f>
        <v>288082.26</v>
      </c>
      <c r="C165" s="42">
        <f>Лист8!C99+Лист10!C97+Лист1!C123+Лист3!C95+Лист4!C99+Лист5!C101</f>
        <v>214714.69999999998</v>
      </c>
      <c r="D165" s="40">
        <f t="shared" si="13"/>
        <v>74.53242695332922</v>
      </c>
      <c r="E165" s="41">
        <f>C165-B165</f>
        <v>-73367.56000000003</v>
      </c>
    </row>
    <row r="166" spans="1:5" ht="27">
      <c r="A166" s="17" t="s">
        <v>274</v>
      </c>
      <c r="B166" s="39">
        <f>Лист7!B146</f>
        <v>0</v>
      </c>
      <c r="C166" s="39">
        <f>Лист7!C146</f>
        <v>0</v>
      </c>
      <c r="D166" s="40" t="str">
        <f t="shared" si="13"/>
        <v>   </v>
      </c>
      <c r="E166" s="41">
        <f>C166-B166</f>
        <v>0</v>
      </c>
    </row>
    <row r="167" spans="1:5" ht="27">
      <c r="A167" s="17" t="s">
        <v>248</v>
      </c>
      <c r="B167" s="39">
        <f>B168+B170+B169</f>
        <v>16925945.84</v>
      </c>
      <c r="C167" s="39">
        <f>C168+C170+C169</f>
        <v>16776433.28</v>
      </c>
      <c r="D167" s="40">
        <f t="shared" si="13"/>
        <v>99.11666643971726</v>
      </c>
      <c r="E167" s="41">
        <f aca="true" t="shared" si="14" ref="E167:E189">C167-B167</f>
        <v>-149512.56000000052</v>
      </c>
    </row>
    <row r="168" spans="1:5" ht="27">
      <c r="A168" s="17" t="s">
        <v>238</v>
      </c>
      <c r="B168" s="39">
        <f>Лист7!B148</f>
        <v>15891835.52</v>
      </c>
      <c r="C168" s="39">
        <f>Лист7!C148</f>
        <v>15769847.28</v>
      </c>
      <c r="D168" s="40">
        <f t="shared" si="13"/>
        <v>99.23238420227496</v>
      </c>
      <c r="E168" s="41">
        <f t="shared" si="14"/>
        <v>-121988.24000000022</v>
      </c>
    </row>
    <row r="169" spans="1:5" ht="27">
      <c r="A169" s="17" t="s">
        <v>249</v>
      </c>
      <c r="B169" s="39">
        <f>Лист7!B149</f>
        <v>1034110.32</v>
      </c>
      <c r="C169" s="39">
        <f>Лист7!C149</f>
        <v>1006586</v>
      </c>
      <c r="D169" s="40">
        <f t="shared" si="13"/>
        <v>97.33835747814605</v>
      </c>
      <c r="E169" s="41">
        <f t="shared" si="14"/>
        <v>-27524.31999999995</v>
      </c>
    </row>
    <row r="170" spans="1:5" ht="27">
      <c r="A170" s="17" t="s">
        <v>250</v>
      </c>
      <c r="B170" s="39">
        <f>Лист7!B150</f>
        <v>0</v>
      </c>
      <c r="C170" s="39">
        <f>Лист7!C150</f>
        <v>0</v>
      </c>
      <c r="D170" s="40" t="str">
        <f t="shared" si="13"/>
        <v>   </v>
      </c>
      <c r="E170" s="41">
        <f t="shared" si="14"/>
        <v>0</v>
      </c>
    </row>
    <row r="171" spans="1:5" ht="33.75" customHeight="1">
      <c r="A171" s="17" t="s">
        <v>171</v>
      </c>
      <c r="B171" s="39">
        <f>B172+B174+B173</f>
        <v>5739532.75</v>
      </c>
      <c r="C171" s="39">
        <f>C172+C174+C173</f>
        <v>5739532.75</v>
      </c>
      <c r="D171" s="50">
        <f>IF(B171=0,"   ",C171/B171)</f>
        <v>1</v>
      </c>
      <c r="E171" s="51">
        <f t="shared" si="14"/>
        <v>0</v>
      </c>
    </row>
    <row r="172" spans="1:5" ht="13.5">
      <c r="A172" s="17" t="s">
        <v>169</v>
      </c>
      <c r="B172" s="39">
        <f>Лист7!B137</f>
        <v>5682137.42</v>
      </c>
      <c r="C172" s="39">
        <f>Лист7!C137</f>
        <v>5682137.42</v>
      </c>
      <c r="D172" s="50">
        <f>IF(B172=0,"   ",C172/B172)</f>
        <v>1</v>
      </c>
      <c r="E172" s="51">
        <f t="shared" si="14"/>
        <v>0</v>
      </c>
    </row>
    <row r="173" spans="1:5" ht="13.5">
      <c r="A173" s="17" t="s">
        <v>170</v>
      </c>
      <c r="B173" s="39">
        <f>Лист7!B138</f>
        <v>40176.73</v>
      </c>
      <c r="C173" s="39">
        <f>Лист7!C138</f>
        <v>40176.73</v>
      </c>
      <c r="D173" s="50">
        <f>IF(B173=0,"   ",C173/B173)</f>
        <v>1</v>
      </c>
      <c r="E173" s="51">
        <f t="shared" si="14"/>
        <v>0</v>
      </c>
    </row>
    <row r="174" spans="1:5" ht="13.5">
      <c r="A174" s="17" t="s">
        <v>180</v>
      </c>
      <c r="B174" s="39">
        <f>Лист7!B139</f>
        <v>17218.6</v>
      </c>
      <c r="C174" s="39">
        <f>Лист7!C139</f>
        <v>17218.6</v>
      </c>
      <c r="D174" s="50">
        <f>IF(B174=0,"   ",C174/B174)</f>
        <v>1</v>
      </c>
      <c r="E174" s="51">
        <f t="shared" si="14"/>
        <v>0</v>
      </c>
    </row>
    <row r="175" spans="1:5" ht="27">
      <c r="A175" s="62" t="s">
        <v>290</v>
      </c>
      <c r="B175" s="164">
        <f>SUM(B176:B179,)</f>
        <v>65280140</v>
      </c>
      <c r="C175" s="164">
        <f>SUM(C176:C179,)</f>
        <v>38155222.4</v>
      </c>
      <c r="D175" s="40">
        <f>IF(B175=0,"   ",C175/B175*100)</f>
        <v>58.448438376510836</v>
      </c>
      <c r="E175" s="41">
        <f>C175-B175</f>
        <v>-27124917.6</v>
      </c>
    </row>
    <row r="176" spans="1:5" ht="54.75">
      <c r="A176" s="62" t="s">
        <v>335</v>
      </c>
      <c r="B176" s="42">
        <f>Лист7!B152</f>
        <v>55120000</v>
      </c>
      <c r="C176" s="42">
        <f>Лист7!C152</f>
        <v>38154422.4</v>
      </c>
      <c r="D176" s="40">
        <f>IF(B176=0,"   ",C176/B176*100)</f>
        <v>69.22065021770682</v>
      </c>
      <c r="E176" s="41">
        <f>C176-B176</f>
        <v>-16965577.6</v>
      </c>
    </row>
    <row r="177" spans="1:5" ht="54.75">
      <c r="A177" s="62" t="s">
        <v>323</v>
      </c>
      <c r="B177" s="42">
        <f>Лист7!B153</f>
        <v>9548369.6</v>
      </c>
      <c r="C177" s="42">
        <v>0</v>
      </c>
      <c r="D177" s="40">
        <f>IF(B177=0,"   ",C177/B177*100)</f>
        <v>0</v>
      </c>
      <c r="E177" s="41">
        <f>C177-B177</f>
        <v>-9548369.6</v>
      </c>
    </row>
    <row r="178" spans="1:5" ht="54.75">
      <c r="A178" s="62" t="s">
        <v>336</v>
      </c>
      <c r="B178" s="42">
        <f>Лист7!B154</f>
        <v>609470.4</v>
      </c>
      <c r="C178" s="42">
        <v>0</v>
      </c>
      <c r="D178" s="40">
        <f>IF(B178=0,"   ",C178/B178*100)</f>
        <v>0</v>
      </c>
      <c r="E178" s="41">
        <f>C178-B178</f>
        <v>-609470.4</v>
      </c>
    </row>
    <row r="179" spans="1:5" ht="13.5">
      <c r="A179" s="62" t="s">
        <v>247</v>
      </c>
      <c r="B179" s="42">
        <f>Лист1!B125+Лист2!B108+Лист3!B98+Лист4!B102+Лист5!B104+Лист6!B101+Лист8!B101+Лист9!B110+Лист7!B155+Лист10!B99</f>
        <v>2300</v>
      </c>
      <c r="C179" s="42">
        <f>Лист1!C125+Лист2!C108+Лист3!C98+Лист4!C102+Лист5!C104+Лист6!C101+Лист8!C101+Лист9!C110+Лист7!C155+Лист10!C99</f>
        <v>800</v>
      </c>
      <c r="D179" s="40">
        <f>IF(B179=0,"   ",C179/B179*100)</f>
        <v>34.78260869565217</v>
      </c>
      <c r="E179" s="41">
        <f>C179-B179</f>
        <v>-1500</v>
      </c>
    </row>
    <row r="180" spans="1:5" ht="13.5">
      <c r="A180" s="21" t="s">
        <v>17</v>
      </c>
      <c r="B180" s="42">
        <f>Лист1!B126+Лист2!B109+Лист3!B99+Лист4!B103+Лист5!B105+Лист6!B102+Лист8!B102+Лист9!B111+Лист7!B156+Лист10!B100</f>
        <v>40000</v>
      </c>
      <c r="C180" s="42">
        <f>Лист1!C126+Лист2!C109+Лист3!C99+Лист4!C103+Лист5!C105+Лист6!C102+Лист8!C102+Лист9!C111+Лист7!C156+Лист10!C100</f>
        <v>8000</v>
      </c>
      <c r="D180" s="40">
        <f aca="true" t="shared" si="15" ref="D180:D189">IF(B180=0,"   ",C180/B180*100)</f>
        <v>20</v>
      </c>
      <c r="E180" s="41">
        <f t="shared" si="14"/>
        <v>-32000</v>
      </c>
    </row>
    <row r="181" spans="1:5" ht="27">
      <c r="A181" s="21" t="s">
        <v>41</v>
      </c>
      <c r="B181" s="39">
        <f>SUM(B182,)</f>
        <v>22588597.38</v>
      </c>
      <c r="C181" s="39">
        <f>C182</f>
        <v>16157932.6</v>
      </c>
      <c r="D181" s="40">
        <f t="shared" si="15"/>
        <v>71.53136747793944</v>
      </c>
      <c r="E181" s="41">
        <f t="shared" si="14"/>
        <v>-6430664.779999999</v>
      </c>
    </row>
    <row r="182" spans="1:5" ht="13.5">
      <c r="A182" s="21" t="s">
        <v>42</v>
      </c>
      <c r="B182" s="42">
        <f>Лист1!B128+Лист2!B111+Лист3!B101+Лист4!B105+Лист5!B107+Лист6!B104+Лист7!B158+Лист8!B104+Лист9!B113+Лист10!B102</f>
        <v>22588597.38</v>
      </c>
      <c r="C182" s="42">
        <f>Лист1!C128+Лист2!C111+Лист3!C101+Лист4!C105+Лист5!C107+Лист6!C104+Лист7!C158+Лист8!C104+Лист9!C113+Лист10!C102</f>
        <v>16157932.6</v>
      </c>
      <c r="D182" s="40">
        <f t="shared" si="15"/>
        <v>71.53136747793944</v>
      </c>
      <c r="E182" s="41">
        <f t="shared" si="14"/>
        <v>-6430664.779999999</v>
      </c>
    </row>
    <row r="183" spans="1:5" ht="32.25" customHeight="1">
      <c r="A183" s="21" t="s">
        <v>133</v>
      </c>
      <c r="B183" s="42">
        <f>Лист1!B129+Лист2!B112+Лист3!B102+Лист4!B106+Лист5!B107+Лист6!B105+Лист7!B159+Лист8!B105+Лист9!B113+Лист10!B102</f>
        <v>16038500</v>
      </c>
      <c r="C183" s="42">
        <f>Лист1!C129+Лист2!C112+Лист3!C102+Лист4!C106+Лист5!C107+Лист6!C105+Лист7!C159+Лист8!C105+Лист9!C113+Лист10!C102</f>
        <v>10966251.44</v>
      </c>
      <c r="D183" s="40">
        <f t="shared" si="15"/>
        <v>68.374545250491</v>
      </c>
      <c r="E183" s="41">
        <f t="shared" si="14"/>
        <v>-5072248.5600000005</v>
      </c>
    </row>
    <row r="184" spans="1:5" ht="16.5" customHeight="1">
      <c r="A184" s="21" t="s">
        <v>231</v>
      </c>
      <c r="B184" s="42">
        <f>Лист1!B130+Лист4!B107</f>
        <v>1589285.72</v>
      </c>
      <c r="C184" s="42">
        <f>Лист1!C130+Лист4!C107</f>
        <v>315438</v>
      </c>
      <c r="D184" s="40">
        <f t="shared" si="15"/>
        <v>19.847784198300104</v>
      </c>
      <c r="E184" s="41">
        <f t="shared" si="14"/>
        <v>-1273847.72</v>
      </c>
    </row>
    <row r="185" spans="1:5" ht="24.75" customHeight="1">
      <c r="A185" s="68" t="s">
        <v>271</v>
      </c>
      <c r="B185" s="42">
        <f>Лист6!B106</f>
        <v>0</v>
      </c>
      <c r="C185" s="42">
        <f>Лист6!C106</f>
        <v>0</v>
      </c>
      <c r="D185" s="40" t="str">
        <f>IF(B185=0,"   ",C185/B185*100)</f>
        <v>   </v>
      </c>
      <c r="E185" s="41">
        <f t="shared" si="14"/>
        <v>0</v>
      </c>
    </row>
    <row r="186" spans="1:5" ht="26.25" customHeight="1">
      <c r="A186" s="68" t="s">
        <v>272</v>
      </c>
      <c r="B186" s="42">
        <f>Лист6!B107</f>
        <v>0</v>
      </c>
      <c r="C186" s="42">
        <f>Лист6!C107</f>
        <v>0</v>
      </c>
      <c r="D186" s="40" t="str">
        <f>IF(B186=0,"   ",C186/B186*100)</f>
        <v>   </v>
      </c>
      <c r="E186" s="41">
        <f t="shared" si="14"/>
        <v>0</v>
      </c>
    </row>
    <row r="187" spans="1:5" ht="25.5" customHeight="1">
      <c r="A187" s="21" t="s">
        <v>188</v>
      </c>
      <c r="B187" s="42">
        <f>Лист8!B106+Лист6!B108+Лист2!B113+Лист4!B108</f>
        <v>34268.5</v>
      </c>
      <c r="C187" s="42">
        <f>Лист8!C106+Лист6!C108+Лист2!C113+Лист4!C108</f>
        <v>30000</v>
      </c>
      <c r="D187" s="40">
        <f t="shared" si="15"/>
        <v>87.54395436041847</v>
      </c>
      <c r="E187" s="41">
        <f t="shared" si="14"/>
        <v>-4268.5</v>
      </c>
    </row>
    <row r="188" spans="1:5" ht="21.75" customHeight="1">
      <c r="A188" s="21" t="s">
        <v>179</v>
      </c>
      <c r="B188" s="42">
        <f>Лист7!B160</f>
        <v>2903500</v>
      </c>
      <c r="C188" s="42">
        <f>Лист7!C160</f>
        <v>2903500</v>
      </c>
      <c r="D188" s="40">
        <f t="shared" si="15"/>
        <v>100</v>
      </c>
      <c r="E188" s="41">
        <f t="shared" si="14"/>
        <v>0</v>
      </c>
    </row>
    <row r="189" spans="1:5" ht="25.5" customHeight="1">
      <c r="A189" s="21" t="s">
        <v>134</v>
      </c>
      <c r="B189" s="42">
        <f>Лист7!B161</f>
        <v>1409400</v>
      </c>
      <c r="C189" s="42">
        <f>Лист7!C161</f>
        <v>1329100</v>
      </c>
      <c r="D189" s="40">
        <f t="shared" si="15"/>
        <v>94.3025400879807</v>
      </c>
      <c r="E189" s="41">
        <f t="shared" si="14"/>
        <v>-80300</v>
      </c>
    </row>
    <row r="190" spans="1:5" ht="30.75" customHeight="1">
      <c r="A190" s="21" t="s">
        <v>285</v>
      </c>
      <c r="B190" s="42">
        <f>Лист7!B163</f>
        <v>613643.1599999999</v>
      </c>
      <c r="C190" s="42">
        <f>Лист7!C163</f>
        <v>613643.1599999999</v>
      </c>
      <c r="D190" s="40">
        <f aca="true" t="shared" si="16" ref="D190:D197">IF(B190=0,"   ",C190/B190*100)</f>
        <v>100</v>
      </c>
      <c r="E190" s="41">
        <f aca="true" t="shared" si="17" ref="E190:E197">C190-B190</f>
        <v>0</v>
      </c>
    </row>
    <row r="191" spans="1:5" ht="21" customHeight="1">
      <c r="A191" s="17" t="s">
        <v>286</v>
      </c>
      <c r="B191" s="42">
        <f>Лист7!B164</f>
        <v>576824.57</v>
      </c>
      <c r="C191" s="42">
        <f>Лист7!C164</f>
        <v>576824.57</v>
      </c>
      <c r="D191" s="40">
        <f t="shared" si="16"/>
        <v>100</v>
      </c>
      <c r="E191" s="41">
        <f t="shared" si="17"/>
        <v>0</v>
      </c>
    </row>
    <row r="192" spans="1:5" ht="18.75" customHeight="1">
      <c r="A192" s="17" t="s">
        <v>287</v>
      </c>
      <c r="B192" s="42">
        <f>Лист7!B165</f>
        <v>36818.59</v>
      </c>
      <c r="C192" s="42">
        <f>Лист7!C165</f>
        <v>36818.59</v>
      </c>
      <c r="D192" s="40">
        <f t="shared" si="16"/>
        <v>100</v>
      </c>
      <c r="E192" s="41">
        <f t="shared" si="17"/>
        <v>0</v>
      </c>
    </row>
    <row r="193" spans="1:5" ht="21.75" customHeight="1">
      <c r="A193" s="21" t="s">
        <v>210</v>
      </c>
      <c r="B193" s="42">
        <f>SUM(B194,)</f>
        <v>6000</v>
      </c>
      <c r="C193" s="42">
        <f>SUM(C194,)</f>
        <v>0</v>
      </c>
      <c r="D193" s="40">
        <f t="shared" si="16"/>
        <v>0</v>
      </c>
      <c r="E193" s="41">
        <f t="shared" si="17"/>
        <v>-6000</v>
      </c>
    </row>
    <row r="194" spans="1:5" ht="19.5" customHeight="1">
      <c r="A194" s="21" t="s">
        <v>211</v>
      </c>
      <c r="B194" s="42">
        <f>Лист10!B104</f>
        <v>6000</v>
      </c>
      <c r="C194" s="42">
        <f>Лист10!C104</f>
        <v>0</v>
      </c>
      <c r="D194" s="40">
        <f t="shared" si="16"/>
        <v>0</v>
      </c>
      <c r="E194" s="41">
        <f t="shared" si="17"/>
        <v>-6000</v>
      </c>
    </row>
    <row r="195" spans="1:5" ht="20.25" customHeight="1">
      <c r="A195" s="21" t="s">
        <v>118</v>
      </c>
      <c r="B195" s="42">
        <f>SUM(B196)</f>
        <v>237000</v>
      </c>
      <c r="C195" s="42">
        <f>SUM(C196)</f>
        <v>108224</v>
      </c>
      <c r="D195" s="40">
        <f t="shared" si="16"/>
        <v>45.664135021097046</v>
      </c>
      <c r="E195" s="41">
        <f t="shared" si="17"/>
        <v>-128776</v>
      </c>
    </row>
    <row r="196" spans="1:5" ht="19.5" customHeight="1">
      <c r="A196" s="21" t="s">
        <v>254</v>
      </c>
      <c r="B196" s="42">
        <f>Лист1!B132+Лист2!B116+Лист3!B106+Лист4!B110+Лист5!B109+Лист6!B110+Лист7!B167+Лист8!B108+Лист9!B115+Лист10!B106</f>
        <v>237000</v>
      </c>
      <c r="C196" s="42">
        <f>Лист1!C132+Лист2!C116+Лист3!C106+Лист4!C110+Лист5!C109+Лист6!C110+Лист7!C167+Лист8!C108+Лист9!C115+Лист10!C106</f>
        <v>108224</v>
      </c>
      <c r="D196" s="40">
        <f t="shared" si="16"/>
        <v>45.664135021097046</v>
      </c>
      <c r="E196" s="41">
        <f t="shared" si="17"/>
        <v>-128776</v>
      </c>
    </row>
    <row r="197" spans="1:6" ht="25.5" customHeight="1">
      <c r="A197" s="44" t="s">
        <v>15</v>
      </c>
      <c r="B197" s="45">
        <f>B79+B91+B93+B99+B128+B180+B181+B193+B195</f>
        <v>211479200.43</v>
      </c>
      <c r="C197" s="45">
        <f>C79+C91+C93+C99+C128+C180+C181+C193+C195</f>
        <v>157296194.94</v>
      </c>
      <c r="D197" s="46">
        <f t="shared" si="16"/>
        <v>74.37903804259243</v>
      </c>
      <c r="E197" s="47">
        <f t="shared" si="17"/>
        <v>-54183005.49000001</v>
      </c>
      <c r="F197" s="16"/>
    </row>
    <row r="198" spans="1:5" s="13" customFormat="1" ht="23.25" customHeight="1">
      <c r="A198" s="64" t="s">
        <v>243</v>
      </c>
      <c r="B198" s="65">
        <f>(B76-B197)</f>
        <v>-5272823.189999998</v>
      </c>
      <c r="C198" s="65">
        <f>(C76-C197)</f>
        <v>11220880.76999998</v>
      </c>
      <c r="D198" s="36"/>
      <c r="E198" s="36"/>
    </row>
    <row r="199" spans="1:5" s="13" customFormat="1" ht="21" customHeight="1">
      <c r="A199" s="64" t="s">
        <v>244</v>
      </c>
      <c r="B199" s="64"/>
      <c r="C199" s="66"/>
      <c r="D199" s="66"/>
      <c r="E199" s="66"/>
    </row>
    <row r="200" spans="1:5" ht="13.5">
      <c r="A200" s="64" t="s">
        <v>245</v>
      </c>
      <c r="B200" s="65">
        <f>SUM(B8+B44+B45+B51+B59)</f>
        <v>43701835.18</v>
      </c>
      <c r="C200" s="65">
        <f>SUM(C8+C44+C45+C51+C59)</f>
        <v>41971381.14</v>
      </c>
      <c r="D200" s="46">
        <f>IF(B200=0,"   ",C200/B200*100)</f>
        <v>96.04031722495733</v>
      </c>
      <c r="E200" s="47">
        <f>C200-B200</f>
        <v>-1730454.039999999</v>
      </c>
    </row>
    <row r="201" spans="1:5" ht="13.5">
      <c r="A201" s="64" t="s">
        <v>246</v>
      </c>
      <c r="B201" s="65">
        <f>SUM(B110)</f>
        <v>47774619.86000001</v>
      </c>
      <c r="C201" s="65">
        <f>SUM(C110)</f>
        <v>42023473.51</v>
      </c>
      <c r="D201" s="46">
        <f>IF(B201=0,"   ",C201/B201*100)</f>
        <v>87.96192127356886</v>
      </c>
      <c r="E201" s="47">
        <f>C201-B201</f>
        <v>-5751146.350000009</v>
      </c>
    </row>
    <row r="202" spans="1:5" ht="13.5">
      <c r="A202" s="64" t="s">
        <v>243</v>
      </c>
      <c r="B202" s="65">
        <f>(B200-B201)</f>
        <v>-4072784.680000007</v>
      </c>
      <c r="C202" s="65">
        <f>(C200-C201)</f>
        <v>-52092.36999999732</v>
      </c>
      <c r="D202" s="64"/>
      <c r="E202" s="67"/>
    </row>
    <row r="203" spans="1:5" ht="13.5">
      <c r="A203" s="62" t="s">
        <v>313</v>
      </c>
      <c r="B203" s="36">
        <v>992769</v>
      </c>
      <c r="C203" s="35"/>
      <c r="D203" s="62"/>
      <c r="E203" s="69"/>
    </row>
    <row r="204" spans="1:5" ht="13.5">
      <c r="A204" s="62" t="s">
        <v>314</v>
      </c>
      <c r="B204" s="167"/>
      <c r="C204" s="162"/>
      <c r="D204" s="162"/>
      <c r="E204" s="162"/>
    </row>
    <row r="205" spans="1:5" ht="13.5">
      <c r="A205" s="77"/>
      <c r="B205" s="77"/>
      <c r="C205" s="77"/>
      <c r="D205" s="77"/>
      <c r="E205" s="77"/>
    </row>
    <row r="206" spans="1:5" ht="13.5">
      <c r="A206" s="77"/>
      <c r="B206" s="77"/>
      <c r="C206" s="77"/>
      <c r="D206" s="77"/>
      <c r="E206" s="77"/>
    </row>
    <row r="207" spans="1:5" ht="13.5">
      <c r="A207" s="77"/>
      <c r="B207" s="77"/>
      <c r="C207" s="77"/>
      <c r="D207" s="77"/>
      <c r="E207" s="77"/>
    </row>
    <row r="208" spans="1:5" ht="13.5">
      <c r="A208" s="77"/>
      <c r="B208" s="77"/>
      <c r="C208" s="77"/>
      <c r="D208" s="77"/>
      <c r="E208" s="77"/>
    </row>
    <row r="209" spans="1:5" ht="13.5">
      <c r="A209" s="77"/>
      <c r="B209" s="77"/>
      <c r="C209" s="77"/>
      <c r="D209" s="77"/>
      <c r="E209" s="77"/>
    </row>
    <row r="210" spans="1:5" ht="13.5">
      <c r="A210" s="77"/>
      <c r="B210" s="77"/>
      <c r="C210" s="77"/>
      <c r="D210" s="77"/>
      <c r="E210" s="77"/>
    </row>
    <row r="211" spans="1:5" ht="13.5">
      <c r="A211" s="77"/>
      <c r="B211" s="77"/>
      <c r="C211" s="77"/>
      <c r="D211" s="77"/>
      <c r="E211" s="77"/>
    </row>
    <row r="212" spans="1:5" ht="13.5">
      <c r="A212" s="77"/>
      <c r="B212" s="77"/>
      <c r="C212" s="77"/>
      <c r="D212" s="77"/>
      <c r="E212" s="77"/>
    </row>
    <row r="213" spans="1:5" ht="15">
      <c r="A213" s="76"/>
      <c r="B213" s="76"/>
      <c r="C213" s="76"/>
      <c r="D213" s="76"/>
      <c r="E213" s="76"/>
    </row>
    <row r="214" spans="1:5" ht="15">
      <c r="A214" s="76"/>
      <c r="B214" s="76"/>
      <c r="C214" s="76"/>
      <c r="D214" s="76"/>
      <c r="E214" s="76"/>
    </row>
    <row r="215" spans="1:5" ht="15">
      <c r="A215" s="76"/>
      <c r="B215" s="76"/>
      <c r="C215" s="76"/>
      <c r="D215" s="76"/>
      <c r="E215" s="76"/>
    </row>
    <row r="216" spans="1:5" ht="15">
      <c r="A216" s="76"/>
      <c r="B216" s="76"/>
      <c r="C216" s="76"/>
      <c r="D216" s="76"/>
      <c r="E216" s="76"/>
    </row>
    <row r="217" spans="1:5" ht="15">
      <c r="A217" s="76"/>
      <c r="B217" s="76"/>
      <c r="C217" s="76"/>
      <c r="D217" s="76"/>
      <c r="E217" s="76"/>
    </row>
    <row r="218" spans="1:5" ht="15">
      <c r="A218" s="76"/>
      <c r="B218" s="76"/>
      <c r="C218" s="76"/>
      <c r="D218" s="76"/>
      <c r="E218" s="76"/>
    </row>
    <row r="219" spans="1:5" ht="15">
      <c r="A219" s="76"/>
      <c r="B219" s="76"/>
      <c r="C219" s="76"/>
      <c r="D219" s="76"/>
      <c r="E219" s="76"/>
    </row>
    <row r="220" spans="1:5" ht="15">
      <c r="A220" s="76"/>
      <c r="B220" s="76"/>
      <c r="C220" s="76"/>
      <c r="D220" s="76"/>
      <c r="E220" s="76"/>
    </row>
    <row r="221" spans="1:5" ht="15">
      <c r="A221" s="76"/>
      <c r="B221" s="76"/>
      <c r="C221" s="76"/>
      <c r="D221" s="76"/>
      <c r="E221" s="76"/>
    </row>
    <row r="222" spans="1:5" ht="15">
      <c r="A222" s="76"/>
      <c r="B222" s="76"/>
      <c r="C222" s="76"/>
      <c r="D222" s="76"/>
      <c r="E222" s="76"/>
    </row>
    <row r="223" spans="1:5" ht="15">
      <c r="A223" s="76"/>
      <c r="B223" s="76"/>
      <c r="C223" s="76"/>
      <c r="D223" s="76"/>
      <c r="E223" s="76"/>
    </row>
    <row r="224" spans="1:5" ht="15">
      <c r="A224" s="76"/>
      <c r="B224" s="76"/>
      <c r="C224" s="76"/>
      <c r="D224" s="76"/>
      <c r="E224" s="76"/>
    </row>
    <row r="225" spans="1:5" ht="15">
      <c r="A225" s="76"/>
      <c r="B225" s="76"/>
      <c r="C225" s="76"/>
      <c r="D225" s="76"/>
      <c r="E225" s="76"/>
    </row>
    <row r="226" spans="1:5" ht="15">
      <c r="A226" s="76"/>
      <c r="B226" s="76"/>
      <c r="C226" s="76"/>
      <c r="D226" s="76"/>
      <c r="E226" s="76"/>
    </row>
    <row r="227" spans="1:5" ht="15">
      <c r="A227" s="76"/>
      <c r="B227" s="76"/>
      <c r="C227" s="76"/>
      <c r="D227" s="76"/>
      <c r="E227" s="76"/>
    </row>
    <row r="228" spans="1:5" ht="15">
      <c r="A228" s="76"/>
      <c r="B228" s="76"/>
      <c r="C228" s="76"/>
      <c r="D228" s="76"/>
      <c r="E228" s="76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zoomScalePageLayoutView="0" workbookViewId="0" topLeftCell="A4">
      <selection activeCell="F42" sqref="F42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3.5">
      <c r="A1" s="169" t="s">
        <v>360</v>
      </c>
      <c r="B1" s="169"/>
      <c r="C1" s="169"/>
      <c r="D1" s="169"/>
      <c r="E1" s="169"/>
    </row>
    <row r="2" spans="1:5" ht="14.25" thickBot="1">
      <c r="A2" s="22"/>
      <c r="B2" s="22"/>
      <c r="C2" s="23"/>
      <c r="D2" s="22"/>
      <c r="E2" s="22" t="s">
        <v>0</v>
      </c>
    </row>
    <row r="3" spans="1:5" ht="60.75" customHeight="1">
      <c r="A3" s="24" t="s">
        <v>1</v>
      </c>
      <c r="B3" s="25" t="s">
        <v>319</v>
      </c>
      <c r="C3" s="26" t="s">
        <v>359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.75" customHeight="1">
      <c r="A6" s="38" t="s">
        <v>45</v>
      </c>
      <c r="B6" s="79">
        <f>SUM(B7)</f>
        <v>24300</v>
      </c>
      <c r="C6" s="79">
        <f>SUM(C7)</f>
        <v>21123.02</v>
      </c>
      <c r="D6" s="40">
        <f aca="true" t="shared" si="0" ref="D6:D116">IF(B6=0,"   ",C6/B6*100)</f>
        <v>86.92600823045268</v>
      </c>
      <c r="E6" s="41">
        <f aca="true" t="shared" si="1" ref="E6:E116">C6-B6</f>
        <v>-3176.9799999999996</v>
      </c>
    </row>
    <row r="7" spans="1:5" ht="16.5" customHeight="1">
      <c r="A7" s="21" t="s">
        <v>44</v>
      </c>
      <c r="B7" s="80">
        <v>24300</v>
      </c>
      <c r="C7" s="81">
        <v>21123.02</v>
      </c>
      <c r="D7" s="40">
        <f t="shared" si="0"/>
        <v>86.92600823045268</v>
      </c>
      <c r="E7" s="41">
        <f t="shared" si="1"/>
        <v>-3176.9799999999996</v>
      </c>
    </row>
    <row r="8" spans="1:5" ht="12.75" customHeight="1">
      <c r="A8" s="38" t="s">
        <v>128</v>
      </c>
      <c r="B8" s="79">
        <f>SUM(B9)</f>
        <v>778000</v>
      </c>
      <c r="C8" s="79">
        <f>SUM(C9)</f>
        <v>768263.2</v>
      </c>
      <c r="D8" s="40">
        <f t="shared" si="0"/>
        <v>98.74848329048844</v>
      </c>
      <c r="E8" s="41">
        <f t="shared" si="1"/>
        <v>-9736.800000000047</v>
      </c>
    </row>
    <row r="9" spans="1:5" ht="18.75" customHeight="1">
      <c r="A9" s="21" t="s">
        <v>129</v>
      </c>
      <c r="B9" s="80">
        <v>778000</v>
      </c>
      <c r="C9" s="81">
        <v>768263.2</v>
      </c>
      <c r="D9" s="40">
        <f t="shared" si="0"/>
        <v>98.74848329048844</v>
      </c>
      <c r="E9" s="41">
        <f t="shared" si="1"/>
        <v>-9736.800000000047</v>
      </c>
    </row>
    <row r="10" spans="1:5" ht="16.5" customHeight="1">
      <c r="A10" s="21" t="s">
        <v>7</v>
      </c>
      <c r="B10" s="80">
        <f>SUM(B11:B11)</f>
        <v>38600</v>
      </c>
      <c r="C10" s="80">
        <f>SUM(C11:C11)</f>
        <v>50259.82</v>
      </c>
      <c r="D10" s="40">
        <f t="shared" si="0"/>
        <v>130.20678756476684</v>
      </c>
      <c r="E10" s="41">
        <f t="shared" si="1"/>
        <v>11659.82</v>
      </c>
    </row>
    <row r="11" spans="1:5" ht="14.25" customHeight="1">
      <c r="A11" s="21" t="s">
        <v>26</v>
      </c>
      <c r="B11" s="80">
        <v>38600</v>
      </c>
      <c r="C11" s="81">
        <v>50259.82</v>
      </c>
      <c r="D11" s="40">
        <f t="shared" si="0"/>
        <v>130.20678756476684</v>
      </c>
      <c r="E11" s="41">
        <f t="shared" si="1"/>
        <v>11659.82</v>
      </c>
    </row>
    <row r="12" spans="1:5" ht="14.25" customHeight="1">
      <c r="A12" s="21" t="s">
        <v>9</v>
      </c>
      <c r="B12" s="80">
        <f>SUM(B13:B14)</f>
        <v>213000</v>
      </c>
      <c r="C12" s="80">
        <f>SUM(C13:C14)</f>
        <v>113766.1</v>
      </c>
      <c r="D12" s="40">
        <f t="shared" si="0"/>
        <v>53.41131455399061</v>
      </c>
      <c r="E12" s="41">
        <f t="shared" si="1"/>
        <v>-99233.9</v>
      </c>
    </row>
    <row r="13" spans="1:5" ht="12.75" customHeight="1">
      <c r="A13" s="21" t="s">
        <v>27</v>
      </c>
      <c r="B13" s="80">
        <v>68000</v>
      </c>
      <c r="C13" s="81">
        <v>33529.44</v>
      </c>
      <c r="D13" s="40">
        <f t="shared" si="0"/>
        <v>49.308</v>
      </c>
      <c r="E13" s="41">
        <f t="shared" si="1"/>
        <v>-34470.56</v>
      </c>
    </row>
    <row r="14" spans="1:5" ht="13.5">
      <c r="A14" s="21" t="s">
        <v>150</v>
      </c>
      <c r="B14" s="80">
        <f>SUM(B15:B16)</f>
        <v>145000</v>
      </c>
      <c r="C14" s="80">
        <f>SUM(C15:C16)</f>
        <v>80236.66</v>
      </c>
      <c r="D14" s="40">
        <f t="shared" si="0"/>
        <v>55.335627586206904</v>
      </c>
      <c r="E14" s="41">
        <f t="shared" si="1"/>
        <v>-64763.34</v>
      </c>
    </row>
    <row r="15" spans="1:5" ht="13.5">
      <c r="A15" s="21" t="s">
        <v>151</v>
      </c>
      <c r="B15" s="80">
        <v>10000</v>
      </c>
      <c r="C15" s="81">
        <v>7703.35</v>
      </c>
      <c r="D15" s="40">
        <f t="shared" si="0"/>
        <v>77.0335</v>
      </c>
      <c r="E15" s="41">
        <f t="shared" si="1"/>
        <v>-2296.6499999999996</v>
      </c>
    </row>
    <row r="16" spans="1:5" ht="13.5">
      <c r="A16" s="21" t="s">
        <v>152</v>
      </c>
      <c r="B16" s="80">
        <v>135000</v>
      </c>
      <c r="C16" s="81">
        <v>72533.31</v>
      </c>
      <c r="D16" s="40">
        <f t="shared" si="0"/>
        <v>53.72837777777778</v>
      </c>
      <c r="E16" s="41">
        <f t="shared" si="1"/>
        <v>-62466.69</v>
      </c>
    </row>
    <row r="17" spans="1:5" ht="13.5">
      <c r="A17" s="21" t="s">
        <v>182</v>
      </c>
      <c r="B17" s="80">
        <v>0</v>
      </c>
      <c r="C17" s="82">
        <v>0</v>
      </c>
      <c r="D17" s="40" t="str">
        <f t="shared" si="0"/>
        <v>   </v>
      </c>
      <c r="E17" s="41">
        <f t="shared" si="1"/>
        <v>0</v>
      </c>
    </row>
    <row r="18" spans="1:5" ht="18" customHeight="1">
      <c r="A18" s="21" t="s">
        <v>84</v>
      </c>
      <c r="B18" s="80">
        <v>0</v>
      </c>
      <c r="C18" s="82">
        <v>0</v>
      </c>
      <c r="D18" s="40" t="str">
        <f t="shared" si="0"/>
        <v>   </v>
      </c>
      <c r="E18" s="41">
        <f t="shared" si="1"/>
        <v>0</v>
      </c>
    </row>
    <row r="19" spans="1:5" ht="16.5" customHeight="1">
      <c r="A19" s="21" t="s">
        <v>78</v>
      </c>
      <c r="B19" s="79">
        <f>B21+B20</f>
        <v>0</v>
      </c>
      <c r="C19" s="79">
        <f>C21+C20</f>
        <v>0</v>
      </c>
      <c r="D19" s="40" t="str">
        <f t="shared" si="0"/>
        <v>   </v>
      </c>
      <c r="E19" s="41">
        <f t="shared" si="1"/>
        <v>0</v>
      </c>
    </row>
    <row r="20" spans="1:5" ht="16.5" customHeight="1">
      <c r="A20" s="21" t="s">
        <v>173</v>
      </c>
      <c r="B20" s="79">
        <v>0</v>
      </c>
      <c r="C20" s="79">
        <v>0</v>
      </c>
      <c r="D20" s="40" t="str">
        <f>IF(B20=0,"   ",C20/B20*100)</f>
        <v>   </v>
      </c>
      <c r="E20" s="41">
        <f>C20-B20</f>
        <v>0</v>
      </c>
    </row>
    <row r="21" spans="1:5" ht="22.5" customHeight="1">
      <c r="A21" s="21" t="s">
        <v>263</v>
      </c>
      <c r="B21" s="80">
        <v>0</v>
      </c>
      <c r="C21" s="82">
        <v>0</v>
      </c>
      <c r="D21" s="40" t="str">
        <f t="shared" si="0"/>
        <v>   </v>
      </c>
      <c r="E21" s="41">
        <f t="shared" si="1"/>
        <v>0</v>
      </c>
    </row>
    <row r="22" spans="1:5" ht="29.25" customHeight="1">
      <c r="A22" s="21" t="s">
        <v>28</v>
      </c>
      <c r="B22" s="36">
        <f>SUM(B23:B25)</f>
        <v>99200</v>
      </c>
      <c r="C22" s="143">
        <f>SUM(C23:C25)</f>
        <v>60380.03</v>
      </c>
      <c r="D22" s="40">
        <f t="shared" si="0"/>
        <v>60.86696572580645</v>
      </c>
      <c r="E22" s="41">
        <f t="shared" si="1"/>
        <v>-38819.97</v>
      </c>
    </row>
    <row r="23" spans="1:5" ht="15.75" customHeight="1">
      <c r="A23" s="21" t="s">
        <v>142</v>
      </c>
      <c r="B23" s="80">
        <v>99200</v>
      </c>
      <c r="C23" s="81">
        <v>60380.03</v>
      </c>
      <c r="D23" s="40">
        <f t="shared" si="0"/>
        <v>60.86696572580645</v>
      </c>
      <c r="E23" s="41">
        <f t="shared" si="1"/>
        <v>-38819.97</v>
      </c>
    </row>
    <row r="24" spans="1:5" ht="15.75" customHeight="1">
      <c r="A24" s="21" t="s">
        <v>237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5.75" customHeight="1">
      <c r="A25" s="21" t="s">
        <v>30</v>
      </c>
      <c r="B25" s="80">
        <v>0</v>
      </c>
      <c r="C25" s="82">
        <v>0</v>
      </c>
      <c r="D25" s="40" t="str">
        <f t="shared" si="0"/>
        <v>   </v>
      </c>
      <c r="E25" s="41">
        <f t="shared" si="1"/>
        <v>0</v>
      </c>
    </row>
    <row r="26" spans="1:5" ht="18" customHeight="1">
      <c r="A26" s="21" t="s">
        <v>163</v>
      </c>
      <c r="B26" s="79">
        <f>SUM(B27)</f>
        <v>0</v>
      </c>
      <c r="C26" s="79">
        <f>SUM(C27)</f>
        <v>0</v>
      </c>
      <c r="D26" s="40" t="str">
        <f t="shared" si="0"/>
        <v>   </v>
      </c>
      <c r="E26" s="41">
        <f t="shared" si="1"/>
        <v>0</v>
      </c>
    </row>
    <row r="27" spans="1:5" ht="16.5" customHeight="1">
      <c r="A27" s="21" t="s">
        <v>164</v>
      </c>
      <c r="B27" s="80">
        <v>0</v>
      </c>
      <c r="C27" s="82">
        <v>0</v>
      </c>
      <c r="D27" s="40" t="str">
        <f t="shared" si="0"/>
        <v>   </v>
      </c>
      <c r="E27" s="41">
        <f t="shared" si="1"/>
        <v>0</v>
      </c>
    </row>
    <row r="28" spans="1:5" ht="17.25" customHeight="1">
      <c r="A28" s="21" t="s">
        <v>31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32</v>
      </c>
      <c r="B29" s="80">
        <f>SUM(B30:B32)</f>
        <v>0</v>
      </c>
      <c r="C29" s="80">
        <f>SUM(C30:C32)</f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99</v>
      </c>
      <c r="B30" s="80">
        <v>0</v>
      </c>
      <c r="C30" s="80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301</v>
      </c>
      <c r="B31" s="80">
        <v>0</v>
      </c>
      <c r="C31" s="80">
        <v>0</v>
      </c>
      <c r="D31" s="40" t="str">
        <f t="shared" si="0"/>
        <v>   </v>
      </c>
      <c r="E31" s="41">
        <f t="shared" si="1"/>
        <v>0</v>
      </c>
    </row>
    <row r="32" spans="1:5" s="8" customFormat="1" ht="15" customHeight="1">
      <c r="A32" s="21" t="s">
        <v>102</v>
      </c>
      <c r="B32" s="80">
        <v>0</v>
      </c>
      <c r="C32" s="79">
        <v>0</v>
      </c>
      <c r="D32" s="40" t="str">
        <f t="shared" si="0"/>
        <v>   </v>
      </c>
      <c r="E32" s="41">
        <f>C32-B32</f>
        <v>0</v>
      </c>
    </row>
    <row r="33" spans="1:5" ht="19.5" customHeight="1">
      <c r="A33" s="44" t="s">
        <v>10</v>
      </c>
      <c r="B33" s="83">
        <f>SUM(B6,B8,B10,B12,B17,B18,B19,B22,B28,B29,B26)</f>
        <v>1153100</v>
      </c>
      <c r="C33" s="83">
        <f>SUM(C6,C8,C10,C12,C17,C18,C19,C22,C28,C29,C26)</f>
        <v>1013792.1699999999</v>
      </c>
      <c r="D33" s="46">
        <f t="shared" si="0"/>
        <v>87.91884225132252</v>
      </c>
      <c r="E33" s="47">
        <f t="shared" si="1"/>
        <v>-139307.83000000007</v>
      </c>
    </row>
    <row r="34" spans="1:5" ht="19.5" customHeight="1">
      <c r="A34" s="62" t="s">
        <v>131</v>
      </c>
      <c r="B34" s="84">
        <f>SUM(B35:B39,B42:B47,B52)</f>
        <v>4216996.75</v>
      </c>
      <c r="C34" s="84">
        <f>SUM(C35:C39,C42:C47,C52)</f>
        <v>3721141.6500000004</v>
      </c>
      <c r="D34" s="46">
        <f t="shared" si="0"/>
        <v>88.24151097579102</v>
      </c>
      <c r="E34" s="47">
        <f t="shared" si="1"/>
        <v>-495855.0999999996</v>
      </c>
    </row>
    <row r="35" spans="1:5" ht="18.75" customHeight="1">
      <c r="A35" s="38" t="s">
        <v>34</v>
      </c>
      <c r="B35" s="79">
        <v>2355100</v>
      </c>
      <c r="C35" s="81">
        <v>1963480</v>
      </c>
      <c r="D35" s="40">
        <f t="shared" si="0"/>
        <v>83.37140673432127</v>
      </c>
      <c r="E35" s="41">
        <f t="shared" si="1"/>
        <v>-391620</v>
      </c>
    </row>
    <row r="36" spans="1:5" ht="18.75" customHeight="1">
      <c r="A36" s="38" t="s">
        <v>207</v>
      </c>
      <c r="B36" s="79">
        <v>0</v>
      </c>
      <c r="C36" s="81">
        <v>0</v>
      </c>
      <c r="D36" s="40" t="str">
        <f>IF(B36=0,"   ",C36/B36*100)</f>
        <v>   </v>
      </c>
      <c r="E36" s="41">
        <f>C36-B36</f>
        <v>0</v>
      </c>
    </row>
    <row r="37" spans="1:5" ht="15.75" customHeight="1">
      <c r="A37" s="21" t="s">
        <v>137</v>
      </c>
      <c r="B37" s="80">
        <v>0</v>
      </c>
      <c r="C37" s="82">
        <v>0</v>
      </c>
      <c r="D37" s="40" t="str">
        <f t="shared" si="0"/>
        <v>   </v>
      </c>
      <c r="E37" s="41">
        <f t="shared" si="1"/>
        <v>0</v>
      </c>
    </row>
    <row r="38" spans="1:5" ht="35.25" customHeight="1">
      <c r="A38" s="52" t="s">
        <v>51</v>
      </c>
      <c r="B38" s="85">
        <v>99900</v>
      </c>
      <c r="C38" s="86">
        <v>96100</v>
      </c>
      <c r="D38" s="54">
        <f t="shared" si="0"/>
        <v>96.1961961961962</v>
      </c>
      <c r="E38" s="55">
        <f t="shared" si="1"/>
        <v>-3800</v>
      </c>
    </row>
    <row r="39" spans="1:5" ht="32.25" customHeight="1">
      <c r="A39" s="52" t="s">
        <v>138</v>
      </c>
      <c r="B39" s="85">
        <f>SUM(B40:B41)</f>
        <v>100</v>
      </c>
      <c r="C39" s="85">
        <f>SUM(C40:C41)</f>
        <v>100</v>
      </c>
      <c r="D39" s="54">
        <f t="shared" si="0"/>
        <v>100</v>
      </c>
      <c r="E39" s="55">
        <f t="shared" si="1"/>
        <v>0</v>
      </c>
    </row>
    <row r="40" spans="1:5" ht="15.75" customHeight="1">
      <c r="A40" s="52" t="s">
        <v>153</v>
      </c>
      <c r="B40" s="85">
        <v>100</v>
      </c>
      <c r="C40" s="85">
        <v>100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154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26.25" customHeight="1">
      <c r="A42" s="21" t="s">
        <v>260</v>
      </c>
      <c r="B42" s="85">
        <v>0</v>
      </c>
      <c r="C42" s="85">
        <v>0</v>
      </c>
      <c r="D42" s="54" t="str">
        <f t="shared" si="0"/>
        <v>   </v>
      </c>
      <c r="E42" s="55">
        <f t="shared" si="1"/>
        <v>0</v>
      </c>
    </row>
    <row r="43" spans="1:5" ht="25.5" customHeight="1">
      <c r="A43" s="21" t="s">
        <v>310</v>
      </c>
      <c r="B43" s="85">
        <v>47300</v>
      </c>
      <c r="C43" s="85">
        <v>47300</v>
      </c>
      <c r="D43" s="54">
        <f t="shared" si="0"/>
        <v>100</v>
      </c>
      <c r="E43" s="55">
        <f t="shared" si="1"/>
        <v>0</v>
      </c>
    </row>
    <row r="44" spans="1:5" ht="25.5" customHeight="1">
      <c r="A44" s="21" t="s">
        <v>318</v>
      </c>
      <c r="B44" s="85">
        <v>0</v>
      </c>
      <c r="C44" s="85">
        <v>0</v>
      </c>
      <c r="D44" s="54" t="str">
        <f t="shared" si="0"/>
        <v>   </v>
      </c>
      <c r="E44" s="55">
        <f t="shared" si="1"/>
        <v>0</v>
      </c>
    </row>
    <row r="45" spans="1:5" ht="54.75" customHeight="1">
      <c r="A45" s="21" t="s">
        <v>214</v>
      </c>
      <c r="B45" s="85">
        <v>1178700</v>
      </c>
      <c r="C45" s="85">
        <v>1178700</v>
      </c>
      <c r="D45" s="54">
        <f t="shared" si="0"/>
        <v>100</v>
      </c>
      <c r="E45" s="55">
        <f t="shared" si="1"/>
        <v>0</v>
      </c>
    </row>
    <row r="46" spans="1:5" ht="26.25" customHeight="1">
      <c r="A46" s="21" t="s">
        <v>239</v>
      </c>
      <c r="B46" s="85">
        <v>0</v>
      </c>
      <c r="C46" s="85">
        <v>0</v>
      </c>
      <c r="D46" s="54" t="str">
        <f t="shared" si="0"/>
        <v>   </v>
      </c>
      <c r="E46" s="55">
        <f t="shared" si="1"/>
        <v>0</v>
      </c>
    </row>
    <row r="47" spans="1:5" ht="16.5" customHeight="1">
      <c r="A47" s="21" t="s">
        <v>79</v>
      </c>
      <c r="B47" s="80">
        <f>B51+B48+B50+B49</f>
        <v>538612.78</v>
      </c>
      <c r="C47" s="80">
        <f>C51+C48+C50+C49</f>
        <v>438177.68000000005</v>
      </c>
      <c r="D47" s="40">
        <f t="shared" si="0"/>
        <v>81.35300465763177</v>
      </c>
      <c r="E47" s="41">
        <f t="shared" si="1"/>
        <v>-100435.09999999998</v>
      </c>
    </row>
    <row r="48" spans="1:5" ht="15" customHeight="1">
      <c r="A48" s="21" t="s">
        <v>337</v>
      </c>
      <c r="B48" s="80">
        <v>0</v>
      </c>
      <c r="C48" s="80">
        <v>0</v>
      </c>
      <c r="D48" s="40" t="str">
        <f t="shared" si="0"/>
        <v>   </v>
      </c>
      <c r="E48" s="41">
        <f t="shared" si="1"/>
        <v>0</v>
      </c>
    </row>
    <row r="49" spans="1:5" ht="15" customHeight="1">
      <c r="A49" s="21" t="s">
        <v>278</v>
      </c>
      <c r="B49" s="80">
        <v>114212.78</v>
      </c>
      <c r="C49" s="80">
        <v>114212.78</v>
      </c>
      <c r="D49" s="40">
        <f t="shared" si="0"/>
        <v>100</v>
      </c>
      <c r="E49" s="41">
        <f t="shared" si="1"/>
        <v>0</v>
      </c>
    </row>
    <row r="50" spans="1:5" ht="15" customHeight="1">
      <c r="A50" s="21" t="s">
        <v>255</v>
      </c>
      <c r="B50" s="80">
        <v>0</v>
      </c>
      <c r="C50" s="80">
        <v>0</v>
      </c>
      <c r="D50" s="40" t="str">
        <f>IF(B50=0,"   ",C50/B50*100)</f>
        <v>   </v>
      </c>
      <c r="E50" s="41">
        <f>C50-B50</f>
        <v>0</v>
      </c>
    </row>
    <row r="51" spans="1:5" s="6" customFormat="1" ht="16.5" customHeight="1">
      <c r="A51" s="21" t="s">
        <v>103</v>
      </c>
      <c r="B51" s="80">
        <v>424400</v>
      </c>
      <c r="C51" s="80">
        <v>323964.9</v>
      </c>
      <c r="D51" s="36">
        <f t="shared" si="0"/>
        <v>76.33480207351556</v>
      </c>
      <c r="E51" s="41">
        <f t="shared" si="1"/>
        <v>-100435.09999999998</v>
      </c>
    </row>
    <row r="52" spans="1:5" s="6" customFormat="1" ht="35.25" customHeight="1">
      <c r="A52" s="21" t="s">
        <v>347</v>
      </c>
      <c r="B52" s="36">
        <v>-2716.03</v>
      </c>
      <c r="C52" s="36">
        <v>-2716.03</v>
      </c>
      <c r="D52" s="36">
        <f>IF(B52=0,"   ",C52/B52*100)</f>
        <v>100</v>
      </c>
      <c r="E52" s="41">
        <f>C52-B52</f>
        <v>0</v>
      </c>
    </row>
    <row r="53" spans="1:5" ht="21.75" customHeight="1">
      <c r="A53" s="44" t="s">
        <v>11</v>
      </c>
      <c r="B53" s="83">
        <f>B33+B34</f>
        <v>5370096.75</v>
      </c>
      <c r="C53" s="83">
        <f>C33+C34</f>
        <v>4734933.82</v>
      </c>
      <c r="D53" s="46">
        <f t="shared" si="0"/>
        <v>88.17222557489305</v>
      </c>
      <c r="E53" s="47">
        <f t="shared" si="1"/>
        <v>-635162.9299999997</v>
      </c>
    </row>
    <row r="54" spans="1:5" ht="13.5">
      <c r="A54" s="44"/>
      <c r="B54" s="79"/>
      <c r="C54" s="80"/>
      <c r="D54" s="40" t="str">
        <f t="shared" si="0"/>
        <v>   </v>
      </c>
      <c r="E54" s="41"/>
    </row>
    <row r="55" spans="1:5" ht="15" thickBot="1">
      <c r="A55" s="87" t="s">
        <v>12</v>
      </c>
      <c r="B55" s="88"/>
      <c r="C55" s="89"/>
      <c r="D55" s="90" t="str">
        <f t="shared" si="0"/>
        <v>   </v>
      </c>
      <c r="E55" s="91"/>
    </row>
    <row r="56" spans="1:5" ht="14.25" thickBot="1">
      <c r="A56" s="92" t="s">
        <v>35</v>
      </c>
      <c r="B56" s="93">
        <f>SUM(B57,B61+B62)</f>
        <v>1456700</v>
      </c>
      <c r="C56" s="93">
        <f>SUM(C57,C61+C62)</f>
        <v>1264324.34</v>
      </c>
      <c r="D56" s="94">
        <f t="shared" si="0"/>
        <v>86.79373515480195</v>
      </c>
      <c r="E56" s="95">
        <f t="shared" si="1"/>
        <v>-192375.65999999992</v>
      </c>
    </row>
    <row r="57" spans="1:5" ht="14.25" thickBot="1">
      <c r="A57" s="68" t="s">
        <v>36</v>
      </c>
      <c r="B57" s="96">
        <v>1436200</v>
      </c>
      <c r="C57" s="93">
        <v>1262824.34</v>
      </c>
      <c r="D57" s="97">
        <f t="shared" si="0"/>
        <v>87.92816738615792</v>
      </c>
      <c r="E57" s="98">
        <f t="shared" si="1"/>
        <v>-173375.65999999992</v>
      </c>
    </row>
    <row r="58" spans="1:5" ht="13.5">
      <c r="A58" s="21" t="s">
        <v>114</v>
      </c>
      <c r="B58" s="36">
        <v>806682</v>
      </c>
      <c r="C58" s="99">
        <v>795683.77</v>
      </c>
      <c r="D58" s="40">
        <f t="shared" si="0"/>
        <v>98.63660897354843</v>
      </c>
      <c r="E58" s="41">
        <f t="shared" si="1"/>
        <v>-10998.229999999981</v>
      </c>
    </row>
    <row r="59" spans="1:5" ht="13.5">
      <c r="A59" s="21" t="s">
        <v>312</v>
      </c>
      <c r="B59" s="36">
        <v>47300</v>
      </c>
      <c r="C59" s="99">
        <v>47300</v>
      </c>
      <c r="D59" s="40">
        <f>IF(B59=0,"   ",C59/B59*100)</f>
        <v>100</v>
      </c>
      <c r="E59" s="41">
        <f>C59-B59</f>
        <v>0</v>
      </c>
    </row>
    <row r="60" spans="1:5" ht="13.5">
      <c r="A60" s="21" t="s">
        <v>317</v>
      </c>
      <c r="B60" s="36">
        <v>0</v>
      </c>
      <c r="C60" s="99">
        <v>0</v>
      </c>
      <c r="D60" s="40" t="str">
        <f>IF(B60=0,"   ",C60/B60*100)</f>
        <v>   </v>
      </c>
      <c r="E60" s="41">
        <f>C60-B60</f>
        <v>0</v>
      </c>
    </row>
    <row r="61" spans="1:5" ht="13.5">
      <c r="A61" s="21" t="s">
        <v>90</v>
      </c>
      <c r="B61" s="36">
        <v>500</v>
      </c>
      <c r="C61" s="99">
        <v>0</v>
      </c>
      <c r="D61" s="40">
        <f t="shared" si="0"/>
        <v>0</v>
      </c>
      <c r="E61" s="41">
        <f t="shared" si="1"/>
        <v>-500</v>
      </c>
    </row>
    <row r="62" spans="1:5" ht="13.5">
      <c r="A62" s="17" t="s">
        <v>53</v>
      </c>
      <c r="B62" s="36">
        <f>SUM(B63)</f>
        <v>20000</v>
      </c>
      <c r="C62" s="36">
        <f>SUM(C63)</f>
        <v>1500</v>
      </c>
      <c r="D62" s="90">
        <f t="shared" si="0"/>
        <v>7.5</v>
      </c>
      <c r="E62" s="91">
        <f t="shared" si="1"/>
        <v>-18500</v>
      </c>
    </row>
    <row r="63" spans="1:5" ht="29.25" customHeight="1" thickBot="1">
      <c r="A63" s="17" t="s">
        <v>222</v>
      </c>
      <c r="B63" s="100">
        <v>20000</v>
      </c>
      <c r="C63" s="101">
        <v>1500</v>
      </c>
      <c r="D63" s="90">
        <f t="shared" si="0"/>
        <v>7.5</v>
      </c>
      <c r="E63" s="91">
        <f t="shared" si="1"/>
        <v>-18500</v>
      </c>
    </row>
    <row r="64" spans="1:5" ht="14.25" thickBot="1">
      <c r="A64" s="92" t="s">
        <v>49</v>
      </c>
      <c r="B64" s="102">
        <f>SUM(B65)</f>
        <v>99900</v>
      </c>
      <c r="C64" s="102">
        <f>SUM(C65)</f>
        <v>72530.64</v>
      </c>
      <c r="D64" s="94">
        <f t="shared" si="0"/>
        <v>72.60324324324324</v>
      </c>
      <c r="E64" s="95">
        <f t="shared" si="1"/>
        <v>-27369.36</v>
      </c>
    </row>
    <row r="65" spans="1:5" ht="16.5" customHeight="1" thickBot="1">
      <c r="A65" s="60" t="s">
        <v>101</v>
      </c>
      <c r="B65" s="100">
        <v>99900</v>
      </c>
      <c r="C65" s="101">
        <v>72530.64</v>
      </c>
      <c r="D65" s="103">
        <f t="shared" si="0"/>
        <v>72.60324324324324</v>
      </c>
      <c r="E65" s="104">
        <f t="shared" si="1"/>
        <v>-27369.36</v>
      </c>
    </row>
    <row r="66" spans="1:5" ht="14.25" thickBot="1">
      <c r="A66" s="92" t="s">
        <v>37</v>
      </c>
      <c r="B66" s="93">
        <f>SUM(B67)</f>
        <v>5000</v>
      </c>
      <c r="C66" s="102">
        <f>SUM(C67)</f>
        <v>0</v>
      </c>
      <c r="D66" s="94">
        <f t="shared" si="0"/>
        <v>0</v>
      </c>
      <c r="E66" s="95">
        <f t="shared" si="1"/>
        <v>-5000</v>
      </c>
    </row>
    <row r="67" spans="1:5" ht="14.25" thickBot="1">
      <c r="A67" s="60" t="s">
        <v>303</v>
      </c>
      <c r="B67" s="100">
        <v>5000</v>
      </c>
      <c r="C67" s="101">
        <v>0</v>
      </c>
      <c r="D67" s="103">
        <f t="shared" si="0"/>
        <v>0</v>
      </c>
      <c r="E67" s="104">
        <f t="shared" si="1"/>
        <v>-5000</v>
      </c>
    </row>
    <row r="68" spans="1:5" ht="14.25" thickBot="1">
      <c r="A68" s="92" t="s">
        <v>38</v>
      </c>
      <c r="B68" s="93">
        <f>B69+B74+B76+B84</f>
        <v>2585297.96</v>
      </c>
      <c r="C68" s="93">
        <f>C69+C74+C76+C84</f>
        <v>2313468.96</v>
      </c>
      <c r="D68" s="94">
        <f t="shared" si="0"/>
        <v>89.48558331744478</v>
      </c>
      <c r="E68" s="95">
        <f t="shared" si="1"/>
        <v>-271829</v>
      </c>
    </row>
    <row r="69" spans="1:5" ht="15.75" customHeight="1" thickBot="1">
      <c r="A69" s="60" t="s">
        <v>165</v>
      </c>
      <c r="B69" s="93">
        <f>SUM(B70:B73)</f>
        <v>121502.95999999999</v>
      </c>
      <c r="C69" s="93">
        <f>SUM(C70:C73)</f>
        <v>121502.95999999999</v>
      </c>
      <c r="D69" s="94">
        <f aca="true" t="shared" si="2" ref="D69:D75">IF(B69=0,"   ",C69/B69*100)</f>
        <v>100</v>
      </c>
      <c r="E69" s="95">
        <f aca="true" t="shared" si="3" ref="E69:E75">C69-B69</f>
        <v>0</v>
      </c>
    </row>
    <row r="70" spans="1:5" ht="18" customHeight="1" thickBot="1">
      <c r="A70" s="60" t="s">
        <v>156</v>
      </c>
      <c r="B70" s="105">
        <v>0</v>
      </c>
      <c r="C70" s="93">
        <v>0</v>
      </c>
      <c r="D70" s="94" t="str">
        <f t="shared" si="2"/>
        <v>   </v>
      </c>
      <c r="E70" s="95">
        <f t="shared" si="3"/>
        <v>0</v>
      </c>
    </row>
    <row r="71" spans="1:5" ht="18" customHeight="1" thickBot="1">
      <c r="A71" s="60" t="s">
        <v>177</v>
      </c>
      <c r="B71" s="96">
        <v>0</v>
      </c>
      <c r="C71" s="96">
        <v>0</v>
      </c>
      <c r="D71" s="94" t="str">
        <f t="shared" si="2"/>
        <v>   </v>
      </c>
      <c r="E71" s="95">
        <f t="shared" si="3"/>
        <v>0</v>
      </c>
    </row>
    <row r="72" spans="1:5" ht="18" customHeight="1" thickBot="1">
      <c r="A72" s="60" t="s">
        <v>279</v>
      </c>
      <c r="B72" s="36">
        <v>114212.78</v>
      </c>
      <c r="C72" s="36">
        <v>114212.78</v>
      </c>
      <c r="D72" s="94">
        <f t="shared" si="2"/>
        <v>100</v>
      </c>
      <c r="E72" s="95">
        <f t="shared" si="3"/>
        <v>0</v>
      </c>
    </row>
    <row r="73" spans="1:5" ht="18" customHeight="1" thickBot="1">
      <c r="A73" s="60" t="s">
        <v>280</v>
      </c>
      <c r="B73" s="36">
        <v>7290.18</v>
      </c>
      <c r="C73" s="36">
        <v>7290.18</v>
      </c>
      <c r="D73" s="94">
        <f t="shared" si="2"/>
        <v>100</v>
      </c>
      <c r="E73" s="95">
        <f t="shared" si="3"/>
        <v>0</v>
      </c>
    </row>
    <row r="74" spans="1:5" ht="18" customHeight="1" thickBot="1">
      <c r="A74" s="60" t="s">
        <v>208</v>
      </c>
      <c r="B74" s="106">
        <f>SUM(B75)</f>
        <v>15000</v>
      </c>
      <c r="C74" s="106">
        <f>SUM(C75)</f>
        <v>15000</v>
      </c>
      <c r="D74" s="94">
        <f t="shared" si="2"/>
        <v>100</v>
      </c>
      <c r="E74" s="95">
        <f t="shared" si="3"/>
        <v>0</v>
      </c>
    </row>
    <row r="75" spans="1:5" ht="18" customHeight="1" thickBot="1">
      <c r="A75" s="60" t="s">
        <v>209</v>
      </c>
      <c r="B75" s="96">
        <v>15000</v>
      </c>
      <c r="C75" s="96">
        <v>15000</v>
      </c>
      <c r="D75" s="94">
        <f t="shared" si="2"/>
        <v>100</v>
      </c>
      <c r="E75" s="95">
        <f t="shared" si="3"/>
        <v>0</v>
      </c>
    </row>
    <row r="76" spans="1:5" ht="13.5">
      <c r="A76" s="68" t="s">
        <v>123</v>
      </c>
      <c r="B76" s="96">
        <f>SUM(B77:B83)</f>
        <v>2448795</v>
      </c>
      <c r="C76" s="96">
        <f>SUM(C77:C83)</f>
        <v>2176966</v>
      </c>
      <c r="D76" s="97">
        <f t="shared" si="0"/>
        <v>88.89947913157287</v>
      </c>
      <c r="E76" s="98">
        <f t="shared" si="1"/>
        <v>-271829</v>
      </c>
    </row>
    <row r="77" spans="1:5" ht="19.5" customHeight="1">
      <c r="A77" s="60" t="s">
        <v>139</v>
      </c>
      <c r="B77" s="36">
        <v>0</v>
      </c>
      <c r="C77" s="36">
        <v>0</v>
      </c>
      <c r="D77" s="97" t="str">
        <f t="shared" si="0"/>
        <v>   </v>
      </c>
      <c r="E77" s="98">
        <f t="shared" si="1"/>
        <v>0</v>
      </c>
    </row>
    <row r="78" spans="1:5" ht="27">
      <c r="A78" s="17" t="s">
        <v>225</v>
      </c>
      <c r="B78" s="36">
        <v>499800</v>
      </c>
      <c r="C78" s="36">
        <v>407305</v>
      </c>
      <c r="D78" s="40">
        <f t="shared" si="0"/>
        <v>81.4935974389756</v>
      </c>
      <c r="E78" s="107">
        <f t="shared" si="1"/>
        <v>-92495</v>
      </c>
    </row>
    <row r="79" spans="1:5" ht="27">
      <c r="A79" s="17" t="s">
        <v>226</v>
      </c>
      <c r="B79" s="36">
        <v>167695</v>
      </c>
      <c r="C79" s="36">
        <v>100000</v>
      </c>
      <c r="D79" s="40">
        <f t="shared" si="0"/>
        <v>59.63207012731447</v>
      </c>
      <c r="E79" s="107">
        <f t="shared" si="1"/>
        <v>-67695</v>
      </c>
    </row>
    <row r="80" spans="1:5" ht="27">
      <c r="A80" s="17" t="s">
        <v>227</v>
      </c>
      <c r="B80" s="36">
        <v>1178700</v>
      </c>
      <c r="C80" s="36">
        <v>1178700</v>
      </c>
      <c r="D80" s="40">
        <f t="shared" si="0"/>
        <v>100</v>
      </c>
      <c r="E80" s="107">
        <f t="shared" si="1"/>
        <v>0</v>
      </c>
    </row>
    <row r="81" spans="1:5" ht="27">
      <c r="A81" s="17" t="s">
        <v>228</v>
      </c>
      <c r="B81" s="36">
        <v>131000</v>
      </c>
      <c r="C81" s="36">
        <v>131000</v>
      </c>
      <c r="D81" s="40">
        <f t="shared" si="0"/>
        <v>100</v>
      </c>
      <c r="E81" s="107">
        <f t="shared" si="1"/>
        <v>0</v>
      </c>
    </row>
    <row r="82" spans="1:5" ht="27">
      <c r="A82" s="17" t="s">
        <v>229</v>
      </c>
      <c r="B82" s="36">
        <v>424400</v>
      </c>
      <c r="C82" s="36">
        <v>323964.9</v>
      </c>
      <c r="D82" s="40">
        <f t="shared" si="0"/>
        <v>76.33480207351556</v>
      </c>
      <c r="E82" s="107">
        <f t="shared" si="1"/>
        <v>-100435.09999999998</v>
      </c>
    </row>
    <row r="83" spans="1:5" ht="27.75" thickBot="1">
      <c r="A83" s="17" t="s">
        <v>230</v>
      </c>
      <c r="B83" s="108">
        <v>47200</v>
      </c>
      <c r="C83" s="108">
        <v>35996.1</v>
      </c>
      <c r="D83" s="90">
        <f t="shared" si="0"/>
        <v>76.26292372881356</v>
      </c>
      <c r="E83" s="91">
        <f t="shared" si="1"/>
        <v>-11203.900000000001</v>
      </c>
    </row>
    <row r="84" spans="1:5" ht="13.5">
      <c r="A84" s="68" t="s">
        <v>166</v>
      </c>
      <c r="B84" s="109">
        <f>SUM(B85+B86)</f>
        <v>0</v>
      </c>
      <c r="C84" s="109">
        <f>SUM(C85+C86)</f>
        <v>0</v>
      </c>
      <c r="D84" s="90" t="str">
        <f>IF(B84=0,"   ",C84/B84*100)</f>
        <v>   </v>
      </c>
      <c r="E84" s="91">
        <f>C84-B84</f>
        <v>0</v>
      </c>
    </row>
    <row r="85" spans="1:5" ht="27">
      <c r="A85" s="62" t="s">
        <v>145</v>
      </c>
      <c r="B85" s="36">
        <v>0</v>
      </c>
      <c r="C85" s="36">
        <v>0</v>
      </c>
      <c r="D85" s="40" t="str">
        <f>IF(B85=0,"   ",C85/B85*100)</f>
        <v>   </v>
      </c>
      <c r="E85" s="107">
        <f>C85-B85</f>
        <v>0</v>
      </c>
    </row>
    <row r="86" spans="1:5" ht="27">
      <c r="A86" s="62" t="s">
        <v>167</v>
      </c>
      <c r="B86" s="36">
        <v>0</v>
      </c>
      <c r="C86" s="36">
        <v>0</v>
      </c>
      <c r="D86" s="40" t="str">
        <f>IF(B86=0,"   ",C86/B86*100)</f>
        <v>   </v>
      </c>
      <c r="E86" s="107">
        <f>C86-B86</f>
        <v>0</v>
      </c>
    </row>
    <row r="87" spans="1:5" ht="13.5" customHeight="1">
      <c r="A87" s="62" t="s">
        <v>13</v>
      </c>
      <c r="B87" s="36">
        <f>SUM(B99,B98,B88+B107)</f>
        <v>458960</v>
      </c>
      <c r="C87" s="36">
        <f>SUM(C99,C98,C88+C107)</f>
        <v>173972.62</v>
      </c>
      <c r="D87" s="40">
        <f t="shared" si="0"/>
        <v>37.90583493114868</v>
      </c>
      <c r="E87" s="107">
        <f t="shared" si="1"/>
        <v>-284987.38</v>
      </c>
    </row>
    <row r="88" spans="1:5" ht="13.5" customHeight="1" thickBot="1">
      <c r="A88" s="68" t="s">
        <v>140</v>
      </c>
      <c r="B88" s="96">
        <f>SUM(B89+B90+B92+B93+B94)</f>
        <v>256460</v>
      </c>
      <c r="C88" s="96">
        <f>SUM(C89+C90+C92+C93+C94)</f>
        <v>74826.58</v>
      </c>
      <c r="D88" s="110">
        <f t="shared" si="0"/>
        <v>29.176705919051706</v>
      </c>
      <c r="E88" s="104">
        <f t="shared" si="1"/>
        <v>-181633.41999999998</v>
      </c>
    </row>
    <row r="89" spans="1:5" ht="30.75" customHeight="1" thickBot="1">
      <c r="A89" s="21" t="s">
        <v>181</v>
      </c>
      <c r="B89" s="96">
        <v>20000</v>
      </c>
      <c r="C89" s="96">
        <v>9579.18</v>
      </c>
      <c r="D89" s="94">
        <f t="shared" si="0"/>
        <v>47.895900000000005</v>
      </c>
      <c r="E89" s="107">
        <f t="shared" si="1"/>
        <v>-10420.82</v>
      </c>
    </row>
    <row r="90" spans="1:5" ht="15" customHeight="1" thickBot="1">
      <c r="A90" s="38" t="s">
        <v>149</v>
      </c>
      <c r="B90" s="96">
        <v>21460</v>
      </c>
      <c r="C90" s="96">
        <v>0</v>
      </c>
      <c r="D90" s="94">
        <f t="shared" si="0"/>
        <v>0</v>
      </c>
      <c r="E90" s="107">
        <f t="shared" si="1"/>
        <v>-21460</v>
      </c>
    </row>
    <row r="91" spans="1:5" ht="18" customHeight="1" thickBot="1">
      <c r="A91" s="21" t="s">
        <v>258</v>
      </c>
      <c r="B91" s="96">
        <v>0</v>
      </c>
      <c r="C91" s="96">
        <v>0</v>
      </c>
      <c r="D91" s="94" t="str">
        <f aca="true" t="shared" si="4" ref="D91:D97">IF(B91=0,"   ",C91/B91*100)</f>
        <v>   </v>
      </c>
      <c r="E91" s="107">
        <f aca="true" t="shared" si="5" ref="E91:E97">C91-B91</f>
        <v>0</v>
      </c>
    </row>
    <row r="92" spans="1:5" ht="18" customHeight="1" thickBot="1">
      <c r="A92" s="17" t="s">
        <v>291</v>
      </c>
      <c r="B92" s="96">
        <v>0</v>
      </c>
      <c r="C92" s="96">
        <v>0</v>
      </c>
      <c r="D92" s="94" t="str">
        <f t="shared" si="4"/>
        <v>   </v>
      </c>
      <c r="E92" s="107">
        <f t="shared" si="5"/>
        <v>0</v>
      </c>
    </row>
    <row r="93" spans="1:5" ht="18" customHeight="1" thickBot="1">
      <c r="A93" s="21" t="s">
        <v>304</v>
      </c>
      <c r="B93" s="96">
        <v>215000</v>
      </c>
      <c r="C93" s="96">
        <v>65247.4</v>
      </c>
      <c r="D93" s="94">
        <f t="shared" si="4"/>
        <v>30.347627906976744</v>
      </c>
      <c r="E93" s="107">
        <f t="shared" si="5"/>
        <v>-149752.6</v>
      </c>
    </row>
    <row r="94" spans="1:5" ht="19.5" customHeight="1" thickBot="1">
      <c r="A94" s="17" t="s">
        <v>191</v>
      </c>
      <c r="B94" s="96">
        <f>SUM(B95+B96+B97)</f>
        <v>0</v>
      </c>
      <c r="C94" s="96">
        <f>SUM(C95+C96+C97)</f>
        <v>0</v>
      </c>
      <c r="D94" s="94" t="str">
        <f t="shared" si="4"/>
        <v>   </v>
      </c>
      <c r="E94" s="107">
        <f t="shared" si="5"/>
        <v>0</v>
      </c>
    </row>
    <row r="95" spans="1:5" ht="30.75" customHeight="1" thickBot="1">
      <c r="A95" s="17" t="s">
        <v>197</v>
      </c>
      <c r="B95" s="96">
        <v>0</v>
      </c>
      <c r="C95" s="96">
        <v>0</v>
      </c>
      <c r="D95" s="94" t="str">
        <f t="shared" si="4"/>
        <v>   </v>
      </c>
      <c r="E95" s="107">
        <f t="shared" si="5"/>
        <v>0</v>
      </c>
    </row>
    <row r="96" spans="1:5" ht="30.75" customHeight="1" thickBot="1">
      <c r="A96" s="17" t="s">
        <v>192</v>
      </c>
      <c r="B96" s="96">
        <v>0</v>
      </c>
      <c r="C96" s="96">
        <v>0</v>
      </c>
      <c r="D96" s="94" t="str">
        <f t="shared" si="4"/>
        <v>   </v>
      </c>
      <c r="E96" s="107">
        <f t="shared" si="5"/>
        <v>0</v>
      </c>
    </row>
    <row r="97" spans="1:5" ht="30.75" customHeight="1" thickBot="1">
      <c r="A97" s="17" t="s">
        <v>198</v>
      </c>
      <c r="B97" s="96">
        <v>0</v>
      </c>
      <c r="C97" s="96">
        <v>0</v>
      </c>
      <c r="D97" s="94" t="str">
        <f t="shared" si="4"/>
        <v>   </v>
      </c>
      <c r="E97" s="107">
        <f t="shared" si="5"/>
        <v>0</v>
      </c>
    </row>
    <row r="98" spans="1:5" ht="13.5" customHeight="1" thickBot="1">
      <c r="A98" s="68" t="s">
        <v>83</v>
      </c>
      <c r="B98" s="96">
        <v>0</v>
      </c>
      <c r="C98" s="96">
        <v>0</v>
      </c>
      <c r="D98" s="94" t="str">
        <f t="shared" si="0"/>
        <v>   </v>
      </c>
      <c r="E98" s="107">
        <f t="shared" si="1"/>
        <v>0</v>
      </c>
    </row>
    <row r="99" spans="1:5" ht="13.5">
      <c r="A99" s="21" t="s">
        <v>58</v>
      </c>
      <c r="B99" s="36">
        <f>B100+B105+B101+B106</f>
        <v>202400</v>
      </c>
      <c r="C99" s="36">
        <f>C100+C105+C101+C106</f>
        <v>99046.04</v>
      </c>
      <c r="D99" s="40">
        <f t="shared" si="0"/>
        <v>48.935790513833986</v>
      </c>
      <c r="E99" s="41">
        <f t="shared" si="1"/>
        <v>-103353.96</v>
      </c>
    </row>
    <row r="100" spans="1:5" ht="13.5">
      <c r="A100" s="21" t="s">
        <v>56</v>
      </c>
      <c r="B100" s="36">
        <v>180000</v>
      </c>
      <c r="C100" s="107">
        <v>99046.04</v>
      </c>
      <c r="D100" s="40">
        <f t="shared" si="0"/>
        <v>55.02557777777778</v>
      </c>
      <c r="E100" s="41">
        <f t="shared" si="1"/>
        <v>-80953.96</v>
      </c>
    </row>
    <row r="101" spans="1:5" ht="13.5">
      <c r="A101" s="17" t="s">
        <v>341</v>
      </c>
      <c r="B101" s="36">
        <f>SUM(B102:B104)</f>
        <v>0</v>
      </c>
      <c r="C101" s="36">
        <f>SUM(C102:C104)</f>
        <v>0</v>
      </c>
      <c r="D101" s="90" t="str">
        <f t="shared" si="0"/>
        <v>   </v>
      </c>
      <c r="E101" s="91">
        <f t="shared" si="1"/>
        <v>0</v>
      </c>
    </row>
    <row r="102" spans="1:5" ht="13.5">
      <c r="A102" s="17" t="s">
        <v>344</v>
      </c>
      <c r="B102" s="36">
        <v>0</v>
      </c>
      <c r="C102" s="107">
        <v>0</v>
      </c>
      <c r="D102" s="90" t="str">
        <f t="shared" si="0"/>
        <v>   </v>
      </c>
      <c r="E102" s="91">
        <f t="shared" si="1"/>
        <v>0</v>
      </c>
    </row>
    <row r="103" spans="1:5" ht="13.5">
      <c r="A103" s="17" t="s">
        <v>342</v>
      </c>
      <c r="B103" s="36">
        <v>0</v>
      </c>
      <c r="C103" s="107">
        <v>0</v>
      </c>
      <c r="D103" s="90" t="str">
        <f t="shared" si="0"/>
        <v>   </v>
      </c>
      <c r="E103" s="91">
        <f t="shared" si="1"/>
        <v>0</v>
      </c>
    </row>
    <row r="104" spans="1:5" ht="13.5">
      <c r="A104" s="17" t="s">
        <v>343</v>
      </c>
      <c r="B104" s="36">
        <v>0</v>
      </c>
      <c r="C104" s="107">
        <v>0</v>
      </c>
      <c r="D104" s="90" t="str">
        <f t="shared" si="0"/>
        <v>   </v>
      </c>
      <c r="E104" s="91">
        <f t="shared" si="1"/>
        <v>0</v>
      </c>
    </row>
    <row r="105" spans="1:5" ht="13.5">
      <c r="A105" s="17" t="s">
        <v>59</v>
      </c>
      <c r="B105" s="36">
        <v>22400</v>
      </c>
      <c r="C105" s="107">
        <v>0</v>
      </c>
      <c r="D105" s="40">
        <f t="shared" si="0"/>
        <v>0</v>
      </c>
      <c r="E105" s="107">
        <f t="shared" si="1"/>
        <v>-22400</v>
      </c>
    </row>
    <row r="106" spans="1:5" ht="27.75" thickBot="1">
      <c r="A106" s="17" t="s">
        <v>259</v>
      </c>
      <c r="B106" s="36">
        <v>0</v>
      </c>
      <c r="C106" s="107">
        <v>0</v>
      </c>
      <c r="D106" s="40" t="str">
        <f t="shared" si="0"/>
        <v>   </v>
      </c>
      <c r="E106" s="107">
        <f t="shared" si="1"/>
        <v>0</v>
      </c>
    </row>
    <row r="107" spans="1:5" ht="14.25" thickBot="1">
      <c r="A107" s="62" t="s">
        <v>290</v>
      </c>
      <c r="B107" s="111">
        <f>SUM(B108)</f>
        <v>100</v>
      </c>
      <c r="C107" s="111">
        <f>SUM(C108)</f>
        <v>100</v>
      </c>
      <c r="D107" s="40">
        <f>IF(B107=0,"   ",C107/B107*100)</f>
        <v>100</v>
      </c>
      <c r="E107" s="107">
        <f>C107-B107</f>
        <v>0</v>
      </c>
    </row>
    <row r="108" spans="1:5" ht="13.5">
      <c r="A108" s="62" t="s">
        <v>247</v>
      </c>
      <c r="B108" s="36">
        <v>100</v>
      </c>
      <c r="C108" s="99">
        <v>100</v>
      </c>
      <c r="D108" s="40">
        <f>IF(B108=0,"   ",C108/B108*100)</f>
        <v>100</v>
      </c>
      <c r="E108" s="107">
        <f>C108-B108</f>
        <v>0</v>
      </c>
    </row>
    <row r="109" spans="1:5" ht="14.25" thickBot="1">
      <c r="A109" s="112" t="s">
        <v>17</v>
      </c>
      <c r="B109" s="106">
        <v>8000</v>
      </c>
      <c r="C109" s="106">
        <v>0</v>
      </c>
      <c r="D109" s="110">
        <f t="shared" si="0"/>
        <v>0</v>
      </c>
      <c r="E109" s="113">
        <f t="shared" si="1"/>
        <v>-8000</v>
      </c>
    </row>
    <row r="110" spans="1:5" ht="14.25" thickBot="1">
      <c r="A110" s="92" t="s">
        <v>41</v>
      </c>
      <c r="B110" s="111">
        <f>B111</f>
        <v>933100</v>
      </c>
      <c r="C110" s="111">
        <f>C111</f>
        <v>687760</v>
      </c>
      <c r="D110" s="94">
        <f t="shared" si="0"/>
        <v>73.70699817811595</v>
      </c>
      <c r="E110" s="95">
        <f t="shared" si="1"/>
        <v>-245340</v>
      </c>
    </row>
    <row r="111" spans="1:5" ht="13.5">
      <c r="A111" s="68" t="s">
        <v>42</v>
      </c>
      <c r="B111" s="96">
        <f>SUM(B112+B114+B113)</f>
        <v>933100</v>
      </c>
      <c r="C111" s="96">
        <f>SUM(C112+C114+C113)</f>
        <v>687760</v>
      </c>
      <c r="D111" s="97">
        <f t="shared" si="0"/>
        <v>73.70699817811595</v>
      </c>
      <c r="E111" s="98">
        <f t="shared" si="1"/>
        <v>-245340</v>
      </c>
    </row>
    <row r="112" spans="1:5" ht="13.5">
      <c r="A112" s="21" t="s">
        <v>133</v>
      </c>
      <c r="B112" s="100">
        <v>933100</v>
      </c>
      <c r="C112" s="101">
        <v>687760</v>
      </c>
      <c r="D112" s="103">
        <f t="shared" si="0"/>
        <v>73.70699817811595</v>
      </c>
      <c r="E112" s="104">
        <f t="shared" si="1"/>
        <v>-245340</v>
      </c>
    </row>
    <row r="113" spans="1:5" ht="13.5">
      <c r="A113" s="68" t="s">
        <v>265</v>
      </c>
      <c r="B113" s="100">
        <v>0</v>
      </c>
      <c r="C113" s="101">
        <v>0</v>
      </c>
      <c r="D113" s="103" t="str">
        <f t="shared" si="0"/>
        <v>   </v>
      </c>
      <c r="E113" s="114">
        <f t="shared" si="1"/>
        <v>0</v>
      </c>
    </row>
    <row r="114" spans="1:5" ht="21.75" customHeight="1" thickBot="1">
      <c r="A114" s="21" t="s">
        <v>231</v>
      </c>
      <c r="B114" s="36">
        <v>0</v>
      </c>
      <c r="C114" s="107">
        <v>0</v>
      </c>
      <c r="D114" s="40" t="str">
        <f t="shared" si="0"/>
        <v>   </v>
      </c>
      <c r="E114" s="107">
        <f t="shared" si="1"/>
        <v>0</v>
      </c>
    </row>
    <row r="115" spans="1:5" ht="14.25" thickBot="1">
      <c r="A115" s="92" t="s">
        <v>118</v>
      </c>
      <c r="B115" s="106">
        <f>SUM(B116,)</f>
        <v>15000</v>
      </c>
      <c r="C115" s="106">
        <f>SUM(C116,)</f>
        <v>15000</v>
      </c>
      <c r="D115" s="110">
        <f t="shared" si="0"/>
        <v>100</v>
      </c>
      <c r="E115" s="113">
        <f t="shared" si="1"/>
        <v>0</v>
      </c>
    </row>
    <row r="116" spans="1:5" ht="13.5">
      <c r="A116" s="60" t="s">
        <v>43</v>
      </c>
      <c r="B116" s="100">
        <v>15000</v>
      </c>
      <c r="C116" s="115">
        <v>15000</v>
      </c>
      <c r="D116" s="103">
        <f t="shared" si="0"/>
        <v>100</v>
      </c>
      <c r="E116" s="104">
        <f t="shared" si="1"/>
        <v>0</v>
      </c>
    </row>
    <row r="117" spans="1:5" ht="27" customHeight="1">
      <c r="A117" s="44" t="s">
        <v>15</v>
      </c>
      <c r="B117" s="116">
        <f>SUM(B56,B64,B66,B68,B87,B109,B110,B115,)</f>
        <v>5561957.96</v>
      </c>
      <c r="C117" s="116">
        <f>SUM(C56,C64,C66,C68,C87,C109,C110,C115,)</f>
        <v>4527056.5600000005</v>
      </c>
      <c r="D117" s="46">
        <f>IF(B117=0,"   ",C117/B117*100)</f>
        <v>81.39321786603365</v>
      </c>
      <c r="E117" s="47">
        <f>C117-B117</f>
        <v>-1034901.3999999994</v>
      </c>
    </row>
    <row r="118" spans="1:5" s="13" customFormat="1" ht="42.75" customHeight="1">
      <c r="A118" s="71" t="s">
        <v>276</v>
      </c>
      <c r="B118" s="71"/>
      <c r="C118" s="168"/>
      <c r="D118" s="168"/>
      <c r="E118" s="168"/>
    </row>
    <row r="119" spans="1:5" s="13" customFormat="1" ht="18.75" customHeight="1">
      <c r="A119" s="71" t="s">
        <v>144</v>
      </c>
      <c r="B119" s="71"/>
      <c r="C119" s="72" t="s">
        <v>277</v>
      </c>
      <c r="D119" s="73"/>
      <c r="E119" s="74"/>
    </row>
    <row r="120" spans="1:5" ht="13.5">
      <c r="A120" s="71"/>
      <c r="B120" s="71"/>
      <c r="C120" s="117"/>
      <c r="D120" s="71"/>
      <c r="E120" s="118"/>
    </row>
    <row r="121" spans="1:5" ht="13.5">
      <c r="A121" s="71"/>
      <c r="B121" s="71"/>
      <c r="C121" s="117"/>
      <c r="D121" s="71"/>
      <c r="E121" s="118"/>
    </row>
    <row r="122" spans="1:5" ht="13.5">
      <c r="A122" s="119"/>
      <c r="B122" s="119"/>
      <c r="C122" s="120"/>
      <c r="D122" s="119"/>
      <c r="E122" s="121"/>
    </row>
    <row r="123" spans="1:5" ht="13.5">
      <c r="A123" s="119"/>
      <c r="B123" s="119"/>
      <c r="C123" s="120"/>
      <c r="D123" s="119"/>
      <c r="E123" s="121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3.5">
      <c r="A128" s="122"/>
      <c r="B128" s="122"/>
      <c r="C128" s="122"/>
      <c r="D128" s="122"/>
      <c r="E128" s="122"/>
    </row>
    <row r="129" spans="1:5" ht="13.5">
      <c r="A129" s="122"/>
      <c r="B129" s="122"/>
      <c r="C129" s="122"/>
      <c r="D129" s="122"/>
      <c r="E129" s="122"/>
    </row>
    <row r="130" spans="1:5" ht="13.5">
      <c r="A130" s="122"/>
      <c r="B130" s="122"/>
      <c r="C130" s="122"/>
      <c r="D130" s="122"/>
      <c r="E130" s="122"/>
    </row>
    <row r="131" spans="1:5" ht="13.5">
      <c r="A131" s="122"/>
      <c r="B131" s="122"/>
      <c r="C131" s="122"/>
      <c r="D131" s="122"/>
      <c r="E131" s="122"/>
    </row>
    <row r="132" spans="1:5" ht="13.5">
      <c r="A132" s="122"/>
      <c r="B132" s="122"/>
      <c r="C132" s="122"/>
      <c r="D132" s="122"/>
      <c r="E132" s="122"/>
    </row>
    <row r="133" spans="1:5" ht="13.5">
      <c r="A133" s="122"/>
      <c r="B133" s="122"/>
      <c r="C133" s="122"/>
      <c r="D133" s="122"/>
      <c r="E133" s="122"/>
    </row>
    <row r="134" spans="1:5" ht="13.5">
      <c r="A134" s="122"/>
      <c r="B134" s="122"/>
      <c r="C134" s="122"/>
      <c r="D134" s="122"/>
      <c r="E134" s="122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</sheetData>
  <sheetProtection/>
  <mergeCells count="2">
    <mergeCell ref="A1:E1"/>
    <mergeCell ref="C118:E11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3.5">
      <c r="A1" s="169" t="s">
        <v>361</v>
      </c>
      <c r="B1" s="169"/>
      <c r="C1" s="169"/>
      <c r="D1" s="169"/>
      <c r="E1" s="169"/>
    </row>
    <row r="2" spans="1:5" ht="14.25" thickBot="1">
      <c r="A2" s="22"/>
      <c r="B2" s="22"/>
      <c r="C2" s="23"/>
      <c r="D2" s="22"/>
      <c r="E2" s="22" t="s">
        <v>0</v>
      </c>
    </row>
    <row r="3" spans="1:5" ht="76.5" customHeight="1">
      <c r="A3" s="24" t="s">
        <v>1</v>
      </c>
      <c r="B3" s="25" t="s">
        <v>319</v>
      </c>
      <c r="C3" s="26" t="s">
        <v>362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" customHeight="1">
      <c r="A6" s="38" t="s">
        <v>45</v>
      </c>
      <c r="B6" s="143">
        <f>SUM(B7)</f>
        <v>89600</v>
      </c>
      <c r="C6" s="143">
        <f>SUM(C7)</f>
        <v>68117.05</v>
      </c>
      <c r="D6" s="40">
        <f aca="true" t="shared" si="0" ref="D6:D106">IF(B6=0,"   ",C6/B6*100)</f>
        <v>76.02349330357143</v>
      </c>
      <c r="E6" s="41">
        <f aca="true" t="shared" si="1" ref="E6:E107">C6-B6</f>
        <v>-21482.949999999997</v>
      </c>
    </row>
    <row r="7" spans="1:5" ht="15" customHeight="1">
      <c r="A7" s="21" t="s">
        <v>44</v>
      </c>
      <c r="B7" s="36">
        <v>89600</v>
      </c>
      <c r="C7" s="144">
        <v>68117.05</v>
      </c>
      <c r="D7" s="40">
        <f t="shared" si="0"/>
        <v>76.02349330357143</v>
      </c>
      <c r="E7" s="41">
        <f t="shared" si="1"/>
        <v>-21482.949999999997</v>
      </c>
    </row>
    <row r="8" spans="1:5" ht="15.75" customHeight="1">
      <c r="A8" s="38" t="s">
        <v>128</v>
      </c>
      <c r="B8" s="143">
        <f>SUM(B9)</f>
        <v>434400</v>
      </c>
      <c r="C8" s="143">
        <f>SUM(C9)</f>
        <v>428993.7</v>
      </c>
      <c r="D8" s="40">
        <f t="shared" si="0"/>
        <v>98.75545580110497</v>
      </c>
      <c r="E8" s="41">
        <f t="shared" si="1"/>
        <v>-5406.299999999988</v>
      </c>
    </row>
    <row r="9" spans="1:5" ht="15" customHeight="1">
      <c r="A9" s="21" t="s">
        <v>129</v>
      </c>
      <c r="B9" s="36">
        <v>434400</v>
      </c>
      <c r="C9" s="144">
        <v>428993.7</v>
      </c>
      <c r="D9" s="40">
        <f t="shared" si="0"/>
        <v>98.75545580110497</v>
      </c>
      <c r="E9" s="41">
        <f t="shared" si="1"/>
        <v>-5406.299999999988</v>
      </c>
    </row>
    <row r="10" spans="1:5" ht="16.5" customHeight="1">
      <c r="A10" s="21" t="s">
        <v>7</v>
      </c>
      <c r="B10" s="36">
        <f>B11</f>
        <v>23500</v>
      </c>
      <c r="C10" s="36">
        <f>C11</f>
        <v>17233.12</v>
      </c>
      <c r="D10" s="40">
        <f t="shared" si="0"/>
        <v>73.3324255319149</v>
      </c>
      <c r="E10" s="41">
        <f t="shared" si="1"/>
        <v>-6266.880000000001</v>
      </c>
    </row>
    <row r="11" spans="1:5" ht="15" customHeight="1">
      <c r="A11" s="21" t="s">
        <v>26</v>
      </c>
      <c r="B11" s="36">
        <v>23500</v>
      </c>
      <c r="C11" s="144">
        <v>17233.12</v>
      </c>
      <c r="D11" s="40">
        <f t="shared" si="0"/>
        <v>73.3324255319149</v>
      </c>
      <c r="E11" s="41">
        <f t="shared" si="1"/>
        <v>-6266.880000000001</v>
      </c>
    </row>
    <row r="12" spans="1:5" ht="15" customHeight="1">
      <c r="A12" s="21" t="s">
        <v>9</v>
      </c>
      <c r="B12" s="36">
        <f>SUM(B13:B14)</f>
        <v>207000</v>
      </c>
      <c r="C12" s="36">
        <f>SUM(C13:C14)</f>
        <v>91371.36</v>
      </c>
      <c r="D12" s="40">
        <f t="shared" si="0"/>
        <v>44.1407536231884</v>
      </c>
      <c r="E12" s="41">
        <f t="shared" si="1"/>
        <v>-115628.64</v>
      </c>
    </row>
    <row r="13" spans="1:5" ht="12.75" customHeight="1">
      <c r="A13" s="21" t="s">
        <v>27</v>
      </c>
      <c r="B13" s="36">
        <v>115000</v>
      </c>
      <c r="C13" s="144">
        <v>37157.75</v>
      </c>
      <c r="D13" s="40">
        <f t="shared" si="0"/>
        <v>32.31108695652174</v>
      </c>
      <c r="E13" s="41">
        <f t="shared" si="1"/>
        <v>-77842.25</v>
      </c>
    </row>
    <row r="14" spans="1:5" ht="15" customHeight="1">
      <c r="A14" s="21" t="s">
        <v>150</v>
      </c>
      <c r="B14" s="36">
        <f>SUM(B15:B16)</f>
        <v>92000</v>
      </c>
      <c r="C14" s="36">
        <f>SUM(C15:C16)</f>
        <v>54213.61</v>
      </c>
      <c r="D14" s="40">
        <f t="shared" si="0"/>
        <v>58.92783695652174</v>
      </c>
      <c r="E14" s="41">
        <f t="shared" si="1"/>
        <v>-37786.39</v>
      </c>
    </row>
    <row r="15" spans="1:5" ht="15" customHeight="1">
      <c r="A15" s="21" t="s">
        <v>151</v>
      </c>
      <c r="B15" s="36">
        <v>12000</v>
      </c>
      <c r="C15" s="144">
        <v>1677.68</v>
      </c>
      <c r="D15" s="40">
        <f t="shared" si="0"/>
        <v>13.980666666666666</v>
      </c>
      <c r="E15" s="41">
        <f t="shared" si="1"/>
        <v>-10322.32</v>
      </c>
    </row>
    <row r="16" spans="1:5" ht="15" customHeight="1">
      <c r="A16" s="21" t="s">
        <v>152</v>
      </c>
      <c r="B16" s="36">
        <v>80000</v>
      </c>
      <c r="C16" s="144">
        <v>52535.93</v>
      </c>
      <c r="D16" s="40">
        <f t="shared" si="0"/>
        <v>65.66991250000001</v>
      </c>
      <c r="E16" s="41">
        <f t="shared" si="1"/>
        <v>-27464.07</v>
      </c>
    </row>
    <row r="17" spans="1:5" ht="15" customHeight="1">
      <c r="A17" s="21" t="s">
        <v>182</v>
      </c>
      <c r="B17" s="36">
        <v>600</v>
      </c>
      <c r="C17" s="107">
        <v>650</v>
      </c>
      <c r="D17" s="40">
        <f t="shared" si="0"/>
        <v>108.33333333333333</v>
      </c>
      <c r="E17" s="41">
        <f t="shared" si="1"/>
        <v>50</v>
      </c>
    </row>
    <row r="18" spans="1:5" ht="27.75" customHeight="1">
      <c r="A18" s="21" t="s">
        <v>84</v>
      </c>
      <c r="B18" s="36">
        <v>0</v>
      </c>
      <c r="C18" s="36">
        <v>0</v>
      </c>
      <c r="D18" s="40" t="str">
        <f t="shared" si="0"/>
        <v>   </v>
      </c>
      <c r="E18" s="41">
        <f t="shared" si="1"/>
        <v>0</v>
      </c>
    </row>
    <row r="19" spans="1:5" ht="27.75" customHeight="1">
      <c r="A19" s="21" t="s">
        <v>28</v>
      </c>
      <c r="B19" s="36">
        <f>SUM(B20:B21)</f>
        <v>81780</v>
      </c>
      <c r="C19" s="36">
        <f>SUM(C20:C21)</f>
        <v>71240.98</v>
      </c>
      <c r="D19" s="40">
        <f t="shared" si="0"/>
        <v>87.11296160430423</v>
      </c>
      <c r="E19" s="41">
        <f t="shared" si="1"/>
        <v>-10539.020000000004</v>
      </c>
    </row>
    <row r="20" spans="1:5" ht="12.75" customHeight="1">
      <c r="A20" s="21" t="s">
        <v>142</v>
      </c>
      <c r="B20" s="36">
        <v>42600</v>
      </c>
      <c r="C20" s="144">
        <v>12000.19</v>
      </c>
      <c r="D20" s="40">
        <f t="shared" si="0"/>
        <v>28.169460093896713</v>
      </c>
      <c r="E20" s="41">
        <f t="shared" si="1"/>
        <v>-30599.809999999998</v>
      </c>
    </row>
    <row r="21" spans="1:5" ht="15.75" customHeight="1">
      <c r="A21" s="21" t="s">
        <v>30</v>
      </c>
      <c r="B21" s="36">
        <v>39180</v>
      </c>
      <c r="C21" s="144">
        <v>59240.79</v>
      </c>
      <c r="D21" s="40">
        <f t="shared" si="0"/>
        <v>151.20160796324654</v>
      </c>
      <c r="E21" s="41">
        <f t="shared" si="1"/>
        <v>20060.79</v>
      </c>
    </row>
    <row r="22" spans="1:5" ht="15.75" customHeight="1">
      <c r="A22" s="21" t="s">
        <v>87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5.75" customHeight="1">
      <c r="A23" s="21" t="s">
        <v>78</v>
      </c>
      <c r="B23" s="143">
        <f>B24+B25</f>
        <v>18020</v>
      </c>
      <c r="C23" s="143">
        <f>C24+C25</f>
        <v>238617</v>
      </c>
      <c r="D23" s="40">
        <f t="shared" si="0"/>
        <v>1324.178690344062</v>
      </c>
      <c r="E23" s="41">
        <f t="shared" si="1"/>
        <v>220597</v>
      </c>
    </row>
    <row r="24" spans="1:5" ht="27.75" customHeight="1">
      <c r="A24" s="21" t="s">
        <v>264</v>
      </c>
      <c r="B24" s="36">
        <v>18020</v>
      </c>
      <c r="C24" s="86">
        <v>238617</v>
      </c>
      <c r="D24" s="40">
        <f t="shared" si="0"/>
        <v>1324.178690344062</v>
      </c>
      <c r="E24" s="41">
        <f t="shared" si="1"/>
        <v>220597</v>
      </c>
    </row>
    <row r="25" spans="1:5" ht="15" customHeight="1">
      <c r="A25" s="21" t="s">
        <v>126</v>
      </c>
      <c r="B25" s="36">
        <v>0</v>
      </c>
      <c r="C25" s="144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275</v>
      </c>
      <c r="B26" s="36">
        <v>0</v>
      </c>
      <c r="C26" s="144">
        <v>0</v>
      </c>
      <c r="D26" s="40" t="str">
        <f>IF(B26=0,"   ",C26/B26*100)</f>
        <v>   </v>
      </c>
      <c r="E26" s="41">
        <f>C26-B26</f>
        <v>0</v>
      </c>
    </row>
    <row r="27" spans="1:5" ht="13.5" customHeight="1">
      <c r="A27" s="21" t="s">
        <v>32</v>
      </c>
      <c r="B27" s="36">
        <f>SUM(B28:B30)</f>
        <v>14180.4</v>
      </c>
      <c r="C27" s="36">
        <f>SUM(C28:C30)</f>
        <v>14180.4</v>
      </c>
      <c r="D27" s="40">
        <f t="shared" si="0"/>
        <v>100</v>
      </c>
      <c r="E27" s="41">
        <f t="shared" si="1"/>
        <v>0</v>
      </c>
    </row>
    <row r="28" spans="1:5" ht="13.5" customHeight="1">
      <c r="A28" s="21" t="s">
        <v>46</v>
      </c>
      <c r="B28" s="36">
        <v>0</v>
      </c>
      <c r="C28" s="36">
        <v>0</v>
      </c>
      <c r="D28" s="40"/>
      <c r="E28" s="41">
        <f t="shared" si="1"/>
        <v>0</v>
      </c>
    </row>
    <row r="29" spans="1:5" ht="13.5" customHeight="1">
      <c r="A29" s="21" t="s">
        <v>301</v>
      </c>
      <c r="B29" s="36">
        <v>14180.4</v>
      </c>
      <c r="C29" s="36">
        <v>14180.4</v>
      </c>
      <c r="D29" s="40"/>
      <c r="E29" s="41">
        <f>C29-B29</f>
        <v>0</v>
      </c>
    </row>
    <row r="30" spans="1:5" ht="1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22.5" customHeight="1">
      <c r="A32" s="44" t="s">
        <v>10</v>
      </c>
      <c r="B32" s="116">
        <f>SUM(B6,B8,B10,B12,B18,B19,B22,B23,B31,B27,B17)</f>
        <v>869080.4</v>
      </c>
      <c r="C32" s="116">
        <f>SUM(C6,C8,C10,C12,C18,C19,C22,C23,C31,C27,C17,C26)</f>
        <v>930403.61</v>
      </c>
      <c r="D32" s="46">
        <f t="shared" si="0"/>
        <v>107.05610320978359</v>
      </c>
      <c r="E32" s="47">
        <f t="shared" si="1"/>
        <v>61323.20999999996</v>
      </c>
    </row>
    <row r="33" spans="1:5" ht="16.5" customHeight="1">
      <c r="A33" s="62" t="s">
        <v>131</v>
      </c>
      <c r="B33" s="145">
        <f>SUM(B34:B37,B40:B43,B48)</f>
        <v>3011864.5300000003</v>
      </c>
      <c r="C33" s="145">
        <f>SUM(C34:C37,C40:C43,C48)</f>
        <v>2640083.96</v>
      </c>
      <c r="D33" s="46">
        <f t="shared" si="0"/>
        <v>87.6561323958352</v>
      </c>
      <c r="E33" s="47">
        <f t="shared" si="1"/>
        <v>-371780.5700000003</v>
      </c>
    </row>
    <row r="34" spans="1:5" ht="20.25" customHeight="1">
      <c r="A34" s="38" t="s">
        <v>34</v>
      </c>
      <c r="B34" s="143">
        <v>1948700</v>
      </c>
      <c r="C34" s="86">
        <v>1624800</v>
      </c>
      <c r="D34" s="40">
        <f t="shared" si="0"/>
        <v>83.37866269820906</v>
      </c>
      <c r="E34" s="41">
        <f t="shared" si="1"/>
        <v>-323900</v>
      </c>
    </row>
    <row r="35" spans="1:5" ht="20.25" customHeight="1">
      <c r="A35" s="38" t="s">
        <v>207</v>
      </c>
      <c r="B35" s="143">
        <v>0</v>
      </c>
      <c r="C35" s="86">
        <v>0</v>
      </c>
      <c r="D35" s="40" t="str">
        <f>IF(B35=0,"   ",C35/B35*100)</f>
        <v>   </v>
      </c>
      <c r="E35" s="41">
        <f>C35-B35</f>
        <v>0</v>
      </c>
    </row>
    <row r="36" spans="1:5" ht="26.25" customHeight="1">
      <c r="A36" s="52" t="s">
        <v>51</v>
      </c>
      <c r="B36" s="85">
        <v>99900</v>
      </c>
      <c r="C36" s="86">
        <v>92100</v>
      </c>
      <c r="D36" s="54">
        <f t="shared" si="0"/>
        <v>92.1921921921922</v>
      </c>
      <c r="E36" s="55">
        <f t="shared" si="1"/>
        <v>-7800</v>
      </c>
    </row>
    <row r="37" spans="1:5" ht="26.25" customHeight="1">
      <c r="A37" s="52" t="s">
        <v>138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7.25" customHeight="1">
      <c r="A38" s="52" t="s">
        <v>153</v>
      </c>
      <c r="B38" s="85">
        <v>100</v>
      </c>
      <c r="C38" s="85">
        <v>100</v>
      </c>
      <c r="D38" s="54">
        <f>IF(B38=0,"   ",C38/B38*100)</f>
        <v>100</v>
      </c>
      <c r="E38" s="55">
        <f>C38-B38</f>
        <v>0</v>
      </c>
    </row>
    <row r="39" spans="1:5" ht="26.25" customHeight="1">
      <c r="A39" s="52" t="s">
        <v>154</v>
      </c>
      <c r="B39" s="85">
        <v>0</v>
      </c>
      <c r="C39" s="85">
        <v>0</v>
      </c>
      <c r="D39" s="54" t="str">
        <f>IF(B39=0,"   ",C39/B39*100)</f>
        <v>   </v>
      </c>
      <c r="E39" s="55">
        <f>C39-B39</f>
        <v>0</v>
      </c>
    </row>
    <row r="40" spans="1:5" ht="44.25" customHeight="1">
      <c r="A40" s="21" t="s">
        <v>97</v>
      </c>
      <c r="B40" s="36">
        <v>0</v>
      </c>
      <c r="C40" s="36">
        <v>0</v>
      </c>
      <c r="D40" s="40" t="str">
        <f t="shared" si="0"/>
        <v>   </v>
      </c>
      <c r="E40" s="41">
        <f t="shared" si="1"/>
        <v>0</v>
      </c>
    </row>
    <row r="41" spans="1:5" ht="33" customHeight="1">
      <c r="A41" s="21" t="s">
        <v>310</v>
      </c>
      <c r="B41" s="36">
        <v>59800</v>
      </c>
      <c r="C41" s="36">
        <v>59800</v>
      </c>
      <c r="D41" s="40">
        <f t="shared" si="0"/>
        <v>100</v>
      </c>
      <c r="E41" s="41">
        <f t="shared" si="1"/>
        <v>0</v>
      </c>
    </row>
    <row r="42" spans="1:5" ht="57" customHeight="1">
      <c r="A42" s="21" t="s">
        <v>214</v>
      </c>
      <c r="B42" s="36">
        <v>615900</v>
      </c>
      <c r="C42" s="36">
        <v>615900</v>
      </c>
      <c r="D42" s="40">
        <f t="shared" si="0"/>
        <v>100</v>
      </c>
      <c r="E42" s="41">
        <f t="shared" si="1"/>
        <v>0</v>
      </c>
    </row>
    <row r="43" spans="1:5" ht="15" customHeight="1">
      <c r="A43" s="21" t="s">
        <v>55</v>
      </c>
      <c r="B43" s="36">
        <f>SUM(B44:B47)</f>
        <v>287464.53</v>
      </c>
      <c r="C43" s="36">
        <f>SUM(C44:C47)</f>
        <v>247383.96000000002</v>
      </c>
      <c r="D43" s="40">
        <f t="shared" si="0"/>
        <v>86.05721199759844</v>
      </c>
      <c r="E43" s="41">
        <f t="shared" si="1"/>
        <v>-40080.57000000001</v>
      </c>
    </row>
    <row r="44" spans="1:5" ht="15" customHeight="1">
      <c r="A44" s="21" t="s">
        <v>337</v>
      </c>
      <c r="B44" s="36">
        <v>42541.2</v>
      </c>
      <c r="C44" s="36">
        <v>42541.2</v>
      </c>
      <c r="D44" s="36">
        <f t="shared" si="0"/>
        <v>100</v>
      </c>
      <c r="E44" s="41">
        <f t="shared" si="1"/>
        <v>0</v>
      </c>
    </row>
    <row r="45" spans="1:5" ht="15" customHeight="1">
      <c r="A45" s="21" t="s">
        <v>278</v>
      </c>
      <c r="B45" s="36">
        <v>7323.33</v>
      </c>
      <c r="C45" s="36">
        <v>5154.16</v>
      </c>
      <c r="D45" s="36">
        <f t="shared" si="0"/>
        <v>70.38000472462663</v>
      </c>
      <c r="E45" s="41">
        <f t="shared" si="1"/>
        <v>-2169.17</v>
      </c>
    </row>
    <row r="46" spans="1:5" ht="15" customHeight="1">
      <c r="A46" s="21" t="s">
        <v>255</v>
      </c>
      <c r="B46" s="36">
        <v>0</v>
      </c>
      <c r="C46" s="36">
        <v>0</v>
      </c>
      <c r="D46" s="36" t="str">
        <f>IF(B46=0,"   ",C46/B46*100)</f>
        <v>   </v>
      </c>
      <c r="E46" s="41">
        <f>C46-B46</f>
        <v>0</v>
      </c>
    </row>
    <row r="47" spans="1:5" s="6" customFormat="1" ht="18" customHeight="1">
      <c r="A47" s="21" t="s">
        <v>103</v>
      </c>
      <c r="B47" s="36">
        <v>237600</v>
      </c>
      <c r="C47" s="107">
        <v>199688.6</v>
      </c>
      <c r="D47" s="36">
        <f t="shared" si="0"/>
        <v>84.04402356902358</v>
      </c>
      <c r="E47" s="41">
        <f t="shared" si="1"/>
        <v>-37911.399999999994</v>
      </c>
    </row>
    <row r="48" spans="1:5" s="6" customFormat="1" ht="18" customHeight="1">
      <c r="A48" s="21" t="s">
        <v>184</v>
      </c>
      <c r="B48" s="36">
        <v>0</v>
      </c>
      <c r="C48" s="107">
        <v>0</v>
      </c>
      <c r="D48" s="36" t="str">
        <f t="shared" si="0"/>
        <v>   </v>
      </c>
      <c r="E48" s="41">
        <f t="shared" si="1"/>
        <v>0</v>
      </c>
    </row>
    <row r="49" spans="1:5" ht="18.75" customHeight="1">
      <c r="A49" s="44" t="s">
        <v>11</v>
      </c>
      <c r="B49" s="116">
        <f>SUM(B32:B33,)</f>
        <v>3880944.93</v>
      </c>
      <c r="C49" s="116">
        <f>SUM(C32:C33,)</f>
        <v>3570487.57</v>
      </c>
      <c r="D49" s="46">
        <f t="shared" si="0"/>
        <v>92.00046984433762</v>
      </c>
      <c r="E49" s="47">
        <f t="shared" si="1"/>
        <v>-310457.36000000034</v>
      </c>
    </row>
    <row r="50" spans="1:5" ht="15" customHeight="1" thickBot="1">
      <c r="A50" s="87" t="s">
        <v>12</v>
      </c>
      <c r="B50" s="137"/>
      <c r="C50" s="138"/>
      <c r="D50" s="90" t="str">
        <f t="shared" si="0"/>
        <v>   </v>
      </c>
      <c r="E50" s="91">
        <f t="shared" si="1"/>
        <v>0</v>
      </c>
    </row>
    <row r="51" spans="1:5" ht="27.75" customHeight="1" thickBot="1">
      <c r="A51" s="92" t="s">
        <v>35</v>
      </c>
      <c r="B51" s="93">
        <f>SUM(B52,B55:B56)</f>
        <v>1740700</v>
      </c>
      <c r="C51" s="93">
        <f>SUM(C52,C55:C56)</f>
        <v>1248762.55</v>
      </c>
      <c r="D51" s="94">
        <f t="shared" si="0"/>
        <v>71.73910208536796</v>
      </c>
      <c r="E51" s="95">
        <f t="shared" si="1"/>
        <v>-491937.44999999995</v>
      </c>
    </row>
    <row r="52" spans="1:5" ht="15.75" customHeight="1">
      <c r="A52" s="68" t="s">
        <v>36</v>
      </c>
      <c r="B52" s="96">
        <v>1735200</v>
      </c>
      <c r="C52" s="96">
        <v>1243762.55</v>
      </c>
      <c r="D52" s="97">
        <f t="shared" si="0"/>
        <v>71.67833967266021</v>
      </c>
      <c r="E52" s="98">
        <f t="shared" si="1"/>
        <v>-491437.44999999995</v>
      </c>
    </row>
    <row r="53" spans="1:5" ht="14.25" customHeight="1">
      <c r="A53" s="21" t="s">
        <v>114</v>
      </c>
      <c r="B53" s="36">
        <v>993856</v>
      </c>
      <c r="C53" s="99">
        <v>706750.78</v>
      </c>
      <c r="D53" s="40">
        <f t="shared" si="0"/>
        <v>71.11199006697147</v>
      </c>
      <c r="E53" s="41">
        <f t="shared" si="1"/>
        <v>-287105.22</v>
      </c>
    </row>
    <row r="54" spans="1:5" ht="14.25" customHeight="1">
      <c r="A54" s="21" t="s">
        <v>312</v>
      </c>
      <c r="B54" s="36">
        <v>59800</v>
      </c>
      <c r="C54" s="99">
        <v>59800</v>
      </c>
      <c r="D54" s="40">
        <f>IF(B54=0,"   ",C54/B54*100)</f>
        <v>100</v>
      </c>
      <c r="E54" s="41">
        <f>C54-B54</f>
        <v>0</v>
      </c>
    </row>
    <row r="55" spans="1:5" ht="12.75" customHeight="1">
      <c r="A55" s="21" t="s">
        <v>90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2.75" customHeight="1">
      <c r="A56" s="21" t="s">
        <v>52</v>
      </c>
      <c r="B56" s="36">
        <f>B58+B57</f>
        <v>5000</v>
      </c>
      <c r="C56" s="36">
        <f>C58+C57</f>
        <v>5000</v>
      </c>
      <c r="D56" s="40">
        <f t="shared" si="0"/>
        <v>100</v>
      </c>
      <c r="E56" s="41">
        <f t="shared" si="1"/>
        <v>0</v>
      </c>
    </row>
    <row r="57" spans="1:5" ht="30.75" customHeight="1">
      <c r="A57" s="17" t="s">
        <v>220</v>
      </c>
      <c r="B57" s="36">
        <v>5000</v>
      </c>
      <c r="C57" s="107">
        <v>5000</v>
      </c>
      <c r="D57" s="40">
        <f t="shared" si="0"/>
        <v>100</v>
      </c>
      <c r="E57" s="41">
        <f t="shared" si="1"/>
        <v>0</v>
      </c>
    </row>
    <row r="58" spans="1:5" ht="24" customHeight="1" thickBot="1">
      <c r="A58" s="17" t="s">
        <v>213</v>
      </c>
      <c r="B58" s="36">
        <v>0</v>
      </c>
      <c r="C58" s="107">
        <v>0</v>
      </c>
      <c r="D58" s="40" t="str">
        <f>IF(B58=0,"   ",C58/B58*100)</f>
        <v>   </v>
      </c>
      <c r="E58" s="41">
        <f>C58-B58</f>
        <v>0</v>
      </c>
    </row>
    <row r="59" spans="1:5" ht="14.25" customHeight="1" thickBot="1">
      <c r="A59" s="92" t="s">
        <v>49</v>
      </c>
      <c r="B59" s="146">
        <f>SUM(B60)</f>
        <v>99900</v>
      </c>
      <c r="C59" s="146">
        <f>SUM(C60)</f>
        <v>73930.19</v>
      </c>
      <c r="D59" s="94">
        <f t="shared" si="0"/>
        <v>74.0041941941942</v>
      </c>
      <c r="E59" s="95">
        <f t="shared" si="1"/>
        <v>-25969.809999999998</v>
      </c>
    </row>
    <row r="60" spans="1:5" ht="22.5" customHeight="1" thickBot="1">
      <c r="A60" s="60" t="s">
        <v>101</v>
      </c>
      <c r="B60" s="100">
        <v>99900</v>
      </c>
      <c r="C60" s="101">
        <v>73930.19</v>
      </c>
      <c r="D60" s="94">
        <f t="shared" si="0"/>
        <v>74.0041941941942</v>
      </c>
      <c r="E60" s="104">
        <f t="shared" si="1"/>
        <v>-25969.809999999998</v>
      </c>
    </row>
    <row r="61" spans="1:5" ht="17.25" customHeight="1" thickBot="1">
      <c r="A61" s="92" t="s">
        <v>37</v>
      </c>
      <c r="B61" s="93">
        <f>SUM(B62)</f>
        <v>0</v>
      </c>
      <c r="C61" s="93">
        <f>SUM(C62)</f>
        <v>0</v>
      </c>
      <c r="D61" s="94" t="str">
        <f t="shared" si="0"/>
        <v>   </v>
      </c>
      <c r="E61" s="95">
        <f t="shared" si="1"/>
        <v>0</v>
      </c>
    </row>
    <row r="62" spans="1:5" ht="30" customHeight="1">
      <c r="A62" s="60" t="s">
        <v>303</v>
      </c>
      <c r="B62" s="96">
        <v>0</v>
      </c>
      <c r="C62" s="114">
        <v>0</v>
      </c>
      <c r="D62" s="97" t="str">
        <f t="shared" si="0"/>
        <v>   </v>
      </c>
      <c r="E62" s="98">
        <f t="shared" si="1"/>
        <v>0</v>
      </c>
    </row>
    <row r="63" spans="1:5" ht="18.75" customHeight="1" thickBot="1">
      <c r="A63" s="62" t="s">
        <v>38</v>
      </c>
      <c r="B63" s="108">
        <f>B70+B64+B78</f>
        <v>1551973.94</v>
      </c>
      <c r="C63" s="108">
        <f>C70+C64+C78</f>
        <v>1299066.77</v>
      </c>
      <c r="D63" s="90">
        <f t="shared" si="0"/>
        <v>83.70416129538877</v>
      </c>
      <c r="E63" s="91">
        <f t="shared" si="1"/>
        <v>-252907.16999999993</v>
      </c>
    </row>
    <row r="64" spans="1:5" ht="18.75" customHeight="1" thickBot="1">
      <c r="A64" s="60" t="s">
        <v>155</v>
      </c>
      <c r="B64" s="109">
        <f>SUM(B65:B69)</f>
        <v>9959.94</v>
      </c>
      <c r="C64" s="93">
        <f>SUM(C65:C69)</f>
        <v>7790.7699999999995</v>
      </c>
      <c r="D64" s="90">
        <f aca="true" t="shared" si="2" ref="D64:D69">IF(B64=0,"   ",C64/B64*100)</f>
        <v>78.22105354048317</v>
      </c>
      <c r="E64" s="91">
        <f aca="true" t="shared" si="3" ref="E64:E69">C64-B64</f>
        <v>-2169.170000000001</v>
      </c>
    </row>
    <row r="65" spans="1:5" ht="18.75" customHeight="1">
      <c r="A65" s="62" t="s">
        <v>156</v>
      </c>
      <c r="B65" s="36">
        <v>0</v>
      </c>
      <c r="C65" s="108">
        <v>0</v>
      </c>
      <c r="D65" s="90" t="str">
        <f t="shared" si="2"/>
        <v>   </v>
      </c>
      <c r="E65" s="91">
        <f t="shared" si="3"/>
        <v>0</v>
      </c>
    </row>
    <row r="66" spans="1:5" ht="18.75" customHeight="1">
      <c r="A66" s="62" t="s">
        <v>177</v>
      </c>
      <c r="B66" s="36">
        <v>0</v>
      </c>
      <c r="C66" s="108">
        <v>0</v>
      </c>
      <c r="D66" s="90" t="str">
        <f t="shared" si="2"/>
        <v>   </v>
      </c>
      <c r="E66" s="91">
        <f t="shared" si="3"/>
        <v>0</v>
      </c>
    </row>
    <row r="67" spans="1:5" ht="18.75" customHeight="1">
      <c r="A67" s="62" t="s">
        <v>280</v>
      </c>
      <c r="B67" s="36">
        <v>2169.17</v>
      </c>
      <c r="C67" s="108">
        <v>2169.17</v>
      </c>
      <c r="D67" s="90">
        <f t="shared" si="2"/>
        <v>100</v>
      </c>
      <c r="E67" s="91">
        <f t="shared" si="3"/>
        <v>0</v>
      </c>
    </row>
    <row r="68" spans="1:5" ht="18.75" customHeight="1">
      <c r="A68" s="62" t="s">
        <v>279</v>
      </c>
      <c r="B68" s="36">
        <v>7323.33</v>
      </c>
      <c r="C68" s="108">
        <v>5154.16</v>
      </c>
      <c r="D68" s="90">
        <f t="shared" si="2"/>
        <v>70.38000472462663</v>
      </c>
      <c r="E68" s="91">
        <f t="shared" si="3"/>
        <v>-2169.17</v>
      </c>
    </row>
    <row r="69" spans="1:5" ht="18.75" customHeight="1">
      <c r="A69" s="62" t="s">
        <v>374</v>
      </c>
      <c r="B69" s="36">
        <v>467.44</v>
      </c>
      <c r="C69" s="108">
        <v>467.44</v>
      </c>
      <c r="D69" s="90">
        <f t="shared" si="2"/>
        <v>100</v>
      </c>
      <c r="E69" s="91">
        <f t="shared" si="3"/>
        <v>0</v>
      </c>
    </row>
    <row r="70" spans="1:5" ht="15" customHeight="1">
      <c r="A70" s="62" t="s">
        <v>123</v>
      </c>
      <c r="B70" s="36">
        <f>SUM(B71:B77)</f>
        <v>1355014</v>
      </c>
      <c r="C70" s="36">
        <f>SUM(C71:C77)</f>
        <v>1261276</v>
      </c>
      <c r="D70" s="90">
        <f t="shared" si="0"/>
        <v>93.08213789673022</v>
      </c>
      <c r="E70" s="91">
        <f t="shared" si="1"/>
        <v>-93738</v>
      </c>
    </row>
    <row r="71" spans="1:5" ht="18.75" customHeight="1">
      <c r="A71" s="60" t="s">
        <v>139</v>
      </c>
      <c r="B71" s="36">
        <v>0</v>
      </c>
      <c r="C71" s="36">
        <v>0</v>
      </c>
      <c r="D71" s="90" t="str">
        <f t="shared" si="0"/>
        <v>   </v>
      </c>
      <c r="E71" s="91">
        <f t="shared" si="1"/>
        <v>0</v>
      </c>
    </row>
    <row r="72" spans="1:5" ht="30.75" customHeight="1">
      <c r="A72" s="17" t="s">
        <v>225</v>
      </c>
      <c r="B72" s="36">
        <v>346614</v>
      </c>
      <c r="C72" s="36">
        <v>295000</v>
      </c>
      <c r="D72" s="90">
        <f>IF(B72=0,"   ",C72/B72*100)</f>
        <v>85.109083880051</v>
      </c>
      <c r="E72" s="91">
        <f>C72-B72</f>
        <v>-51614</v>
      </c>
    </row>
    <row r="73" spans="1:5" ht="30" customHeight="1">
      <c r="A73" s="17" t="s">
        <v>226</v>
      </c>
      <c r="B73" s="36">
        <v>60000</v>
      </c>
      <c r="C73" s="36">
        <v>60000</v>
      </c>
      <c r="D73" s="90">
        <f t="shared" si="0"/>
        <v>100</v>
      </c>
      <c r="E73" s="91">
        <f t="shared" si="1"/>
        <v>0</v>
      </c>
    </row>
    <row r="74" spans="1:5" ht="30" customHeight="1">
      <c r="A74" s="17" t="s">
        <v>227</v>
      </c>
      <c r="B74" s="36">
        <v>615900</v>
      </c>
      <c r="C74" s="36">
        <v>615900</v>
      </c>
      <c r="D74" s="90">
        <f t="shared" si="0"/>
        <v>100</v>
      </c>
      <c r="E74" s="91">
        <f t="shared" si="1"/>
        <v>0</v>
      </c>
    </row>
    <row r="75" spans="1:5" ht="30" customHeight="1">
      <c r="A75" s="17" t="s">
        <v>228</v>
      </c>
      <c r="B75" s="36">
        <v>68500</v>
      </c>
      <c r="C75" s="36">
        <v>68500</v>
      </c>
      <c r="D75" s="90">
        <f t="shared" si="0"/>
        <v>100</v>
      </c>
      <c r="E75" s="91">
        <f t="shared" si="1"/>
        <v>0</v>
      </c>
    </row>
    <row r="76" spans="1:5" ht="30" customHeight="1">
      <c r="A76" s="17" t="s">
        <v>229</v>
      </c>
      <c r="B76" s="36">
        <v>237600</v>
      </c>
      <c r="C76" s="36">
        <v>199688.6</v>
      </c>
      <c r="D76" s="90">
        <f t="shared" si="0"/>
        <v>84.04402356902358</v>
      </c>
      <c r="E76" s="91">
        <f t="shared" si="1"/>
        <v>-37911.399999999994</v>
      </c>
    </row>
    <row r="77" spans="1:5" ht="30" customHeight="1">
      <c r="A77" s="17" t="s">
        <v>230</v>
      </c>
      <c r="B77" s="108">
        <v>26400</v>
      </c>
      <c r="C77" s="108">
        <v>22187.4</v>
      </c>
      <c r="D77" s="90">
        <f t="shared" si="0"/>
        <v>84.04318181818182</v>
      </c>
      <c r="E77" s="91">
        <f t="shared" si="1"/>
        <v>-4212.5999999999985</v>
      </c>
    </row>
    <row r="78" spans="1:5" ht="18" customHeight="1">
      <c r="A78" s="60" t="s">
        <v>166</v>
      </c>
      <c r="B78" s="36">
        <f>SUM(B79+B80)</f>
        <v>187000</v>
      </c>
      <c r="C78" s="36">
        <f>SUM(C79+C80)</f>
        <v>30000</v>
      </c>
      <c r="D78" s="90">
        <f>IF(B78=0,"   ",C78/B78*100)</f>
        <v>16.0427807486631</v>
      </c>
      <c r="E78" s="91">
        <f>C78-B78</f>
        <v>-157000</v>
      </c>
    </row>
    <row r="79" spans="1:5" ht="27.75" customHeight="1">
      <c r="A79" s="62" t="s">
        <v>145</v>
      </c>
      <c r="B79" s="100">
        <v>0</v>
      </c>
      <c r="C79" s="100">
        <v>0</v>
      </c>
      <c r="D79" s="40" t="str">
        <f>IF(B79=0,"   ",C79/B79*100)</f>
        <v>   </v>
      </c>
      <c r="E79" s="107">
        <f>C79-B79</f>
        <v>0</v>
      </c>
    </row>
    <row r="80" spans="1:5" ht="31.5" customHeight="1">
      <c r="A80" s="62" t="s">
        <v>167</v>
      </c>
      <c r="B80" s="36">
        <v>187000</v>
      </c>
      <c r="C80" s="36">
        <v>30000</v>
      </c>
      <c r="D80" s="40">
        <f>IF(B80=0,"   ",C80/B80*100)</f>
        <v>16.0427807486631</v>
      </c>
      <c r="E80" s="107">
        <f>C80-B80</f>
        <v>-157000</v>
      </c>
    </row>
    <row r="81" spans="1:5" ht="20.25" customHeight="1">
      <c r="A81" s="62" t="s">
        <v>13</v>
      </c>
      <c r="B81" s="36">
        <f>SUM(B88,B82+B97)</f>
        <v>193832.83000000002</v>
      </c>
      <c r="C81" s="36">
        <f>SUM(C88,C82+C97)</f>
        <v>98140.28</v>
      </c>
      <c r="D81" s="40">
        <f t="shared" si="0"/>
        <v>50.63140232745917</v>
      </c>
      <c r="E81" s="107">
        <f t="shared" si="1"/>
        <v>-95692.55000000002</v>
      </c>
    </row>
    <row r="82" spans="1:5" ht="15" customHeight="1" thickBot="1">
      <c r="A82" s="68" t="s">
        <v>140</v>
      </c>
      <c r="B82" s="106">
        <f>SUM(B83+B85+B86+B87)</f>
        <v>0</v>
      </c>
      <c r="C82" s="106">
        <f>SUM(C83+C85+C86+C87)</f>
        <v>0</v>
      </c>
      <c r="D82" s="40" t="str">
        <f aca="true" t="shared" si="4" ref="D82:D87">IF(B82=0,"   ",C82/B82*100)</f>
        <v>   </v>
      </c>
      <c r="E82" s="107">
        <f aca="true" t="shared" si="5" ref="E82:E87">C82-B82</f>
        <v>0</v>
      </c>
    </row>
    <row r="83" spans="1:5" ht="31.5" customHeight="1">
      <c r="A83" s="21" t="s">
        <v>181</v>
      </c>
      <c r="B83" s="100">
        <v>0</v>
      </c>
      <c r="C83" s="100">
        <v>0</v>
      </c>
      <c r="D83" s="40" t="str">
        <f t="shared" si="4"/>
        <v>   </v>
      </c>
      <c r="E83" s="107">
        <f t="shared" si="5"/>
        <v>0</v>
      </c>
    </row>
    <row r="84" spans="1:5" ht="15" customHeight="1">
      <c r="A84" s="21" t="s">
        <v>258</v>
      </c>
      <c r="B84" s="36">
        <v>0</v>
      </c>
      <c r="C84" s="36">
        <v>0</v>
      </c>
      <c r="D84" s="40" t="str">
        <f t="shared" si="4"/>
        <v>   </v>
      </c>
      <c r="E84" s="107">
        <f t="shared" si="5"/>
        <v>0</v>
      </c>
    </row>
    <row r="85" spans="1:5" ht="15" customHeight="1">
      <c r="A85" s="21" t="s">
        <v>261</v>
      </c>
      <c r="B85" s="36">
        <v>0</v>
      </c>
      <c r="C85" s="36">
        <v>0</v>
      </c>
      <c r="D85" s="40" t="str">
        <f t="shared" si="4"/>
        <v>   </v>
      </c>
      <c r="E85" s="107">
        <f t="shared" si="5"/>
        <v>0</v>
      </c>
    </row>
    <row r="86" spans="1:5" ht="15" customHeight="1">
      <c r="A86" s="21" t="s">
        <v>304</v>
      </c>
      <c r="B86" s="36">
        <v>0</v>
      </c>
      <c r="C86" s="36">
        <v>0</v>
      </c>
      <c r="D86" s="40" t="str">
        <f t="shared" si="4"/>
        <v>   </v>
      </c>
      <c r="E86" s="147">
        <f t="shared" si="5"/>
        <v>0</v>
      </c>
    </row>
    <row r="87" spans="1:5" ht="15" customHeight="1">
      <c r="A87" s="38" t="s">
        <v>251</v>
      </c>
      <c r="B87" s="36">
        <v>0</v>
      </c>
      <c r="C87" s="36">
        <v>0</v>
      </c>
      <c r="D87" s="40" t="str">
        <f t="shared" si="4"/>
        <v>   </v>
      </c>
      <c r="E87" s="147">
        <f t="shared" si="5"/>
        <v>0</v>
      </c>
    </row>
    <row r="88" spans="1:5" ht="15" customHeight="1">
      <c r="A88" s="21" t="s">
        <v>58</v>
      </c>
      <c r="B88" s="36">
        <f>B89+B90+B91+B92+B96</f>
        <v>193732.83000000002</v>
      </c>
      <c r="C88" s="36">
        <f>C89+C90+C91+C92+C96</f>
        <v>98040.28</v>
      </c>
      <c r="D88" s="40">
        <f t="shared" si="0"/>
        <v>50.60591950264701</v>
      </c>
      <c r="E88" s="41">
        <f t="shared" si="1"/>
        <v>-95692.55000000002</v>
      </c>
    </row>
    <row r="89" spans="1:5" ht="15" customHeight="1">
      <c r="A89" s="21" t="s">
        <v>60</v>
      </c>
      <c r="B89" s="36">
        <v>122830.83</v>
      </c>
      <c r="C89" s="107">
        <v>27138.28</v>
      </c>
      <c r="D89" s="40">
        <f t="shared" si="0"/>
        <v>22.094029650373606</v>
      </c>
      <c r="E89" s="41">
        <f t="shared" si="1"/>
        <v>-95692.55</v>
      </c>
    </row>
    <row r="90" spans="1:5" ht="15" customHeight="1">
      <c r="A90" s="17" t="s">
        <v>59</v>
      </c>
      <c r="B90" s="108">
        <v>0</v>
      </c>
      <c r="C90" s="139">
        <v>0</v>
      </c>
      <c r="D90" s="90" t="str">
        <f t="shared" si="0"/>
        <v>   </v>
      </c>
      <c r="E90" s="91">
        <f t="shared" si="1"/>
        <v>0</v>
      </c>
    </row>
    <row r="91" spans="1:5" ht="29.25" customHeight="1">
      <c r="A91" s="17" t="s">
        <v>157</v>
      </c>
      <c r="B91" s="36">
        <v>0</v>
      </c>
      <c r="C91" s="107">
        <v>0</v>
      </c>
      <c r="D91" s="40" t="str">
        <f t="shared" si="0"/>
        <v>   </v>
      </c>
      <c r="E91" s="107">
        <f t="shared" si="1"/>
        <v>0</v>
      </c>
    </row>
    <row r="92" spans="1:5" ht="18" customHeight="1">
      <c r="A92" s="17" t="s">
        <v>341</v>
      </c>
      <c r="B92" s="36">
        <f>SUM(B93+B94+B95)</f>
        <v>70902</v>
      </c>
      <c r="C92" s="36">
        <f>SUM(C93+C94+C95)</f>
        <v>70902</v>
      </c>
      <c r="D92" s="40">
        <f>IF(B92=0,"   ",C92/B92*100)</f>
        <v>100</v>
      </c>
      <c r="E92" s="107">
        <f>C92-B92</f>
        <v>0</v>
      </c>
    </row>
    <row r="93" spans="1:5" ht="19.5" customHeight="1">
      <c r="A93" s="17" t="s">
        <v>344</v>
      </c>
      <c r="B93" s="36">
        <v>42541.2</v>
      </c>
      <c r="C93" s="107">
        <v>42541.2</v>
      </c>
      <c r="D93" s="40">
        <f>IF(B93=0,"   ",C93/B93*100)</f>
        <v>100</v>
      </c>
      <c r="E93" s="107">
        <f>C93-B93</f>
        <v>0</v>
      </c>
    </row>
    <row r="94" spans="1:5" ht="15" customHeight="1">
      <c r="A94" s="17" t="s">
        <v>342</v>
      </c>
      <c r="B94" s="36">
        <v>14180.4</v>
      </c>
      <c r="C94" s="107">
        <v>14180.4</v>
      </c>
      <c r="D94" s="40">
        <f>IF(B94=0,"   ",C94/B94*100)</f>
        <v>100</v>
      </c>
      <c r="E94" s="107">
        <f>C94-B94</f>
        <v>0</v>
      </c>
    </row>
    <row r="95" spans="1:5" ht="13.5" customHeight="1">
      <c r="A95" s="17" t="s">
        <v>343</v>
      </c>
      <c r="B95" s="36">
        <v>14180.4</v>
      </c>
      <c r="C95" s="107">
        <v>14180.4</v>
      </c>
      <c r="D95" s="40">
        <f>IF(B95=0,"   ",C95/B95*100)</f>
        <v>100</v>
      </c>
      <c r="E95" s="107">
        <f>C95-B95</f>
        <v>0</v>
      </c>
    </row>
    <row r="96" spans="1:5" ht="28.5" customHeight="1" thickBot="1">
      <c r="A96" s="17" t="s">
        <v>259</v>
      </c>
      <c r="B96" s="108">
        <v>0</v>
      </c>
      <c r="C96" s="139">
        <v>0</v>
      </c>
      <c r="D96" s="90" t="str">
        <f t="shared" si="0"/>
        <v>   </v>
      </c>
      <c r="E96" s="139">
        <f t="shared" si="1"/>
        <v>0</v>
      </c>
    </row>
    <row r="97" spans="1:5" ht="21" customHeight="1" thickBot="1">
      <c r="A97" s="62" t="s">
        <v>290</v>
      </c>
      <c r="B97" s="111">
        <f>SUM(B98)</f>
        <v>100</v>
      </c>
      <c r="C97" s="111">
        <f>SUM(C98)</f>
        <v>100</v>
      </c>
      <c r="D97" s="40">
        <f t="shared" si="0"/>
        <v>100</v>
      </c>
      <c r="E97" s="107">
        <f t="shared" si="1"/>
        <v>0</v>
      </c>
    </row>
    <row r="98" spans="1:5" ht="14.25" customHeight="1">
      <c r="A98" s="62" t="s">
        <v>247</v>
      </c>
      <c r="B98" s="36">
        <v>100</v>
      </c>
      <c r="C98" s="99">
        <v>100</v>
      </c>
      <c r="D98" s="40">
        <f t="shared" si="0"/>
        <v>100</v>
      </c>
      <c r="E98" s="107">
        <f t="shared" si="1"/>
        <v>0</v>
      </c>
    </row>
    <row r="99" spans="1:5" ht="18.75" customHeight="1" thickBot="1">
      <c r="A99" s="112" t="s">
        <v>17</v>
      </c>
      <c r="B99" s="106">
        <v>0</v>
      </c>
      <c r="C99" s="106">
        <v>0</v>
      </c>
      <c r="D99" s="110" t="str">
        <f t="shared" si="0"/>
        <v>   </v>
      </c>
      <c r="E99" s="113">
        <f t="shared" si="1"/>
        <v>0</v>
      </c>
    </row>
    <row r="100" spans="1:5" ht="19.5" customHeight="1" thickBot="1">
      <c r="A100" s="92" t="s">
        <v>41</v>
      </c>
      <c r="B100" s="111">
        <f>B101</f>
        <v>509980</v>
      </c>
      <c r="C100" s="111">
        <f>C101</f>
        <v>509980</v>
      </c>
      <c r="D100" s="94">
        <f t="shared" si="0"/>
        <v>100</v>
      </c>
      <c r="E100" s="95">
        <f t="shared" si="1"/>
        <v>0</v>
      </c>
    </row>
    <row r="101" spans="1:5" ht="13.5">
      <c r="A101" s="68" t="s">
        <v>42</v>
      </c>
      <c r="B101" s="96">
        <f>SUM(B102:B104)</f>
        <v>509980</v>
      </c>
      <c r="C101" s="96">
        <f>SUM(C102:C104)</f>
        <v>509980</v>
      </c>
      <c r="D101" s="97">
        <f t="shared" si="0"/>
        <v>100</v>
      </c>
      <c r="E101" s="98">
        <f t="shared" si="1"/>
        <v>0</v>
      </c>
    </row>
    <row r="102" spans="1:5" ht="13.5">
      <c r="A102" s="21" t="s">
        <v>133</v>
      </c>
      <c r="B102" s="96">
        <v>509980</v>
      </c>
      <c r="C102" s="114">
        <v>509980</v>
      </c>
      <c r="D102" s="97">
        <f t="shared" si="0"/>
        <v>100</v>
      </c>
      <c r="E102" s="98">
        <f t="shared" si="1"/>
        <v>0</v>
      </c>
    </row>
    <row r="103" spans="1:5" ht="13.5">
      <c r="A103" s="21" t="s">
        <v>203</v>
      </c>
      <c r="B103" s="96">
        <v>0</v>
      </c>
      <c r="C103" s="114">
        <v>0</v>
      </c>
      <c r="D103" s="97" t="str">
        <f t="shared" si="0"/>
        <v>   </v>
      </c>
      <c r="E103" s="98">
        <f t="shared" si="1"/>
        <v>0</v>
      </c>
    </row>
    <row r="104" spans="1:5" ht="13.5">
      <c r="A104" s="68" t="s">
        <v>189</v>
      </c>
      <c r="B104" s="96">
        <v>0</v>
      </c>
      <c r="C104" s="114">
        <v>0</v>
      </c>
      <c r="D104" s="97" t="str">
        <f t="shared" si="0"/>
        <v>   </v>
      </c>
      <c r="E104" s="98">
        <f t="shared" si="1"/>
        <v>0</v>
      </c>
    </row>
    <row r="105" spans="1:5" ht="18.75" customHeight="1">
      <c r="A105" s="21" t="s">
        <v>118</v>
      </c>
      <c r="B105" s="36">
        <f>SUM(B106,)</f>
        <v>0</v>
      </c>
      <c r="C105" s="36">
        <f>SUM(C106,)</f>
        <v>0</v>
      </c>
      <c r="D105" s="40" t="str">
        <f t="shared" si="0"/>
        <v>   </v>
      </c>
      <c r="E105" s="41">
        <f t="shared" si="1"/>
        <v>0</v>
      </c>
    </row>
    <row r="106" spans="1:5" ht="14.25" customHeight="1">
      <c r="A106" s="17" t="s">
        <v>43</v>
      </c>
      <c r="B106" s="108">
        <v>0</v>
      </c>
      <c r="C106" s="142">
        <v>0</v>
      </c>
      <c r="D106" s="90" t="str">
        <f t="shared" si="0"/>
        <v>   </v>
      </c>
      <c r="E106" s="91">
        <f t="shared" si="1"/>
        <v>0</v>
      </c>
    </row>
    <row r="107" spans="1:5" ht="22.5" customHeight="1">
      <c r="A107" s="44" t="s">
        <v>15</v>
      </c>
      <c r="B107" s="116">
        <f>SUM(B51,B59,B61,B63,B81,B99,B100,B105,)</f>
        <v>4096386.77</v>
      </c>
      <c r="C107" s="116">
        <f>SUM(C51,C59,C61,C63,C81,C99,C100,C105,)</f>
        <v>3229879.7899999996</v>
      </c>
      <c r="D107" s="46">
        <f>IF(B107=0,"   ",C107/B107*100)</f>
        <v>78.84704182852343</v>
      </c>
      <c r="E107" s="47">
        <f t="shared" si="1"/>
        <v>-866506.9800000004</v>
      </c>
    </row>
    <row r="108" spans="1:5" ht="42.75" customHeight="1">
      <c r="A108" s="71" t="s">
        <v>276</v>
      </c>
      <c r="B108" s="71"/>
      <c r="C108" s="168"/>
      <c r="D108" s="168"/>
      <c r="E108" s="168"/>
    </row>
    <row r="109" spans="1:5" ht="18" customHeight="1">
      <c r="A109" s="71" t="s">
        <v>144</v>
      </c>
      <c r="B109" s="71"/>
      <c r="C109" s="72" t="s">
        <v>277</v>
      </c>
      <c r="D109" s="73"/>
      <c r="E109" s="74"/>
    </row>
    <row r="110" spans="1:5" s="13" customFormat="1" ht="23.25" customHeight="1">
      <c r="A110" s="71"/>
      <c r="B110" s="71"/>
      <c r="C110" s="117"/>
      <c r="D110" s="71"/>
      <c r="E110" s="118"/>
    </row>
    <row r="111" spans="1:5" s="13" customFormat="1" ht="12" customHeight="1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3.5">
      <c r="A114" s="22"/>
      <c r="B114" s="22"/>
      <c r="C114" s="22"/>
      <c r="D114" s="22"/>
      <c r="E114" s="22"/>
    </row>
    <row r="115" spans="1:5" ht="13.5">
      <c r="A115" s="122"/>
      <c r="B115" s="122"/>
      <c r="C115" s="122"/>
      <c r="D115" s="122"/>
      <c r="E115" s="122"/>
    </row>
    <row r="116" spans="1:5" ht="13.5">
      <c r="A116" s="122"/>
      <c r="B116" s="122"/>
      <c r="C116" s="122"/>
      <c r="D116" s="122"/>
      <c r="E116" s="122"/>
    </row>
    <row r="117" spans="1:5" ht="13.5">
      <c r="A117" s="122"/>
      <c r="B117" s="122"/>
      <c r="C117" s="122"/>
      <c r="D117" s="122"/>
      <c r="E117" s="122"/>
    </row>
    <row r="118" spans="1:5" ht="13.5">
      <c r="A118" s="122"/>
      <c r="B118" s="122"/>
      <c r="C118" s="122"/>
      <c r="D118" s="122"/>
      <c r="E118" s="122"/>
    </row>
    <row r="119" spans="1:5" ht="13.5">
      <c r="A119" s="122"/>
      <c r="B119" s="122"/>
      <c r="C119" s="122"/>
      <c r="D119" s="122"/>
      <c r="E119" s="122"/>
    </row>
    <row r="120" spans="1:5" ht="13.5">
      <c r="A120" s="122"/>
      <c r="B120" s="122"/>
      <c r="C120" s="122"/>
      <c r="D120" s="122"/>
      <c r="E120" s="122"/>
    </row>
    <row r="121" spans="1:5" ht="13.5">
      <c r="A121" s="122"/>
      <c r="B121" s="122"/>
      <c r="C121" s="122"/>
      <c r="D121" s="122"/>
      <c r="E121" s="122"/>
    </row>
    <row r="122" spans="1:5" ht="13.5">
      <c r="A122" s="122"/>
      <c r="B122" s="122"/>
      <c r="C122" s="122"/>
      <c r="D122" s="122"/>
      <c r="E122" s="122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3.5">
      <c r="A128" s="122"/>
      <c r="B128" s="122"/>
      <c r="C128" s="122"/>
      <c r="D128" s="122"/>
      <c r="E128" s="122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</sheetData>
  <sheetProtection/>
  <mergeCells count="2">
    <mergeCell ref="A1:E1"/>
    <mergeCell ref="C108:E108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4">
      <selection activeCell="C38" sqref="C38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169" t="s">
        <v>363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85.5" customHeight="1">
      <c r="A4" s="24" t="s">
        <v>1</v>
      </c>
      <c r="B4" s="25" t="s">
        <v>319</v>
      </c>
      <c r="C4" s="26" t="s">
        <v>359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5" customHeight="1">
      <c r="A7" s="38" t="s">
        <v>45</v>
      </c>
      <c r="B7" s="79">
        <f>SUM(B8)</f>
        <v>55700</v>
      </c>
      <c r="C7" s="79">
        <f>SUM(C8)</f>
        <v>48337.02</v>
      </c>
      <c r="D7" s="40">
        <f aca="true" t="shared" si="0" ref="D7:D109">IF(B7=0,"   ",C7/B7*100)</f>
        <v>86.7810053859964</v>
      </c>
      <c r="E7" s="41">
        <f aca="true" t="shared" si="1" ref="E7:E111">C7-B7</f>
        <v>-7362.980000000003</v>
      </c>
    </row>
    <row r="8" spans="1:5" ht="12.75" customHeight="1">
      <c r="A8" s="21" t="s">
        <v>44</v>
      </c>
      <c r="B8" s="80">
        <v>55700</v>
      </c>
      <c r="C8" s="81">
        <v>48337.02</v>
      </c>
      <c r="D8" s="40">
        <f t="shared" si="0"/>
        <v>86.7810053859964</v>
      </c>
      <c r="E8" s="41">
        <f t="shared" si="1"/>
        <v>-7362.980000000003</v>
      </c>
    </row>
    <row r="9" spans="1:5" ht="12.75" customHeight="1">
      <c r="A9" s="38" t="s">
        <v>128</v>
      </c>
      <c r="B9" s="79">
        <f>SUM(B10)</f>
        <v>809200</v>
      </c>
      <c r="C9" s="79">
        <f>SUM(C10)</f>
        <v>799105.93</v>
      </c>
      <c r="D9" s="40">
        <f t="shared" si="0"/>
        <v>98.75258650519032</v>
      </c>
      <c r="E9" s="41">
        <f t="shared" si="1"/>
        <v>-10094.069999999949</v>
      </c>
    </row>
    <row r="10" spans="1:5" ht="12.75" customHeight="1">
      <c r="A10" s="21" t="s">
        <v>129</v>
      </c>
      <c r="B10" s="80">
        <v>809200</v>
      </c>
      <c r="C10" s="81">
        <v>799105.93</v>
      </c>
      <c r="D10" s="40">
        <f t="shared" si="0"/>
        <v>98.75258650519032</v>
      </c>
      <c r="E10" s="41">
        <f t="shared" si="1"/>
        <v>-10094.069999999949</v>
      </c>
    </row>
    <row r="11" spans="1:5" ht="16.5" customHeight="1">
      <c r="A11" s="21" t="s">
        <v>7</v>
      </c>
      <c r="B11" s="80">
        <f>SUM(B12:B12)</f>
        <v>24500</v>
      </c>
      <c r="C11" s="80">
        <f>SUM(C12:C12)</f>
        <v>44977.29</v>
      </c>
      <c r="D11" s="40">
        <f t="shared" si="0"/>
        <v>183.5807755102041</v>
      </c>
      <c r="E11" s="41">
        <f t="shared" si="1"/>
        <v>20477.29</v>
      </c>
    </row>
    <row r="12" spans="1:5" ht="16.5" customHeight="1">
      <c r="A12" s="21" t="s">
        <v>26</v>
      </c>
      <c r="B12" s="80">
        <v>24500</v>
      </c>
      <c r="C12" s="81">
        <v>44977.29</v>
      </c>
      <c r="D12" s="40">
        <f t="shared" si="0"/>
        <v>183.5807755102041</v>
      </c>
      <c r="E12" s="41">
        <f t="shared" si="1"/>
        <v>20477.29</v>
      </c>
    </row>
    <row r="13" spans="1:5" ht="15.75" customHeight="1">
      <c r="A13" s="21" t="s">
        <v>9</v>
      </c>
      <c r="B13" s="80">
        <f>SUM(B14:B15)</f>
        <v>430000</v>
      </c>
      <c r="C13" s="80">
        <f>SUM(C14:C15)</f>
        <v>122124.03</v>
      </c>
      <c r="D13" s="40">
        <f t="shared" si="0"/>
        <v>28.400937209302324</v>
      </c>
      <c r="E13" s="41">
        <f t="shared" si="1"/>
        <v>-307875.97</v>
      </c>
    </row>
    <row r="14" spans="1:5" ht="15.75" customHeight="1">
      <c r="A14" s="21" t="s">
        <v>27</v>
      </c>
      <c r="B14" s="80">
        <v>186000</v>
      </c>
      <c r="C14" s="81">
        <v>23238.59</v>
      </c>
      <c r="D14" s="40">
        <f t="shared" si="0"/>
        <v>12.49386559139785</v>
      </c>
      <c r="E14" s="41">
        <f t="shared" si="1"/>
        <v>-162761.41</v>
      </c>
    </row>
    <row r="15" spans="1:5" ht="14.25" customHeight="1">
      <c r="A15" s="21" t="s">
        <v>150</v>
      </c>
      <c r="B15" s="80">
        <f>SUM(B16:B17)</f>
        <v>244000</v>
      </c>
      <c r="C15" s="80">
        <f>SUM(C16:C17)</f>
        <v>98885.44</v>
      </c>
      <c r="D15" s="40">
        <f t="shared" si="0"/>
        <v>40.52681967213115</v>
      </c>
      <c r="E15" s="41">
        <f t="shared" si="1"/>
        <v>-145114.56</v>
      </c>
    </row>
    <row r="16" spans="1:5" ht="14.25" customHeight="1">
      <c r="A16" s="21" t="s">
        <v>151</v>
      </c>
      <c r="B16" s="80">
        <v>56000</v>
      </c>
      <c r="C16" s="81">
        <v>49515.64</v>
      </c>
      <c r="D16" s="40">
        <f t="shared" si="0"/>
        <v>88.42078571428571</v>
      </c>
      <c r="E16" s="41">
        <f t="shared" si="1"/>
        <v>-6484.360000000001</v>
      </c>
    </row>
    <row r="17" spans="1:5" ht="14.25" customHeight="1">
      <c r="A17" s="21" t="s">
        <v>152</v>
      </c>
      <c r="B17" s="80">
        <v>188000</v>
      </c>
      <c r="C17" s="81">
        <v>49369.8</v>
      </c>
      <c r="D17" s="40">
        <f t="shared" si="0"/>
        <v>26.26053191489362</v>
      </c>
      <c r="E17" s="41">
        <f t="shared" si="1"/>
        <v>-138630.2</v>
      </c>
    </row>
    <row r="18" spans="1:5" ht="14.25" customHeight="1">
      <c r="A18" s="21" t="s">
        <v>182</v>
      </c>
      <c r="B18" s="80">
        <v>0</v>
      </c>
      <c r="C18" s="81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84</v>
      </c>
      <c r="B19" s="80">
        <v>0</v>
      </c>
      <c r="C19" s="80">
        <v>0</v>
      </c>
      <c r="D19" s="40" t="str">
        <f t="shared" si="0"/>
        <v>   </v>
      </c>
      <c r="E19" s="41">
        <f t="shared" si="1"/>
        <v>0</v>
      </c>
    </row>
    <row r="20" spans="1:5" ht="28.5" customHeight="1">
      <c r="A20" s="21" t="s">
        <v>28</v>
      </c>
      <c r="B20" s="36">
        <f>SUM(B21:B23)</f>
        <v>248600</v>
      </c>
      <c r="C20" s="36">
        <f>SUM(C21:C23)</f>
        <v>150739.16</v>
      </c>
      <c r="D20" s="40">
        <f t="shared" si="0"/>
        <v>60.63522123893805</v>
      </c>
      <c r="E20" s="41">
        <f t="shared" si="1"/>
        <v>-97860.84</v>
      </c>
    </row>
    <row r="21" spans="1:5" ht="13.5" customHeight="1">
      <c r="A21" s="21" t="s">
        <v>142</v>
      </c>
      <c r="B21" s="80">
        <v>148600</v>
      </c>
      <c r="C21" s="81">
        <v>7246.22</v>
      </c>
      <c r="D21" s="40">
        <f t="shared" si="0"/>
        <v>4.876325706594885</v>
      </c>
      <c r="E21" s="41">
        <f t="shared" si="1"/>
        <v>-141353.78</v>
      </c>
    </row>
    <row r="22" spans="1:5" ht="15.75" customHeight="1">
      <c r="A22" s="21" t="s">
        <v>30</v>
      </c>
      <c r="B22" s="80">
        <v>100000</v>
      </c>
      <c r="C22" s="81">
        <v>143492.94</v>
      </c>
      <c r="D22" s="40">
        <f t="shared" si="0"/>
        <v>143.49294</v>
      </c>
      <c r="E22" s="41">
        <f t="shared" si="1"/>
        <v>43492.94</v>
      </c>
    </row>
    <row r="23" spans="1:5" ht="15.75" customHeight="1">
      <c r="A23" s="21" t="s">
        <v>237</v>
      </c>
      <c r="B23" s="80">
        <v>0</v>
      </c>
      <c r="C23" s="81">
        <v>0</v>
      </c>
      <c r="D23" s="40" t="str">
        <f>IF(B23=0,"   ",C23/B23*100)</f>
        <v>   </v>
      </c>
      <c r="E23" s="41">
        <f>C23-B23</f>
        <v>0</v>
      </c>
    </row>
    <row r="24" spans="1:5" ht="17.25" customHeight="1">
      <c r="A24" s="21" t="s">
        <v>87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8.75" customHeight="1">
      <c r="A25" s="21" t="s">
        <v>78</v>
      </c>
      <c r="B25" s="80">
        <f>SUM(B26+B27)</f>
        <v>1479953.55</v>
      </c>
      <c r="C25" s="80">
        <f>SUM(C26+C27)</f>
        <v>1178502.65</v>
      </c>
      <c r="D25" s="40">
        <f t="shared" si="0"/>
        <v>79.63105666390678</v>
      </c>
      <c r="E25" s="41">
        <f t="shared" si="1"/>
        <v>-301450.90000000014</v>
      </c>
    </row>
    <row r="26" spans="1:5" ht="18.75" customHeight="1">
      <c r="A26" s="21" t="s">
        <v>126</v>
      </c>
      <c r="B26" s="80">
        <v>1479953.55</v>
      </c>
      <c r="C26" s="149">
        <v>1178502.65</v>
      </c>
      <c r="D26" s="40">
        <f>IF(B26=0,"   ",C26/B26*100)</f>
        <v>79.63105666390678</v>
      </c>
      <c r="E26" s="41">
        <f>C26-B26</f>
        <v>-301450.90000000014</v>
      </c>
    </row>
    <row r="27" spans="1:5" ht="27" customHeight="1">
      <c r="A27" s="21" t="s">
        <v>183</v>
      </c>
      <c r="B27" s="80">
        <v>0</v>
      </c>
      <c r="C27" s="150">
        <v>0</v>
      </c>
      <c r="D27" s="40" t="str">
        <f t="shared" si="0"/>
        <v>   </v>
      </c>
      <c r="E27" s="41">
        <f t="shared" si="1"/>
        <v>0</v>
      </c>
    </row>
    <row r="28" spans="1:5" ht="16.5" customHeight="1">
      <c r="A28" s="21" t="s">
        <v>32</v>
      </c>
      <c r="B28" s="80">
        <f>B29+B31+B30</f>
        <v>397980.3</v>
      </c>
      <c r="C28" s="80">
        <f>C29+C31+C30</f>
        <v>397980.3</v>
      </c>
      <c r="D28" s="40">
        <f t="shared" si="0"/>
        <v>100</v>
      </c>
      <c r="E28" s="41">
        <f t="shared" si="1"/>
        <v>0</v>
      </c>
    </row>
    <row r="29" spans="1:5" ht="13.5" customHeight="1">
      <c r="A29" s="21" t="s">
        <v>46</v>
      </c>
      <c r="B29" s="80">
        <v>0</v>
      </c>
      <c r="C29" s="82">
        <v>0</v>
      </c>
      <c r="D29" s="40" t="str">
        <f t="shared" si="0"/>
        <v>   </v>
      </c>
      <c r="E29" s="41">
        <f t="shared" si="1"/>
        <v>0</v>
      </c>
    </row>
    <row r="30" spans="1:5" ht="13.5" customHeight="1">
      <c r="A30" s="21" t="s">
        <v>301</v>
      </c>
      <c r="B30" s="80">
        <v>397980.3</v>
      </c>
      <c r="C30" s="82">
        <v>397980.3</v>
      </c>
      <c r="D30" s="40">
        <f t="shared" si="0"/>
        <v>100</v>
      </c>
      <c r="E30" s="41">
        <f t="shared" si="1"/>
        <v>0</v>
      </c>
    </row>
    <row r="31" spans="1:5" ht="13.5" customHeight="1">
      <c r="A31" s="21" t="s">
        <v>20</v>
      </c>
      <c r="B31" s="80">
        <v>0</v>
      </c>
      <c r="C31" s="82">
        <v>0</v>
      </c>
      <c r="D31" s="40"/>
      <c r="E31" s="41">
        <f t="shared" si="1"/>
        <v>0</v>
      </c>
    </row>
    <row r="32" spans="1:5" ht="12" customHeight="1">
      <c r="A32" s="21" t="s">
        <v>31</v>
      </c>
      <c r="B32" s="80">
        <v>0</v>
      </c>
      <c r="C32" s="80">
        <v>0</v>
      </c>
      <c r="D32" s="40" t="str">
        <f t="shared" si="0"/>
        <v>   </v>
      </c>
      <c r="E32" s="41">
        <f t="shared" si="1"/>
        <v>0</v>
      </c>
    </row>
    <row r="33" spans="1:5" ht="21" customHeight="1">
      <c r="A33" s="44" t="s">
        <v>10</v>
      </c>
      <c r="B33" s="83">
        <f>SUM(B7,B9,B11,B13,B20,B24,B25,B28,B32,B18)</f>
        <v>3445933.8499999996</v>
      </c>
      <c r="C33" s="83">
        <f>SUM(C7,C9,C11,C13,C20,C24,C25,C28,C32,C18)</f>
        <v>2741766.38</v>
      </c>
      <c r="D33" s="46">
        <f t="shared" si="0"/>
        <v>79.56526443477723</v>
      </c>
      <c r="E33" s="47">
        <f t="shared" si="1"/>
        <v>-704167.4699999997</v>
      </c>
    </row>
    <row r="34" spans="1:5" ht="21" customHeight="1">
      <c r="A34" s="64" t="s">
        <v>131</v>
      </c>
      <c r="B34" s="84">
        <f>SUM(B35:B38,B41:B45,B50)</f>
        <v>5260407.58</v>
      </c>
      <c r="C34" s="84">
        <f>SUM(C35:C38,C41:C45,C50)</f>
        <v>4801243.05</v>
      </c>
      <c r="D34" s="46">
        <f t="shared" si="0"/>
        <v>91.27131266889398</v>
      </c>
      <c r="E34" s="47">
        <f t="shared" si="1"/>
        <v>-459164.53000000026</v>
      </c>
    </row>
    <row r="35" spans="1:5" ht="18" customHeight="1">
      <c r="A35" s="38" t="s">
        <v>34</v>
      </c>
      <c r="B35" s="79">
        <v>2192100</v>
      </c>
      <c r="C35" s="81">
        <v>1827200</v>
      </c>
      <c r="D35" s="40">
        <f t="shared" si="0"/>
        <v>83.35386159390539</v>
      </c>
      <c r="E35" s="41">
        <f t="shared" si="1"/>
        <v>-364900</v>
      </c>
    </row>
    <row r="36" spans="1:5" ht="18" customHeight="1">
      <c r="A36" s="38" t="s">
        <v>207</v>
      </c>
      <c r="B36" s="79">
        <v>0</v>
      </c>
      <c r="C36" s="81">
        <v>0</v>
      </c>
      <c r="D36" s="54" t="str">
        <f>IF(B36=0,"   ",C36/B36*100)</f>
        <v>   </v>
      </c>
      <c r="E36" s="55">
        <f>C36-B36</f>
        <v>0</v>
      </c>
    </row>
    <row r="37" spans="1:5" ht="28.5" customHeight="1">
      <c r="A37" s="52" t="s">
        <v>51</v>
      </c>
      <c r="B37" s="85">
        <v>99900</v>
      </c>
      <c r="C37" s="86">
        <v>98500</v>
      </c>
      <c r="D37" s="54">
        <f t="shared" si="0"/>
        <v>98.5985985985986</v>
      </c>
      <c r="E37" s="55">
        <f t="shared" si="1"/>
        <v>-1400</v>
      </c>
    </row>
    <row r="38" spans="1:5" ht="30.75" customHeight="1">
      <c r="A38" s="52" t="s">
        <v>138</v>
      </c>
      <c r="B38" s="85">
        <f>SUM(B39:B40)</f>
        <v>100</v>
      </c>
      <c r="C38" s="85">
        <f>SUM(C39:C40)</f>
        <v>100</v>
      </c>
      <c r="D38" s="54">
        <f t="shared" si="0"/>
        <v>100</v>
      </c>
      <c r="E38" s="55">
        <f t="shared" si="1"/>
        <v>0</v>
      </c>
    </row>
    <row r="39" spans="1:5" ht="16.5" customHeight="1">
      <c r="A39" s="52" t="s">
        <v>153</v>
      </c>
      <c r="B39" s="151">
        <v>100</v>
      </c>
      <c r="C39" s="152">
        <v>100</v>
      </c>
      <c r="D39" s="54">
        <f aca="true" t="shared" si="2" ref="D39:D44">IF(B39=0,"   ",C39/B39*100)</f>
        <v>100</v>
      </c>
      <c r="E39" s="55">
        <f aca="true" t="shared" si="3" ref="E39:E44">C39-B39</f>
        <v>0</v>
      </c>
    </row>
    <row r="40" spans="1:5" ht="30.75" customHeight="1">
      <c r="A40" s="52" t="s">
        <v>154</v>
      </c>
      <c r="B40" s="85">
        <v>0</v>
      </c>
      <c r="C40" s="153">
        <v>0</v>
      </c>
      <c r="D40" s="54" t="str">
        <f t="shared" si="2"/>
        <v>   </v>
      </c>
      <c r="E40" s="55">
        <f t="shared" si="3"/>
        <v>0</v>
      </c>
    </row>
    <row r="41" spans="1:5" ht="25.5" customHeight="1">
      <c r="A41" s="21" t="s">
        <v>260</v>
      </c>
      <c r="B41" s="85">
        <v>0</v>
      </c>
      <c r="C41" s="85">
        <v>0</v>
      </c>
      <c r="D41" s="54" t="str">
        <f t="shared" si="2"/>
        <v>   </v>
      </c>
      <c r="E41" s="55">
        <f t="shared" si="3"/>
        <v>0</v>
      </c>
    </row>
    <row r="42" spans="1:5" ht="25.5" customHeight="1">
      <c r="A42" s="21" t="s">
        <v>310</v>
      </c>
      <c r="B42" s="85">
        <v>61600</v>
      </c>
      <c r="C42" s="85">
        <v>61600</v>
      </c>
      <c r="D42" s="54">
        <f t="shared" si="2"/>
        <v>100</v>
      </c>
      <c r="E42" s="55">
        <f t="shared" si="3"/>
        <v>0</v>
      </c>
    </row>
    <row r="43" spans="1:5" ht="57.75" customHeight="1">
      <c r="A43" s="21" t="s">
        <v>214</v>
      </c>
      <c r="B43" s="85">
        <v>1245100</v>
      </c>
      <c r="C43" s="85">
        <v>1245100</v>
      </c>
      <c r="D43" s="54">
        <f t="shared" si="2"/>
        <v>100</v>
      </c>
      <c r="E43" s="55">
        <f t="shared" si="3"/>
        <v>0</v>
      </c>
    </row>
    <row r="44" spans="1:5" ht="30.75" customHeight="1">
      <c r="A44" s="21" t="s">
        <v>239</v>
      </c>
      <c r="B44" s="85">
        <v>0</v>
      </c>
      <c r="C44" s="85">
        <v>0</v>
      </c>
      <c r="D44" s="54" t="str">
        <f t="shared" si="2"/>
        <v>   </v>
      </c>
      <c r="E44" s="55">
        <f t="shared" si="3"/>
        <v>0</v>
      </c>
    </row>
    <row r="45" spans="1:5" ht="15" customHeight="1">
      <c r="A45" s="21" t="s">
        <v>80</v>
      </c>
      <c r="B45" s="80">
        <f>SUM(B46:B49)</f>
        <v>1661607.5799999998</v>
      </c>
      <c r="C45" s="80">
        <f>SUM(C46:C49)</f>
        <v>1568743.05</v>
      </c>
      <c r="D45" s="40">
        <f t="shared" si="0"/>
        <v>94.41116355523607</v>
      </c>
      <c r="E45" s="41">
        <f t="shared" si="1"/>
        <v>-92864.5299999998</v>
      </c>
    </row>
    <row r="46" spans="1:5" ht="15" customHeight="1">
      <c r="A46" s="21" t="s">
        <v>338</v>
      </c>
      <c r="B46" s="80">
        <v>1172720.4</v>
      </c>
      <c r="C46" s="80">
        <v>1172720.4</v>
      </c>
      <c r="D46" s="40">
        <f t="shared" si="0"/>
        <v>100</v>
      </c>
      <c r="E46" s="41">
        <f t="shared" si="1"/>
        <v>0</v>
      </c>
    </row>
    <row r="47" spans="1:5" ht="15" customHeight="1">
      <c r="A47" s="21" t="s">
        <v>338</v>
      </c>
      <c r="B47" s="80">
        <v>42441</v>
      </c>
      <c r="C47" s="80">
        <v>42441</v>
      </c>
      <c r="D47" s="40">
        <f t="shared" si="0"/>
        <v>100</v>
      </c>
      <c r="E47" s="41">
        <f t="shared" si="1"/>
        <v>0</v>
      </c>
    </row>
    <row r="48" spans="1:5" ht="15" customHeight="1">
      <c r="A48" s="21" t="s">
        <v>278</v>
      </c>
      <c r="B48" s="80">
        <v>4646.18</v>
      </c>
      <c r="C48" s="80">
        <v>3221.35</v>
      </c>
      <c r="D48" s="40">
        <f t="shared" si="0"/>
        <v>69.3333017661821</v>
      </c>
      <c r="E48" s="41">
        <f t="shared" si="1"/>
        <v>-1424.8300000000004</v>
      </c>
    </row>
    <row r="49" spans="1:5" s="6" customFormat="1" ht="15" customHeight="1">
      <c r="A49" s="21" t="s">
        <v>103</v>
      </c>
      <c r="B49" s="80">
        <v>441800</v>
      </c>
      <c r="C49" s="80">
        <v>350360.3</v>
      </c>
      <c r="D49" s="54">
        <f>IF(B49=0,"   ",C49/B49*100)</f>
        <v>79.30291987324581</v>
      </c>
      <c r="E49" s="55">
        <f>C49-B49</f>
        <v>-91439.70000000001</v>
      </c>
    </row>
    <row r="50" spans="1:5" s="6" customFormat="1" ht="15" customHeight="1">
      <c r="A50" s="21" t="s">
        <v>184</v>
      </c>
      <c r="B50" s="80">
        <v>0</v>
      </c>
      <c r="C50" s="80">
        <v>0</v>
      </c>
      <c r="D50" s="36" t="str">
        <f t="shared" si="0"/>
        <v>   </v>
      </c>
      <c r="E50" s="41">
        <f t="shared" si="1"/>
        <v>0</v>
      </c>
    </row>
    <row r="51" spans="1:5" ht="43.5" customHeight="1">
      <c r="A51" s="44" t="s">
        <v>11</v>
      </c>
      <c r="B51" s="116">
        <f>SUM(B33:B34,)</f>
        <v>8706341.43</v>
      </c>
      <c r="C51" s="116">
        <f>SUM(C33:C34,)</f>
        <v>7543009.43</v>
      </c>
      <c r="D51" s="40">
        <f t="shared" si="0"/>
        <v>86.63810729968121</v>
      </c>
      <c r="E51" s="41">
        <f t="shared" si="1"/>
        <v>-1163332</v>
      </c>
    </row>
    <row r="52" spans="1:5" ht="12.75" customHeight="1">
      <c r="A52" s="33" t="s">
        <v>12</v>
      </c>
      <c r="B52" s="154"/>
      <c r="C52" s="155"/>
      <c r="D52" s="40" t="str">
        <f t="shared" si="0"/>
        <v>   </v>
      </c>
      <c r="E52" s="41">
        <f t="shared" si="1"/>
        <v>0</v>
      </c>
    </row>
    <row r="53" spans="1:5" ht="21" customHeight="1">
      <c r="A53" s="21" t="s">
        <v>35</v>
      </c>
      <c r="B53" s="36">
        <f>SUM(B54,B57,B58)</f>
        <v>1924700</v>
      </c>
      <c r="C53" s="36">
        <f>SUM(C54,C57,C58)</f>
        <v>1336689.17</v>
      </c>
      <c r="D53" s="40">
        <f t="shared" si="0"/>
        <v>69.44922169688782</v>
      </c>
      <c r="E53" s="41">
        <f t="shared" si="1"/>
        <v>-588010.8300000001</v>
      </c>
    </row>
    <row r="54" spans="1:5" ht="15" customHeight="1">
      <c r="A54" s="21" t="s">
        <v>36</v>
      </c>
      <c r="B54" s="36">
        <v>1884200</v>
      </c>
      <c r="C54" s="36">
        <v>1296689.17</v>
      </c>
      <c r="D54" s="40">
        <f t="shared" si="0"/>
        <v>68.81908343063368</v>
      </c>
      <c r="E54" s="41">
        <f t="shared" si="1"/>
        <v>-587510.8300000001</v>
      </c>
    </row>
    <row r="55" spans="1:5" ht="15" customHeight="1">
      <c r="A55" s="21" t="s">
        <v>115</v>
      </c>
      <c r="B55" s="36">
        <v>1021121</v>
      </c>
      <c r="C55" s="99">
        <v>709208.28</v>
      </c>
      <c r="D55" s="40">
        <f t="shared" si="0"/>
        <v>69.4538923398892</v>
      </c>
      <c r="E55" s="41">
        <f t="shared" si="1"/>
        <v>-311912.72</v>
      </c>
    </row>
    <row r="56" spans="1:5" ht="15" customHeight="1">
      <c r="A56" s="21" t="s">
        <v>312</v>
      </c>
      <c r="B56" s="36">
        <v>61600</v>
      </c>
      <c r="C56" s="99">
        <v>61600</v>
      </c>
      <c r="D56" s="40">
        <f>IF(B56=0,"   ",C56/B56*100)</f>
        <v>100</v>
      </c>
      <c r="E56" s="41">
        <f>C56-B56</f>
        <v>0</v>
      </c>
    </row>
    <row r="57" spans="1:5" ht="12.75" customHeight="1">
      <c r="A57" s="21" t="s">
        <v>90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2.75" customHeight="1">
      <c r="A58" s="21" t="s">
        <v>52</v>
      </c>
      <c r="B58" s="107">
        <f>SUM(B60+B59)</f>
        <v>40000</v>
      </c>
      <c r="C58" s="107">
        <f>SUM(C60+C59)</f>
        <v>40000</v>
      </c>
      <c r="D58" s="40">
        <f t="shared" si="0"/>
        <v>100</v>
      </c>
      <c r="E58" s="41">
        <f t="shared" si="1"/>
        <v>0</v>
      </c>
    </row>
    <row r="59" spans="1:5" ht="18.75" customHeight="1">
      <c r="A59" s="17" t="s">
        <v>316</v>
      </c>
      <c r="B59" s="107">
        <v>0</v>
      </c>
      <c r="C59" s="107">
        <v>0</v>
      </c>
      <c r="D59" s="40" t="str">
        <f>IF(B59=0,"   ",C59/B59*100)</f>
        <v>   </v>
      </c>
      <c r="E59" s="41">
        <f>C59-B59</f>
        <v>0</v>
      </c>
    </row>
    <row r="60" spans="1:5" ht="23.25" customHeight="1">
      <c r="A60" s="17" t="s">
        <v>222</v>
      </c>
      <c r="B60" s="36">
        <v>40000</v>
      </c>
      <c r="C60" s="107">
        <v>40000</v>
      </c>
      <c r="D60" s="40">
        <f t="shared" si="0"/>
        <v>100</v>
      </c>
      <c r="E60" s="41">
        <f t="shared" si="1"/>
        <v>0</v>
      </c>
    </row>
    <row r="61" spans="1:5" ht="21.75" customHeight="1">
      <c r="A61" s="21" t="s">
        <v>49</v>
      </c>
      <c r="B61" s="107">
        <f>SUM(B62)</f>
        <v>99900</v>
      </c>
      <c r="C61" s="107">
        <f>SUM(C62)</f>
        <v>74255.58</v>
      </c>
      <c r="D61" s="40">
        <f t="shared" si="0"/>
        <v>74.3299099099099</v>
      </c>
      <c r="E61" s="41">
        <f t="shared" si="1"/>
        <v>-25644.42</v>
      </c>
    </row>
    <row r="62" spans="1:5" ht="13.5" customHeight="1">
      <c r="A62" s="21" t="s">
        <v>101</v>
      </c>
      <c r="B62" s="36">
        <v>99900</v>
      </c>
      <c r="C62" s="107">
        <v>74255.58</v>
      </c>
      <c r="D62" s="40">
        <f t="shared" si="0"/>
        <v>74.3299099099099</v>
      </c>
      <c r="E62" s="41">
        <f t="shared" si="1"/>
        <v>-25644.42</v>
      </c>
    </row>
    <row r="63" spans="1:5" ht="16.5" customHeight="1">
      <c r="A63" s="21" t="s">
        <v>37</v>
      </c>
      <c r="B63" s="36">
        <f>SUM(B64)</f>
        <v>5000</v>
      </c>
      <c r="C63" s="107">
        <f>SUM(C64)</f>
        <v>5000</v>
      </c>
      <c r="D63" s="40">
        <f t="shared" si="0"/>
        <v>100</v>
      </c>
      <c r="E63" s="41">
        <f t="shared" si="1"/>
        <v>0</v>
      </c>
    </row>
    <row r="64" spans="1:5" ht="15" customHeight="1">
      <c r="A64" s="60" t="s">
        <v>303</v>
      </c>
      <c r="B64" s="36">
        <v>5000</v>
      </c>
      <c r="C64" s="107">
        <v>5000</v>
      </c>
      <c r="D64" s="40">
        <f t="shared" si="0"/>
        <v>100</v>
      </c>
      <c r="E64" s="41">
        <f t="shared" si="1"/>
        <v>0</v>
      </c>
    </row>
    <row r="65" spans="1:5" ht="18.75" customHeight="1" thickBot="1">
      <c r="A65" s="21" t="s">
        <v>38</v>
      </c>
      <c r="B65" s="36">
        <f>SUM(B72,B66,B85)</f>
        <v>4737320.7700000005</v>
      </c>
      <c r="C65" s="36">
        <f>SUM(C72,C66,C85)</f>
        <v>4373054.100000001</v>
      </c>
      <c r="D65" s="40">
        <f t="shared" si="0"/>
        <v>92.31070287013729</v>
      </c>
      <c r="E65" s="41">
        <f t="shared" si="1"/>
        <v>-364266.6699999999</v>
      </c>
    </row>
    <row r="66" spans="1:5" ht="18.75" customHeight="1" thickBot="1">
      <c r="A66" s="62" t="s">
        <v>155</v>
      </c>
      <c r="B66" s="93">
        <f>SUM(B67:B71)</f>
        <v>6367.570000000001</v>
      </c>
      <c r="C66" s="93">
        <f>SUM(C67:C71)</f>
        <v>4942.740000000001</v>
      </c>
      <c r="D66" s="40">
        <f aca="true" t="shared" si="4" ref="D66:D71">IF(B66=0,"   ",C66/B66*100)</f>
        <v>77.6236460690656</v>
      </c>
      <c r="E66" s="41">
        <f aca="true" t="shared" si="5" ref="E66:E71">C66-B66</f>
        <v>-1424.83</v>
      </c>
    </row>
    <row r="67" spans="1:5" ht="15" customHeight="1">
      <c r="A67" s="62" t="s">
        <v>156</v>
      </c>
      <c r="B67" s="36">
        <v>0</v>
      </c>
      <c r="C67" s="36">
        <v>0</v>
      </c>
      <c r="D67" s="40" t="str">
        <f t="shared" si="4"/>
        <v>   </v>
      </c>
      <c r="E67" s="41">
        <f t="shared" si="5"/>
        <v>0</v>
      </c>
    </row>
    <row r="68" spans="1:5" ht="15" customHeight="1">
      <c r="A68" s="62" t="s">
        <v>177</v>
      </c>
      <c r="B68" s="36">
        <v>0</v>
      </c>
      <c r="C68" s="36">
        <v>0</v>
      </c>
      <c r="D68" s="40" t="str">
        <f t="shared" si="4"/>
        <v>   </v>
      </c>
      <c r="E68" s="41">
        <f t="shared" si="5"/>
        <v>0</v>
      </c>
    </row>
    <row r="69" spans="1:5" ht="15" customHeight="1">
      <c r="A69" s="62" t="s">
        <v>280</v>
      </c>
      <c r="B69" s="36">
        <v>1424.83</v>
      </c>
      <c r="C69" s="36">
        <v>1424.83</v>
      </c>
      <c r="D69" s="40">
        <f t="shared" si="4"/>
        <v>100</v>
      </c>
      <c r="E69" s="41">
        <f t="shared" si="5"/>
        <v>0</v>
      </c>
    </row>
    <row r="70" spans="1:5" ht="15" customHeight="1">
      <c r="A70" s="62" t="s">
        <v>279</v>
      </c>
      <c r="B70" s="36">
        <v>4646.18</v>
      </c>
      <c r="C70" s="36">
        <v>3221.35</v>
      </c>
      <c r="D70" s="40">
        <f t="shared" si="4"/>
        <v>69.3333017661821</v>
      </c>
      <c r="E70" s="41">
        <f t="shared" si="5"/>
        <v>-1424.8300000000004</v>
      </c>
    </row>
    <row r="71" spans="1:5" ht="15" customHeight="1">
      <c r="A71" s="62" t="s">
        <v>375</v>
      </c>
      <c r="B71" s="36">
        <v>296.56</v>
      </c>
      <c r="C71" s="36">
        <v>296.56</v>
      </c>
      <c r="D71" s="40">
        <f t="shared" si="4"/>
        <v>100</v>
      </c>
      <c r="E71" s="41">
        <f t="shared" si="5"/>
        <v>0</v>
      </c>
    </row>
    <row r="72" spans="1:5" ht="13.5" customHeight="1">
      <c r="A72" s="21" t="s">
        <v>39</v>
      </c>
      <c r="B72" s="36">
        <f>SUM(B74,B78:B84)</f>
        <v>4668131.19</v>
      </c>
      <c r="C72" s="36">
        <f>SUM(C74,C78:C84)</f>
        <v>4309111.36</v>
      </c>
      <c r="D72" s="40">
        <f t="shared" si="0"/>
        <v>92.30913152635712</v>
      </c>
      <c r="E72" s="41">
        <f t="shared" si="1"/>
        <v>-359019.8300000001</v>
      </c>
    </row>
    <row r="73" spans="1:5" ht="17.25" customHeight="1" thickBot="1">
      <c r="A73" s="60" t="s">
        <v>139</v>
      </c>
      <c r="B73" s="36">
        <v>0</v>
      </c>
      <c r="C73" s="36">
        <v>0</v>
      </c>
      <c r="D73" s="40" t="str">
        <f t="shared" si="0"/>
        <v>   </v>
      </c>
      <c r="E73" s="41">
        <f t="shared" si="1"/>
        <v>0</v>
      </c>
    </row>
    <row r="74" spans="1:5" ht="17.25" customHeight="1" thickBot="1">
      <c r="A74" s="17" t="s">
        <v>341</v>
      </c>
      <c r="B74" s="93">
        <f>SUM(B75:B77)</f>
        <v>1954534</v>
      </c>
      <c r="C74" s="93">
        <f>SUM(C75:C77)</f>
        <v>1954534</v>
      </c>
      <c r="D74" s="40">
        <f>IF(B74=0,"   ",C74/B74*100)</f>
        <v>100</v>
      </c>
      <c r="E74" s="41">
        <f>C74-B74</f>
        <v>0</v>
      </c>
    </row>
    <row r="75" spans="1:5" ht="23.25" customHeight="1">
      <c r="A75" s="17" t="s">
        <v>344</v>
      </c>
      <c r="B75" s="36">
        <v>1172720.4</v>
      </c>
      <c r="C75" s="36">
        <v>1172720.4</v>
      </c>
      <c r="D75" s="40">
        <f>IF(B75=0,"   ",C75/B75*100)</f>
        <v>100</v>
      </c>
      <c r="E75" s="41">
        <f>C75-B75</f>
        <v>0</v>
      </c>
    </row>
    <row r="76" spans="1:5" ht="18" customHeight="1">
      <c r="A76" s="17" t="s">
        <v>342</v>
      </c>
      <c r="B76" s="36">
        <v>390906.8</v>
      </c>
      <c r="C76" s="36">
        <v>390906.8</v>
      </c>
      <c r="D76" s="40">
        <f>IF(B76=0,"   ",C76/B76*100)</f>
        <v>100</v>
      </c>
      <c r="E76" s="41">
        <f>C76-B76</f>
        <v>0</v>
      </c>
    </row>
    <row r="77" spans="1:5" ht="17.25" customHeight="1">
      <c r="A77" s="17" t="s">
        <v>343</v>
      </c>
      <c r="B77" s="36">
        <v>390906.8</v>
      </c>
      <c r="C77" s="36">
        <v>390906.8</v>
      </c>
      <c r="D77" s="40">
        <f>IF(B77=0,"   ",C77/B77*100)</f>
        <v>100</v>
      </c>
      <c r="E77" s="41">
        <f>C77-B77</f>
        <v>0</v>
      </c>
    </row>
    <row r="78" spans="1:5" ht="24" customHeight="1">
      <c r="A78" s="17" t="s">
        <v>225</v>
      </c>
      <c r="B78" s="36">
        <v>257838.2</v>
      </c>
      <c r="C78" s="36">
        <v>107900</v>
      </c>
      <c r="D78" s="40">
        <f t="shared" si="0"/>
        <v>41.84794960560537</v>
      </c>
      <c r="E78" s="41">
        <f t="shared" si="1"/>
        <v>-149938.2</v>
      </c>
    </row>
    <row r="79" spans="1:5" ht="24" customHeight="1">
      <c r="A79" s="17" t="s">
        <v>226</v>
      </c>
      <c r="B79" s="36">
        <v>100000</v>
      </c>
      <c r="C79" s="36">
        <v>0</v>
      </c>
      <c r="D79" s="40">
        <f t="shared" si="0"/>
        <v>0</v>
      </c>
      <c r="E79" s="41">
        <f t="shared" si="1"/>
        <v>-100000</v>
      </c>
    </row>
    <row r="80" spans="1:5" ht="24" customHeight="1">
      <c r="A80" s="17" t="s">
        <v>227</v>
      </c>
      <c r="B80" s="36">
        <v>1245100</v>
      </c>
      <c r="C80" s="36">
        <v>1245100</v>
      </c>
      <c r="D80" s="40">
        <f t="shared" si="0"/>
        <v>100</v>
      </c>
      <c r="E80" s="41">
        <f t="shared" si="1"/>
        <v>0</v>
      </c>
    </row>
    <row r="81" spans="1:5" ht="24" customHeight="1">
      <c r="A81" s="17" t="s">
        <v>228</v>
      </c>
      <c r="B81" s="36">
        <v>592581</v>
      </c>
      <c r="C81" s="36">
        <v>592581</v>
      </c>
      <c r="D81" s="40">
        <f t="shared" si="0"/>
        <v>100</v>
      </c>
      <c r="E81" s="41">
        <f t="shared" si="1"/>
        <v>0</v>
      </c>
    </row>
    <row r="82" spans="1:5" ht="24" customHeight="1">
      <c r="A82" s="17" t="s">
        <v>229</v>
      </c>
      <c r="B82" s="36">
        <v>441800</v>
      </c>
      <c r="C82" s="36">
        <v>343636.73</v>
      </c>
      <c r="D82" s="40">
        <f t="shared" si="0"/>
        <v>77.7810615663196</v>
      </c>
      <c r="E82" s="41">
        <f t="shared" si="1"/>
        <v>-98163.27000000002</v>
      </c>
    </row>
    <row r="83" spans="1:5" ht="26.25" customHeight="1">
      <c r="A83" s="62" t="s">
        <v>230</v>
      </c>
      <c r="B83" s="36">
        <v>49100</v>
      </c>
      <c r="C83" s="36">
        <v>38181.64</v>
      </c>
      <c r="D83" s="40">
        <f t="shared" si="0"/>
        <v>77.76301425661914</v>
      </c>
      <c r="E83" s="41">
        <f t="shared" si="1"/>
        <v>-10918.36</v>
      </c>
    </row>
    <row r="84" spans="1:5" ht="20.25" customHeight="1">
      <c r="A84" s="60" t="s">
        <v>234</v>
      </c>
      <c r="B84" s="36">
        <v>27177.99</v>
      </c>
      <c r="C84" s="36">
        <v>27177.99</v>
      </c>
      <c r="D84" s="40">
        <f t="shared" si="0"/>
        <v>100</v>
      </c>
      <c r="E84" s="41">
        <f t="shared" si="1"/>
        <v>0</v>
      </c>
    </row>
    <row r="85" spans="1:5" ht="18.75" customHeight="1">
      <c r="A85" s="62" t="s">
        <v>166</v>
      </c>
      <c r="B85" s="36">
        <f>B86+B87</f>
        <v>62822.01</v>
      </c>
      <c r="C85" s="36">
        <f>C86+C87</f>
        <v>59000</v>
      </c>
      <c r="D85" s="40">
        <f>IF(B85=0,"   ",C85/B85*100)</f>
        <v>93.91612907641765</v>
      </c>
      <c r="E85" s="41">
        <f>C85-B85</f>
        <v>-3822.010000000002</v>
      </c>
    </row>
    <row r="86" spans="1:5" ht="26.25" customHeight="1">
      <c r="A86" s="17" t="s">
        <v>145</v>
      </c>
      <c r="B86" s="36">
        <v>32822.01</v>
      </c>
      <c r="C86" s="36">
        <v>29000</v>
      </c>
      <c r="D86" s="40">
        <f>IF(B86=0,"   ",C86/B86*100)</f>
        <v>88.35534447768433</v>
      </c>
      <c r="E86" s="41">
        <f>C86-B86</f>
        <v>-3822.010000000002</v>
      </c>
    </row>
    <row r="87" spans="1:5" ht="26.25" customHeight="1">
      <c r="A87" s="62" t="s">
        <v>167</v>
      </c>
      <c r="B87" s="36">
        <v>30000</v>
      </c>
      <c r="C87" s="36">
        <v>30000</v>
      </c>
      <c r="D87" s="40">
        <f>IF(B87=0,"   ",C87/B87*100)</f>
        <v>100</v>
      </c>
      <c r="E87" s="41">
        <f>C87-B87</f>
        <v>0</v>
      </c>
    </row>
    <row r="88" spans="1:5" ht="20.25" customHeight="1">
      <c r="A88" s="21" t="s">
        <v>13</v>
      </c>
      <c r="B88" s="36">
        <f>B93+B89+B101</f>
        <v>1446447</v>
      </c>
      <c r="C88" s="36">
        <f>C93+C89+C101</f>
        <v>941767.96</v>
      </c>
      <c r="D88" s="40">
        <f t="shared" si="0"/>
        <v>65.1090541167426</v>
      </c>
      <c r="E88" s="41">
        <f t="shared" si="1"/>
        <v>-504679.04000000004</v>
      </c>
    </row>
    <row r="89" spans="1:5" ht="20.25" customHeight="1">
      <c r="A89" s="21" t="s">
        <v>140</v>
      </c>
      <c r="B89" s="36">
        <f>B90+B91+B92</f>
        <v>528409.8200000001</v>
      </c>
      <c r="C89" s="36">
        <f>C90+C91+C92</f>
        <v>378209.82</v>
      </c>
      <c r="D89" s="40">
        <f t="shared" si="0"/>
        <v>71.57509298369965</v>
      </c>
      <c r="E89" s="41">
        <f t="shared" si="1"/>
        <v>-150200.00000000006</v>
      </c>
    </row>
    <row r="90" spans="1:5" ht="31.5" customHeight="1">
      <c r="A90" s="21" t="s">
        <v>181</v>
      </c>
      <c r="B90" s="36">
        <v>15000</v>
      </c>
      <c r="C90" s="36">
        <v>0</v>
      </c>
      <c r="D90" s="40">
        <f>IF(B90=0,"   ",C90/B90*100)</f>
        <v>0</v>
      </c>
      <c r="E90" s="41">
        <f>C90-B90</f>
        <v>-15000</v>
      </c>
    </row>
    <row r="91" spans="1:5" ht="20.25" customHeight="1">
      <c r="A91" s="21" t="s">
        <v>304</v>
      </c>
      <c r="B91" s="36">
        <v>135200</v>
      </c>
      <c r="C91" s="36">
        <v>0</v>
      </c>
      <c r="D91" s="40">
        <f>IF(B91=0,"   ",C91/B91*100)</f>
        <v>0</v>
      </c>
      <c r="E91" s="41">
        <f>C91-B91</f>
        <v>-135200</v>
      </c>
    </row>
    <row r="92" spans="1:5" ht="20.25" customHeight="1">
      <c r="A92" s="38" t="s">
        <v>251</v>
      </c>
      <c r="B92" s="36">
        <v>378209.82</v>
      </c>
      <c r="C92" s="36">
        <v>378209.82</v>
      </c>
      <c r="D92" s="40">
        <f t="shared" si="0"/>
        <v>100</v>
      </c>
      <c r="E92" s="41">
        <f t="shared" si="1"/>
        <v>0</v>
      </c>
    </row>
    <row r="93" spans="1:5" ht="12.75" customHeight="1">
      <c r="A93" s="21" t="s">
        <v>93</v>
      </c>
      <c r="B93" s="36">
        <f>B94+B95+B100+B96</f>
        <v>917937.18</v>
      </c>
      <c r="C93" s="36">
        <f>C94+C95+C100+C96</f>
        <v>563458.14</v>
      </c>
      <c r="D93" s="40">
        <f t="shared" si="0"/>
        <v>61.38308288155405</v>
      </c>
      <c r="E93" s="41">
        <f t="shared" si="1"/>
        <v>-354479.04000000004</v>
      </c>
    </row>
    <row r="94" spans="1:5" ht="12.75" customHeight="1">
      <c r="A94" s="21" t="s">
        <v>94</v>
      </c>
      <c r="B94" s="36">
        <v>800000</v>
      </c>
      <c r="C94" s="36">
        <v>492723.14</v>
      </c>
      <c r="D94" s="40">
        <f t="shared" si="0"/>
        <v>61.5903925</v>
      </c>
      <c r="E94" s="41">
        <f t="shared" si="1"/>
        <v>-307276.86</v>
      </c>
    </row>
    <row r="95" spans="1:5" ht="12.75" customHeight="1">
      <c r="A95" s="21" t="s">
        <v>61</v>
      </c>
      <c r="B95" s="36">
        <v>47202.18</v>
      </c>
      <c r="C95" s="107">
        <v>0</v>
      </c>
      <c r="D95" s="40">
        <v>0</v>
      </c>
      <c r="E95" s="41">
        <f t="shared" si="1"/>
        <v>-47202.18</v>
      </c>
    </row>
    <row r="96" spans="1:5" ht="12.75" customHeight="1">
      <c r="A96" s="17" t="s">
        <v>341</v>
      </c>
      <c r="B96" s="36">
        <f>SUM(B97:B99)</f>
        <v>70735</v>
      </c>
      <c r="C96" s="36">
        <f>SUM(C97:C99)</f>
        <v>70735</v>
      </c>
      <c r="D96" s="40">
        <v>0</v>
      </c>
      <c r="E96" s="41">
        <f>C96-B96</f>
        <v>0</v>
      </c>
    </row>
    <row r="97" spans="1:5" ht="29.25" customHeight="1">
      <c r="A97" s="17" t="s">
        <v>344</v>
      </c>
      <c r="B97" s="36">
        <v>42441</v>
      </c>
      <c r="C97" s="107">
        <v>42441</v>
      </c>
      <c r="D97" s="40">
        <f t="shared" si="0"/>
        <v>100</v>
      </c>
      <c r="E97" s="107">
        <f t="shared" si="1"/>
        <v>0</v>
      </c>
    </row>
    <row r="98" spans="1:5" ht="25.5" customHeight="1">
      <c r="A98" s="17" t="s">
        <v>342</v>
      </c>
      <c r="B98" s="36">
        <v>21220.5</v>
      </c>
      <c r="C98" s="107">
        <v>21220.5</v>
      </c>
      <c r="D98" s="40">
        <f t="shared" si="0"/>
        <v>100</v>
      </c>
      <c r="E98" s="107">
        <f t="shared" si="1"/>
        <v>0</v>
      </c>
    </row>
    <row r="99" spans="1:5" ht="23.25" customHeight="1">
      <c r="A99" s="17" t="s">
        <v>343</v>
      </c>
      <c r="B99" s="36">
        <v>7073.5</v>
      </c>
      <c r="C99" s="107">
        <v>7073.5</v>
      </c>
      <c r="D99" s="40">
        <f t="shared" si="0"/>
        <v>100</v>
      </c>
      <c r="E99" s="107">
        <f t="shared" si="1"/>
        <v>0</v>
      </c>
    </row>
    <row r="100" spans="1:5" ht="19.5" customHeight="1" thickBot="1">
      <c r="A100" s="17" t="s">
        <v>259</v>
      </c>
      <c r="B100" s="100">
        <v>0</v>
      </c>
      <c r="C100" s="101">
        <v>0</v>
      </c>
      <c r="D100" s="40" t="str">
        <f t="shared" si="0"/>
        <v>   </v>
      </c>
      <c r="E100" s="107">
        <f t="shared" si="1"/>
        <v>0</v>
      </c>
    </row>
    <row r="101" spans="1:5" ht="19.5" customHeight="1" thickBot="1">
      <c r="A101" s="62" t="s">
        <v>290</v>
      </c>
      <c r="B101" s="111">
        <f>SUM(B102)</f>
        <v>100</v>
      </c>
      <c r="C101" s="111">
        <f>SUM(C102)</f>
        <v>100</v>
      </c>
      <c r="D101" s="40">
        <f>IF(B101=0,"   ",C101/B101*100)</f>
        <v>100</v>
      </c>
      <c r="E101" s="107">
        <f>C101-B101</f>
        <v>0</v>
      </c>
    </row>
    <row r="102" spans="1:5" ht="19.5" customHeight="1">
      <c r="A102" s="62" t="s">
        <v>247</v>
      </c>
      <c r="B102" s="36">
        <v>100</v>
      </c>
      <c r="C102" s="99">
        <v>100</v>
      </c>
      <c r="D102" s="40">
        <f>IF(B102=0,"   ",C102/B102*100)</f>
        <v>100</v>
      </c>
      <c r="E102" s="107">
        <f>C102-B102</f>
        <v>0</v>
      </c>
    </row>
    <row r="103" spans="1:5" ht="20.25" customHeight="1">
      <c r="A103" s="21" t="s">
        <v>17</v>
      </c>
      <c r="B103" s="36">
        <v>8000</v>
      </c>
      <c r="C103" s="36">
        <v>0</v>
      </c>
      <c r="D103" s="40">
        <f t="shared" si="0"/>
        <v>0</v>
      </c>
      <c r="E103" s="41">
        <f t="shared" si="1"/>
        <v>-8000</v>
      </c>
    </row>
    <row r="104" spans="1:5" ht="18" customHeight="1">
      <c r="A104" s="21" t="s">
        <v>41</v>
      </c>
      <c r="B104" s="143">
        <f>B105</f>
        <v>1374647.72</v>
      </c>
      <c r="C104" s="143">
        <f>C105</f>
        <v>839200</v>
      </c>
      <c r="D104" s="40">
        <f t="shared" si="0"/>
        <v>61.04836808662514</v>
      </c>
      <c r="E104" s="41">
        <f t="shared" si="1"/>
        <v>-535447.72</v>
      </c>
    </row>
    <row r="105" spans="1:5" ht="12.75" customHeight="1">
      <c r="A105" s="21" t="s">
        <v>42</v>
      </c>
      <c r="B105" s="36">
        <f>SUM(B106:B108)</f>
        <v>1374647.72</v>
      </c>
      <c r="C105" s="36">
        <f>SUM(C106:C108)</f>
        <v>839200</v>
      </c>
      <c r="D105" s="40">
        <f t="shared" si="0"/>
        <v>61.04836808662514</v>
      </c>
      <c r="E105" s="41">
        <f t="shared" si="1"/>
        <v>-535447.72</v>
      </c>
    </row>
    <row r="106" spans="1:5" ht="12.75" customHeight="1">
      <c r="A106" s="21" t="s">
        <v>133</v>
      </c>
      <c r="B106" s="36">
        <v>839200</v>
      </c>
      <c r="C106" s="107">
        <v>839200</v>
      </c>
      <c r="D106" s="40">
        <f t="shared" si="0"/>
        <v>100</v>
      </c>
      <c r="E106" s="41">
        <f t="shared" si="1"/>
        <v>0</v>
      </c>
    </row>
    <row r="107" spans="1:5" ht="12.75" customHeight="1">
      <c r="A107" s="21" t="s">
        <v>231</v>
      </c>
      <c r="B107" s="36">
        <v>535447.72</v>
      </c>
      <c r="C107" s="107">
        <v>0</v>
      </c>
      <c r="D107" s="40">
        <f t="shared" si="0"/>
        <v>0</v>
      </c>
      <c r="E107" s="41">
        <f t="shared" si="1"/>
        <v>-535447.72</v>
      </c>
    </row>
    <row r="108" spans="1:5" ht="12.75" customHeight="1">
      <c r="A108" s="68" t="s">
        <v>189</v>
      </c>
      <c r="B108" s="36">
        <v>0</v>
      </c>
      <c r="C108" s="107">
        <v>0</v>
      </c>
      <c r="D108" s="40" t="str">
        <f t="shared" si="0"/>
        <v>   </v>
      </c>
      <c r="E108" s="41">
        <f t="shared" si="1"/>
        <v>0</v>
      </c>
    </row>
    <row r="109" spans="1:5" ht="16.5" customHeight="1">
      <c r="A109" s="21" t="s">
        <v>118</v>
      </c>
      <c r="B109" s="36">
        <f>SUM(B110:B110)</f>
        <v>12000</v>
      </c>
      <c r="C109" s="36">
        <f>SUM(C110:C110)</f>
        <v>10345</v>
      </c>
      <c r="D109" s="40">
        <f t="shared" si="0"/>
        <v>86.20833333333333</v>
      </c>
      <c r="E109" s="41">
        <f t="shared" si="1"/>
        <v>-1655</v>
      </c>
    </row>
    <row r="110" spans="1:5" ht="16.5" customHeight="1">
      <c r="A110" s="21" t="s">
        <v>43</v>
      </c>
      <c r="B110" s="36">
        <v>12000</v>
      </c>
      <c r="C110" s="36">
        <v>10345</v>
      </c>
      <c r="D110" s="40">
        <f>IF(B110=0,"   ",C110/B110*100)</f>
        <v>86.20833333333333</v>
      </c>
      <c r="E110" s="41">
        <f>C110-B110</f>
        <v>-1655</v>
      </c>
    </row>
    <row r="111" spans="1:5" ht="22.5" customHeight="1">
      <c r="A111" s="44" t="s">
        <v>15</v>
      </c>
      <c r="B111" s="116">
        <f>SUM(B53,B61,B63,B65,B88,B103,B104,B109,)</f>
        <v>9608015.49</v>
      </c>
      <c r="C111" s="116">
        <f>SUM(C53,C61,C63,C65,C88,C103,C104,C109,)</f>
        <v>7580311.8100000005</v>
      </c>
      <c r="D111" s="46">
        <f>IF(B111=0,"   ",C111/B111*100)</f>
        <v>78.8957076296304</v>
      </c>
      <c r="E111" s="47">
        <f t="shared" si="1"/>
        <v>-2027703.6799999997</v>
      </c>
    </row>
    <row r="112" spans="1:5" s="13" customFormat="1" ht="30" customHeight="1">
      <c r="A112" s="71" t="s">
        <v>276</v>
      </c>
      <c r="B112" s="71"/>
      <c r="C112" s="168"/>
      <c r="D112" s="168"/>
      <c r="E112" s="168"/>
    </row>
    <row r="113" spans="1:5" s="13" customFormat="1" ht="18" customHeight="1">
      <c r="A113" s="71" t="s">
        <v>144</v>
      </c>
      <c r="B113" s="71"/>
      <c r="C113" s="72" t="s">
        <v>277</v>
      </c>
      <c r="D113" s="73"/>
      <c r="E113" s="74"/>
    </row>
    <row r="114" spans="1:5" ht="13.5">
      <c r="A114" s="71"/>
      <c r="B114" s="71"/>
      <c r="C114" s="117"/>
      <c r="D114" s="71"/>
      <c r="E114" s="118"/>
    </row>
    <row r="115" spans="1:5" ht="13.5">
      <c r="A115" s="71"/>
      <c r="B115" s="71"/>
      <c r="C115" s="117"/>
      <c r="D115" s="71"/>
      <c r="E115" s="118"/>
    </row>
    <row r="116" spans="1:5" ht="13.5">
      <c r="A116" s="119"/>
      <c r="B116" s="119"/>
      <c r="C116" s="120"/>
      <c r="D116" s="119"/>
      <c r="E116" s="121"/>
    </row>
    <row r="117" spans="1:5" ht="13.5">
      <c r="A117" s="119"/>
      <c r="B117" s="119"/>
      <c r="C117" s="120"/>
      <c r="D117" s="119"/>
      <c r="E117" s="121"/>
    </row>
  </sheetData>
  <sheetProtection/>
  <mergeCells count="2">
    <mergeCell ref="A1:E1"/>
    <mergeCell ref="C112:E112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PageLayoutView="0" workbookViewId="0" topLeftCell="A4">
      <selection activeCell="C35" sqref="C35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3.5">
      <c r="A1" s="169" t="s">
        <v>364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319</v>
      </c>
      <c r="C4" s="26" t="s">
        <v>365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78600</v>
      </c>
      <c r="C7" s="143">
        <f>SUM(C8)</f>
        <v>56799.01</v>
      </c>
      <c r="D7" s="40">
        <f aca="true" t="shared" si="0" ref="D7:D109">IF(B7=0,"   ",C7/B7*100)</f>
        <v>72.26337150127226</v>
      </c>
      <c r="E7" s="41">
        <f aca="true" t="shared" si="1" ref="E7:E110">C7-B7</f>
        <v>-21800.989999999998</v>
      </c>
    </row>
    <row r="8" spans="1:5" ht="12" customHeight="1">
      <c r="A8" s="21" t="s">
        <v>44</v>
      </c>
      <c r="B8" s="36">
        <v>78600</v>
      </c>
      <c r="C8" s="86">
        <v>56799.01</v>
      </c>
      <c r="D8" s="40">
        <f t="shared" si="0"/>
        <v>72.26337150127226</v>
      </c>
      <c r="E8" s="41">
        <f t="shared" si="1"/>
        <v>-21800.989999999998</v>
      </c>
    </row>
    <row r="9" spans="1:5" ht="16.5" customHeight="1">
      <c r="A9" s="38" t="s">
        <v>128</v>
      </c>
      <c r="B9" s="143">
        <f>SUM(B10)</f>
        <v>1203900</v>
      </c>
      <c r="C9" s="143">
        <f>SUM(C10)</f>
        <v>1188845.3</v>
      </c>
      <c r="D9" s="40">
        <f t="shared" si="0"/>
        <v>98.74950577290474</v>
      </c>
      <c r="E9" s="41">
        <f t="shared" si="1"/>
        <v>-15054.699999999953</v>
      </c>
    </row>
    <row r="10" spans="1:5" ht="15" customHeight="1">
      <c r="A10" s="21" t="s">
        <v>129</v>
      </c>
      <c r="B10" s="36">
        <v>1203900</v>
      </c>
      <c r="C10" s="86">
        <v>1188845.3</v>
      </c>
      <c r="D10" s="40">
        <f t="shared" si="0"/>
        <v>98.74950577290474</v>
      </c>
      <c r="E10" s="41">
        <f t="shared" si="1"/>
        <v>-15054.699999999953</v>
      </c>
    </row>
    <row r="11" spans="1:5" ht="13.5">
      <c r="A11" s="21" t="s">
        <v>7</v>
      </c>
      <c r="B11" s="36">
        <f>SUM(B12:B12)</f>
        <v>71100</v>
      </c>
      <c r="C11" s="36">
        <f>SUM(C12:C12)</f>
        <v>123749.77</v>
      </c>
      <c r="D11" s="40">
        <f t="shared" si="0"/>
        <v>174.05030942334741</v>
      </c>
      <c r="E11" s="41">
        <f t="shared" si="1"/>
        <v>52649.770000000004</v>
      </c>
    </row>
    <row r="12" spans="1:5" ht="16.5" customHeight="1">
      <c r="A12" s="21" t="s">
        <v>26</v>
      </c>
      <c r="B12" s="36">
        <v>71100</v>
      </c>
      <c r="C12" s="86">
        <v>123749.77</v>
      </c>
      <c r="D12" s="40">
        <f t="shared" si="0"/>
        <v>174.05030942334741</v>
      </c>
      <c r="E12" s="41">
        <f t="shared" si="1"/>
        <v>52649.770000000004</v>
      </c>
    </row>
    <row r="13" spans="1:5" ht="16.5" customHeight="1">
      <c r="A13" s="21" t="s">
        <v>9</v>
      </c>
      <c r="B13" s="36">
        <f>SUM(B14:B15)</f>
        <v>455000</v>
      </c>
      <c r="C13" s="36">
        <f>SUM(C14:C15)</f>
        <v>196965.72</v>
      </c>
      <c r="D13" s="40">
        <f t="shared" si="0"/>
        <v>43.28916923076923</v>
      </c>
      <c r="E13" s="41">
        <f t="shared" si="1"/>
        <v>-258034.28</v>
      </c>
    </row>
    <row r="14" spans="1:5" ht="15" customHeight="1">
      <c r="A14" s="21" t="s">
        <v>27</v>
      </c>
      <c r="B14" s="36">
        <v>261000</v>
      </c>
      <c r="C14" s="86">
        <v>102912.63</v>
      </c>
      <c r="D14" s="40">
        <f t="shared" si="0"/>
        <v>39.430126436781606</v>
      </c>
      <c r="E14" s="41">
        <f t="shared" si="1"/>
        <v>-158087.37</v>
      </c>
    </row>
    <row r="15" spans="1:5" ht="15.75" customHeight="1">
      <c r="A15" s="21" t="s">
        <v>150</v>
      </c>
      <c r="B15" s="36">
        <f>SUM(B16:B17)</f>
        <v>194000</v>
      </c>
      <c r="C15" s="36">
        <f>SUM(C16:C17)</f>
        <v>94053.09</v>
      </c>
      <c r="D15" s="40">
        <f t="shared" si="0"/>
        <v>48.48097422680412</v>
      </c>
      <c r="E15" s="41">
        <f t="shared" si="1"/>
        <v>-99946.91</v>
      </c>
    </row>
    <row r="16" spans="1:5" ht="14.25" customHeight="1">
      <c r="A16" s="21" t="s">
        <v>151</v>
      </c>
      <c r="B16" s="36">
        <v>24000</v>
      </c>
      <c r="C16" s="86">
        <v>668.84</v>
      </c>
      <c r="D16" s="40">
        <f t="shared" si="0"/>
        <v>2.7868333333333335</v>
      </c>
      <c r="E16" s="41">
        <f t="shared" si="1"/>
        <v>-23331.16</v>
      </c>
    </row>
    <row r="17" spans="1:5" ht="12.75" customHeight="1">
      <c r="A17" s="21" t="s">
        <v>152</v>
      </c>
      <c r="B17" s="36">
        <v>170000</v>
      </c>
      <c r="C17" s="86">
        <v>93384.25</v>
      </c>
      <c r="D17" s="40">
        <f t="shared" si="0"/>
        <v>54.93191176470589</v>
      </c>
      <c r="E17" s="41">
        <f t="shared" si="1"/>
        <v>-76615.75</v>
      </c>
    </row>
    <row r="18" spans="1:5" ht="12.75" customHeight="1">
      <c r="A18" s="21" t="s">
        <v>182</v>
      </c>
      <c r="B18" s="36">
        <v>0</v>
      </c>
      <c r="C18" s="86">
        <v>2220</v>
      </c>
      <c r="D18" s="40" t="str">
        <f t="shared" si="0"/>
        <v>   </v>
      </c>
      <c r="E18" s="41">
        <f t="shared" si="1"/>
        <v>2220</v>
      </c>
    </row>
    <row r="19" spans="1:5" ht="13.5" customHeight="1">
      <c r="A19" s="21" t="s">
        <v>84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24.75" customHeight="1">
      <c r="A20" s="21" t="s">
        <v>28</v>
      </c>
      <c r="B20" s="36">
        <f>B21+B22</f>
        <v>104500</v>
      </c>
      <c r="C20" s="36">
        <f>SUM(C21:C22)</f>
        <v>50450.16</v>
      </c>
      <c r="D20" s="40">
        <f t="shared" si="0"/>
        <v>48.277665071770336</v>
      </c>
      <c r="E20" s="41">
        <f t="shared" si="1"/>
        <v>-54049.84</v>
      </c>
    </row>
    <row r="21" spans="1:5" ht="14.25" customHeight="1">
      <c r="A21" s="21" t="s">
        <v>142</v>
      </c>
      <c r="B21" s="36">
        <v>104500</v>
      </c>
      <c r="C21" s="36">
        <v>50450.16</v>
      </c>
      <c r="D21" s="40">
        <f t="shared" si="0"/>
        <v>48.277665071770336</v>
      </c>
      <c r="E21" s="41">
        <f t="shared" si="1"/>
        <v>-54049.84</v>
      </c>
    </row>
    <row r="22" spans="1:5" ht="12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2.75" customHeight="1">
      <c r="A23" s="21" t="s">
        <v>82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3.5" customHeight="1">
      <c r="A24" s="21" t="s">
        <v>78</v>
      </c>
      <c r="B24" s="36">
        <f>SUM(B25:B25)</f>
        <v>0</v>
      </c>
      <c r="C24" s="36">
        <f>SUM(C25:C25)</f>
        <v>0</v>
      </c>
      <c r="D24" s="40" t="str">
        <f t="shared" si="0"/>
        <v>   </v>
      </c>
      <c r="E24" s="41">
        <f t="shared" si="1"/>
        <v>0</v>
      </c>
    </row>
    <row r="25" spans="1:5" ht="13.5" customHeight="1">
      <c r="A25" s="21" t="s">
        <v>119</v>
      </c>
      <c r="B25" s="36">
        <v>0</v>
      </c>
      <c r="C25" s="36">
        <v>0</v>
      </c>
      <c r="D25" s="40" t="str">
        <f t="shared" si="0"/>
        <v>   </v>
      </c>
      <c r="E25" s="41"/>
    </row>
    <row r="26" spans="1:5" ht="13.5">
      <c r="A26" s="21" t="s">
        <v>32</v>
      </c>
      <c r="B26" s="36">
        <f>B27+B28</f>
        <v>73367.56</v>
      </c>
      <c r="C26" s="36">
        <f>C27+C28</f>
        <v>-100</v>
      </c>
      <c r="D26" s="40">
        <f t="shared" si="0"/>
        <v>-0.13630002142636338</v>
      </c>
      <c r="E26" s="41">
        <f t="shared" si="1"/>
        <v>-73467.56</v>
      </c>
    </row>
    <row r="27" spans="1:5" ht="13.5">
      <c r="A27" s="21" t="s">
        <v>46</v>
      </c>
      <c r="B27" s="36">
        <v>0</v>
      </c>
      <c r="C27" s="36">
        <v>-100</v>
      </c>
      <c r="D27" s="40" t="str">
        <f t="shared" si="0"/>
        <v>   </v>
      </c>
      <c r="E27" s="41">
        <f t="shared" si="1"/>
        <v>-100</v>
      </c>
    </row>
    <row r="28" spans="1:5" ht="13.5">
      <c r="A28" s="21" t="s">
        <v>301</v>
      </c>
      <c r="B28" s="36">
        <v>73367.56</v>
      </c>
      <c r="C28" s="36">
        <v>0</v>
      </c>
      <c r="D28" s="40">
        <f t="shared" si="0"/>
        <v>0</v>
      </c>
      <c r="E28" s="41"/>
    </row>
    <row r="29" spans="1:5" ht="13.5">
      <c r="A29" s="21" t="s">
        <v>31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56">
        <f>B7+B9+B11+B13+B19+B20+B24+B26+B29+B18</f>
        <v>1986467.56</v>
      </c>
      <c r="C30" s="156">
        <f>C7+C9+C11+C13+C19+C20+C24+C26+C29+C18</f>
        <v>1618929.96</v>
      </c>
      <c r="D30" s="46">
        <f t="shared" si="0"/>
        <v>81.49793093021867</v>
      </c>
      <c r="E30" s="47">
        <f t="shared" si="1"/>
        <v>-367537.6000000001</v>
      </c>
    </row>
    <row r="31" spans="1:5" ht="18" customHeight="1">
      <c r="A31" s="62" t="s">
        <v>131</v>
      </c>
      <c r="B31" s="145">
        <f>SUM(B32:B35,B38,B39,B45,B46,B47,B48)</f>
        <v>8905978.05</v>
      </c>
      <c r="C31" s="145">
        <f>SUM(C32:C35,C38,C39,C45,C46,C47,C48)</f>
        <v>7585089.21</v>
      </c>
      <c r="D31" s="46">
        <f t="shared" si="0"/>
        <v>85.16851453502066</v>
      </c>
      <c r="E31" s="47">
        <f t="shared" si="1"/>
        <v>-1320888.8400000008</v>
      </c>
    </row>
    <row r="32" spans="1:5" ht="16.5" customHeight="1">
      <c r="A32" s="38" t="s">
        <v>34</v>
      </c>
      <c r="B32" s="143">
        <v>4298800</v>
      </c>
      <c r="C32" s="86">
        <v>3584400</v>
      </c>
      <c r="D32" s="40">
        <f t="shared" si="0"/>
        <v>83.38140876523681</v>
      </c>
      <c r="E32" s="41">
        <f t="shared" si="1"/>
        <v>-714400</v>
      </c>
    </row>
    <row r="33" spans="1:5" ht="16.5" customHeight="1">
      <c r="A33" s="38" t="s">
        <v>207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27" customHeight="1">
      <c r="A34" s="21" t="s">
        <v>51</v>
      </c>
      <c r="B34" s="36">
        <v>99900</v>
      </c>
      <c r="C34" s="86">
        <v>96100</v>
      </c>
      <c r="D34" s="40">
        <f t="shared" si="0"/>
        <v>96.1961961961962</v>
      </c>
      <c r="E34" s="41">
        <f t="shared" si="1"/>
        <v>-3800</v>
      </c>
    </row>
    <row r="35" spans="1:5" ht="27" customHeight="1">
      <c r="A35" s="21" t="s">
        <v>138</v>
      </c>
      <c r="B35" s="36">
        <f>SUM(B36:B37)</f>
        <v>200</v>
      </c>
      <c r="C35" s="36">
        <f>SUM(C36:C37)</f>
        <v>200</v>
      </c>
      <c r="D35" s="40">
        <f t="shared" si="0"/>
        <v>100</v>
      </c>
      <c r="E35" s="41">
        <f t="shared" si="1"/>
        <v>0</v>
      </c>
    </row>
    <row r="36" spans="1:5" ht="17.25" customHeight="1">
      <c r="A36" s="52" t="s">
        <v>153</v>
      </c>
      <c r="B36" s="36">
        <v>200</v>
      </c>
      <c r="C36" s="36">
        <v>200</v>
      </c>
      <c r="D36" s="40">
        <f t="shared" si="0"/>
        <v>100</v>
      </c>
      <c r="E36" s="41">
        <f t="shared" si="1"/>
        <v>0</v>
      </c>
    </row>
    <row r="37" spans="1:5" ht="27" customHeight="1">
      <c r="A37" s="52" t="s">
        <v>154</v>
      </c>
      <c r="B37" s="36">
        <v>0</v>
      </c>
      <c r="C37" s="36">
        <v>0</v>
      </c>
      <c r="D37" s="40" t="str">
        <f>IF(B37=0,"   ",C37/B37*100)</f>
        <v>   </v>
      </c>
      <c r="E37" s="41">
        <f>C37-B37</f>
        <v>0</v>
      </c>
    </row>
    <row r="38" spans="1:5" ht="54.75" customHeight="1">
      <c r="A38" s="21" t="s">
        <v>214</v>
      </c>
      <c r="B38" s="36">
        <v>1807900</v>
      </c>
      <c r="C38" s="36">
        <v>1807900</v>
      </c>
      <c r="D38" s="40">
        <f>IF(B38=0,"   ",C38/B38*100)</f>
        <v>100</v>
      </c>
      <c r="E38" s="41">
        <f>C38-B38</f>
        <v>0</v>
      </c>
    </row>
    <row r="39" spans="1:5" ht="17.25" customHeight="1">
      <c r="A39" s="21" t="s">
        <v>55</v>
      </c>
      <c r="B39" s="36">
        <f>SUM(B40:B44)</f>
        <v>2638378.05</v>
      </c>
      <c r="C39" s="36">
        <f>SUM(C40:C44)</f>
        <v>2035689.21</v>
      </c>
      <c r="D39" s="40">
        <f t="shared" si="0"/>
        <v>77.15684300815042</v>
      </c>
      <c r="E39" s="41">
        <f t="shared" si="1"/>
        <v>-602688.8399999999</v>
      </c>
    </row>
    <row r="40" spans="1:5" s="6" customFormat="1" ht="14.25" customHeight="1">
      <c r="A40" s="21" t="s">
        <v>103</v>
      </c>
      <c r="B40" s="36">
        <v>656200</v>
      </c>
      <c r="C40" s="36">
        <v>507420</v>
      </c>
      <c r="D40" s="36">
        <f t="shared" si="0"/>
        <v>77.32703444071929</v>
      </c>
      <c r="E40" s="41">
        <f t="shared" si="1"/>
        <v>-148780</v>
      </c>
    </row>
    <row r="41" spans="1:5" s="6" customFormat="1" ht="14.25" customHeight="1">
      <c r="A41" s="21" t="s">
        <v>278</v>
      </c>
      <c r="B41" s="36">
        <v>282215.21</v>
      </c>
      <c r="C41" s="36">
        <v>282215.21</v>
      </c>
      <c r="D41" s="36">
        <f t="shared" si="0"/>
        <v>100</v>
      </c>
      <c r="E41" s="41">
        <f t="shared" si="1"/>
        <v>0</v>
      </c>
    </row>
    <row r="42" spans="1:5" s="6" customFormat="1" ht="14.25" customHeight="1">
      <c r="A42" s="21" t="s">
        <v>255</v>
      </c>
      <c r="B42" s="36">
        <v>1259760</v>
      </c>
      <c r="C42" s="36">
        <v>1246054</v>
      </c>
      <c r="D42" s="36">
        <f t="shared" si="0"/>
        <v>98.91201498698165</v>
      </c>
      <c r="E42" s="41">
        <f t="shared" si="1"/>
        <v>-13706</v>
      </c>
    </row>
    <row r="43" spans="1:5" s="6" customFormat="1" ht="14.25" customHeight="1">
      <c r="A43" s="21" t="s">
        <v>337</v>
      </c>
      <c r="B43" s="36">
        <v>244869</v>
      </c>
      <c r="C43" s="36">
        <v>0</v>
      </c>
      <c r="D43" s="36">
        <f t="shared" si="0"/>
        <v>0</v>
      </c>
      <c r="E43" s="41">
        <f t="shared" si="1"/>
        <v>-244869</v>
      </c>
    </row>
    <row r="44" spans="1:5" s="6" customFormat="1" ht="15.75" customHeight="1">
      <c r="A44" s="21" t="s">
        <v>337</v>
      </c>
      <c r="B44" s="36">
        <v>195333.84</v>
      </c>
      <c r="C44" s="36">
        <v>0</v>
      </c>
      <c r="D44" s="36">
        <f t="shared" si="0"/>
        <v>0</v>
      </c>
      <c r="E44" s="41">
        <f t="shared" si="1"/>
        <v>-195333.84</v>
      </c>
    </row>
    <row r="45" spans="1:5" ht="39" customHeight="1">
      <c r="A45" s="21" t="s">
        <v>97</v>
      </c>
      <c r="B45" s="36">
        <v>0</v>
      </c>
      <c r="C45" s="86">
        <v>0</v>
      </c>
      <c r="D45" s="40" t="str">
        <f t="shared" si="0"/>
        <v>   </v>
      </c>
      <c r="E45" s="41">
        <f t="shared" si="1"/>
        <v>0</v>
      </c>
    </row>
    <row r="46" spans="1:5" ht="29.25" customHeight="1">
      <c r="A46" s="21" t="s">
        <v>311</v>
      </c>
      <c r="B46" s="36">
        <v>60800</v>
      </c>
      <c r="C46" s="86">
        <v>60800</v>
      </c>
      <c r="D46" s="40">
        <f t="shared" si="0"/>
        <v>100</v>
      </c>
      <c r="E46" s="41">
        <f t="shared" si="1"/>
        <v>0</v>
      </c>
    </row>
    <row r="47" spans="1:5" ht="29.25" customHeight="1">
      <c r="A47" s="21" t="s">
        <v>318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15.75" customHeight="1">
      <c r="A48" s="21" t="s">
        <v>184</v>
      </c>
      <c r="B48" s="36">
        <v>0</v>
      </c>
      <c r="C48" s="36">
        <v>0</v>
      </c>
      <c r="D48" s="40" t="str">
        <f t="shared" si="0"/>
        <v>   </v>
      </c>
      <c r="E48" s="41">
        <f t="shared" si="1"/>
        <v>0</v>
      </c>
    </row>
    <row r="49" spans="1:5" ht="27" customHeight="1">
      <c r="A49" s="44" t="s">
        <v>11</v>
      </c>
      <c r="B49" s="116">
        <f>SUM(B30,B31,)</f>
        <v>10892445.610000001</v>
      </c>
      <c r="C49" s="116">
        <f>SUM(C30,C31,)</f>
        <v>9204019.17</v>
      </c>
      <c r="D49" s="46">
        <f t="shared" si="0"/>
        <v>84.49910607357165</v>
      </c>
      <c r="E49" s="47">
        <f t="shared" si="1"/>
        <v>-1688426.4400000013</v>
      </c>
    </row>
    <row r="50" spans="1:5" ht="20.25" customHeight="1">
      <c r="A50" s="44"/>
      <c r="B50" s="143"/>
      <c r="C50" s="36"/>
      <c r="D50" s="40" t="str">
        <f t="shared" si="0"/>
        <v>   </v>
      </c>
      <c r="E50" s="41">
        <f t="shared" si="1"/>
        <v>0</v>
      </c>
    </row>
    <row r="51" spans="1:5" ht="14.25">
      <c r="A51" s="56" t="s">
        <v>12</v>
      </c>
      <c r="B51" s="116"/>
      <c r="C51" s="99"/>
      <c r="D51" s="40" t="str">
        <f t="shared" si="0"/>
        <v>   </v>
      </c>
      <c r="E51" s="41">
        <f t="shared" si="1"/>
        <v>0</v>
      </c>
    </row>
    <row r="52" spans="1:5" ht="19.5" customHeight="1">
      <c r="A52" s="21" t="s">
        <v>35</v>
      </c>
      <c r="B52" s="36">
        <f>SUM(B53,B57,B58)</f>
        <v>1553900</v>
      </c>
      <c r="C52" s="36">
        <f>SUM(C53,C57,C58)</f>
        <v>1015376.96</v>
      </c>
      <c r="D52" s="40">
        <f t="shared" si="0"/>
        <v>65.34377759186563</v>
      </c>
      <c r="E52" s="41">
        <f t="shared" si="1"/>
        <v>-538523.04</v>
      </c>
    </row>
    <row r="53" spans="1:5" ht="13.5" customHeight="1">
      <c r="A53" s="21" t="s">
        <v>36</v>
      </c>
      <c r="B53" s="36">
        <v>1543400</v>
      </c>
      <c r="C53" s="36">
        <v>1015376.96</v>
      </c>
      <c r="D53" s="40">
        <f t="shared" si="0"/>
        <v>65.78832188674355</v>
      </c>
      <c r="E53" s="41">
        <f t="shared" si="1"/>
        <v>-528023.04</v>
      </c>
    </row>
    <row r="54" spans="1:5" ht="13.5">
      <c r="A54" s="21" t="s">
        <v>115</v>
      </c>
      <c r="B54" s="36">
        <v>915438</v>
      </c>
      <c r="C54" s="99">
        <v>597742.77</v>
      </c>
      <c r="D54" s="40">
        <f t="shared" si="0"/>
        <v>65.29582232767265</v>
      </c>
      <c r="E54" s="41">
        <f t="shared" si="1"/>
        <v>-317695.23</v>
      </c>
    </row>
    <row r="55" spans="1:5" ht="13.5">
      <c r="A55" s="21" t="s">
        <v>312</v>
      </c>
      <c r="B55" s="36">
        <v>60800</v>
      </c>
      <c r="C55" s="99">
        <v>60800</v>
      </c>
      <c r="D55" s="40">
        <f>IF(B55=0,"   ",C55/B55*100)</f>
        <v>100</v>
      </c>
      <c r="E55" s="41">
        <f>C55-B55</f>
        <v>0</v>
      </c>
    </row>
    <row r="56" spans="1:5" ht="13.5">
      <c r="A56" s="21" t="s">
        <v>317</v>
      </c>
      <c r="B56" s="36">
        <v>0</v>
      </c>
      <c r="C56" s="99">
        <v>0</v>
      </c>
      <c r="D56" s="40" t="str">
        <f>IF(B56=0,"   ",C56/B56*100)</f>
        <v>   </v>
      </c>
      <c r="E56" s="41">
        <f>C56-B56</f>
        <v>0</v>
      </c>
    </row>
    <row r="57" spans="1:5" ht="13.5">
      <c r="A57" s="21" t="s">
        <v>90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3.5">
      <c r="A58" s="21" t="s">
        <v>52</v>
      </c>
      <c r="B58" s="107">
        <f>SUM(B59+B60)</f>
        <v>10000</v>
      </c>
      <c r="C58" s="107">
        <f>SUM(C59+C60)</f>
        <v>0</v>
      </c>
      <c r="D58" s="40">
        <f>IF(B58=0,"   ",C58/B58*100)</f>
        <v>0</v>
      </c>
      <c r="E58" s="41">
        <f>C58-B58</f>
        <v>-10000</v>
      </c>
    </row>
    <row r="59" spans="1:5" ht="27">
      <c r="A59" s="17" t="s">
        <v>222</v>
      </c>
      <c r="B59" s="36">
        <v>10000</v>
      </c>
      <c r="C59" s="107">
        <v>0</v>
      </c>
      <c r="D59" s="40">
        <f>IF(B59=0,"   ",C59/B59*100)</f>
        <v>0</v>
      </c>
      <c r="E59" s="41">
        <f>C59-B59</f>
        <v>-10000</v>
      </c>
    </row>
    <row r="60" spans="1:5" ht="13.5">
      <c r="A60" s="17" t="s">
        <v>232</v>
      </c>
      <c r="B60" s="36">
        <v>0</v>
      </c>
      <c r="C60" s="107">
        <v>0</v>
      </c>
      <c r="D60" s="40" t="str">
        <f>IF(B60=0,"   ",C60/B60*100)</f>
        <v>   </v>
      </c>
      <c r="E60" s="41">
        <f>C60-B60</f>
        <v>0</v>
      </c>
    </row>
    <row r="61" spans="1:5" ht="18.75" customHeight="1">
      <c r="A61" s="21" t="s">
        <v>49</v>
      </c>
      <c r="B61" s="107">
        <f>SUM(B62)</f>
        <v>99900</v>
      </c>
      <c r="C61" s="107">
        <f>SUM(C62)</f>
        <v>72530.55</v>
      </c>
      <c r="D61" s="40">
        <f t="shared" si="0"/>
        <v>72.60315315315316</v>
      </c>
      <c r="E61" s="41">
        <f t="shared" si="1"/>
        <v>-27369.449999999997</v>
      </c>
    </row>
    <row r="62" spans="1:5" ht="13.5" customHeight="1">
      <c r="A62" s="21" t="s">
        <v>101</v>
      </c>
      <c r="B62" s="36">
        <v>99900</v>
      </c>
      <c r="C62" s="107">
        <v>72530.55</v>
      </c>
      <c r="D62" s="40">
        <f t="shared" si="0"/>
        <v>72.60315315315316</v>
      </c>
      <c r="E62" s="41">
        <f t="shared" si="1"/>
        <v>-27369.449999999997</v>
      </c>
    </row>
    <row r="63" spans="1:5" ht="17.25" customHeight="1">
      <c r="A63" s="21" t="s">
        <v>37</v>
      </c>
      <c r="B63" s="36">
        <f>SUM(B64)</f>
        <v>5000</v>
      </c>
      <c r="C63" s="36">
        <f>SUM(C64)</f>
        <v>0</v>
      </c>
      <c r="D63" s="40">
        <f t="shared" si="0"/>
        <v>0</v>
      </c>
      <c r="E63" s="41">
        <f t="shared" si="1"/>
        <v>-5000</v>
      </c>
    </row>
    <row r="64" spans="1:5" ht="15" customHeight="1">
      <c r="A64" s="60" t="s">
        <v>303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15.75" customHeight="1">
      <c r="A65" s="21" t="s">
        <v>38</v>
      </c>
      <c r="B65" s="36">
        <f>B71+B66+B79</f>
        <v>4142928.95</v>
      </c>
      <c r="C65" s="36">
        <f>C71+C66+C79</f>
        <v>3744480.95</v>
      </c>
      <c r="D65" s="40">
        <f t="shared" si="0"/>
        <v>90.38245635373497</v>
      </c>
      <c r="E65" s="41">
        <f t="shared" si="1"/>
        <v>-398448</v>
      </c>
    </row>
    <row r="66" spans="1:5" ht="15.75" customHeight="1">
      <c r="A66" s="60" t="s">
        <v>155</v>
      </c>
      <c r="B66" s="36">
        <f>SUM(B67:B70)</f>
        <v>300228.95</v>
      </c>
      <c r="C66" s="36">
        <f>SUM(C67:C70)</f>
        <v>300228.95</v>
      </c>
      <c r="D66" s="40">
        <f>IF(B66=0,"   ",C66/B66*100)</f>
        <v>100</v>
      </c>
      <c r="E66" s="41">
        <f>C66-B66</f>
        <v>0</v>
      </c>
    </row>
    <row r="67" spans="1:5" ht="15.75" customHeight="1">
      <c r="A67" s="60" t="s">
        <v>156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.75" customHeight="1">
      <c r="A68" s="60" t="s">
        <v>177</v>
      </c>
      <c r="B68" s="36">
        <v>0</v>
      </c>
      <c r="C68" s="36">
        <v>0</v>
      </c>
      <c r="D68" s="40" t="str">
        <f>IF(B68=0,"   ",C68/B68*100)</f>
        <v>   </v>
      </c>
      <c r="E68" s="41">
        <f>C68-B68</f>
        <v>0</v>
      </c>
    </row>
    <row r="69" spans="1:5" ht="15.75" customHeight="1">
      <c r="A69" s="60" t="s">
        <v>279</v>
      </c>
      <c r="B69" s="36">
        <v>282215.21</v>
      </c>
      <c r="C69" s="36">
        <v>282215.21</v>
      </c>
      <c r="D69" s="40">
        <f>IF(B69=0,"   ",C69/B69*100)</f>
        <v>100</v>
      </c>
      <c r="E69" s="41">
        <f>C69-B69</f>
        <v>0</v>
      </c>
    </row>
    <row r="70" spans="1:5" ht="15.75" customHeight="1">
      <c r="A70" s="60" t="s">
        <v>280</v>
      </c>
      <c r="B70" s="36">
        <v>18013.74</v>
      </c>
      <c r="C70" s="36">
        <v>18013.74</v>
      </c>
      <c r="D70" s="40">
        <f>IF(B70=0,"   ",C70/B70*100)</f>
        <v>100</v>
      </c>
      <c r="E70" s="41">
        <f>C70-B70</f>
        <v>0</v>
      </c>
    </row>
    <row r="71" spans="1:5" ht="13.5">
      <c r="A71" s="68" t="s">
        <v>123</v>
      </c>
      <c r="B71" s="36">
        <f>SUM(B72:B78)</f>
        <v>3842700</v>
      </c>
      <c r="C71" s="36">
        <f>SUM(C72:C78)</f>
        <v>3444252</v>
      </c>
      <c r="D71" s="40">
        <f t="shared" si="0"/>
        <v>89.63104067452572</v>
      </c>
      <c r="E71" s="41">
        <f t="shared" si="1"/>
        <v>-398448</v>
      </c>
    </row>
    <row r="72" spans="1:5" ht="21.75" customHeight="1">
      <c r="A72" s="60" t="s">
        <v>139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30.75" customHeight="1">
      <c r="A73" s="17" t="s">
        <v>225</v>
      </c>
      <c r="B73" s="36">
        <v>963007</v>
      </c>
      <c r="C73" s="36">
        <v>771652</v>
      </c>
      <c r="D73" s="40">
        <f t="shared" si="0"/>
        <v>80.12942792731516</v>
      </c>
      <c r="E73" s="41">
        <f t="shared" si="1"/>
        <v>-191355</v>
      </c>
    </row>
    <row r="74" spans="1:5" ht="30" customHeight="1">
      <c r="A74" s="17" t="s">
        <v>226</v>
      </c>
      <c r="B74" s="36">
        <v>100000</v>
      </c>
      <c r="C74" s="36">
        <v>100000</v>
      </c>
      <c r="D74" s="40">
        <f t="shared" si="0"/>
        <v>100</v>
      </c>
      <c r="E74" s="41">
        <f t="shared" si="1"/>
        <v>0</v>
      </c>
    </row>
    <row r="75" spans="1:5" ht="26.25" customHeight="1">
      <c r="A75" s="17" t="s">
        <v>227</v>
      </c>
      <c r="B75" s="36">
        <v>1807900</v>
      </c>
      <c r="C75" s="36">
        <v>1807900</v>
      </c>
      <c r="D75" s="40">
        <f t="shared" si="0"/>
        <v>100</v>
      </c>
      <c r="E75" s="41">
        <f t="shared" si="1"/>
        <v>0</v>
      </c>
    </row>
    <row r="76" spans="1:5" ht="27" customHeight="1">
      <c r="A76" s="17" t="s">
        <v>228</v>
      </c>
      <c r="B76" s="36">
        <v>242593</v>
      </c>
      <c r="C76" s="36">
        <v>200900</v>
      </c>
      <c r="D76" s="40">
        <f t="shared" si="0"/>
        <v>82.81360138173814</v>
      </c>
      <c r="E76" s="41">
        <f t="shared" si="1"/>
        <v>-41693</v>
      </c>
    </row>
    <row r="77" spans="1:5" ht="24" customHeight="1">
      <c r="A77" s="17" t="s">
        <v>229</v>
      </c>
      <c r="B77" s="36">
        <v>656200</v>
      </c>
      <c r="C77" s="36">
        <v>507420</v>
      </c>
      <c r="D77" s="40">
        <f>IF(B77=0,"   ",C77/B77*100)</f>
        <v>77.32703444071929</v>
      </c>
      <c r="E77" s="41">
        <f>C77-B77</f>
        <v>-148780</v>
      </c>
    </row>
    <row r="78" spans="1:5" ht="31.5" customHeight="1">
      <c r="A78" s="17" t="s">
        <v>230</v>
      </c>
      <c r="B78" s="36">
        <v>73000</v>
      </c>
      <c r="C78" s="36">
        <v>56380</v>
      </c>
      <c r="D78" s="40">
        <f t="shared" si="0"/>
        <v>77.23287671232877</v>
      </c>
      <c r="E78" s="41">
        <f t="shared" si="1"/>
        <v>-16620</v>
      </c>
    </row>
    <row r="79" spans="1:5" ht="23.25" customHeight="1">
      <c r="A79" s="68" t="s">
        <v>166</v>
      </c>
      <c r="B79" s="36">
        <f>SUM(B81+B80)</f>
        <v>0</v>
      </c>
      <c r="C79" s="36">
        <f>SUM(C81+C80)</f>
        <v>0</v>
      </c>
      <c r="D79" s="40" t="str">
        <f>IF(B79=0,"   ",C79/B79*100)</f>
        <v>   </v>
      </c>
      <c r="E79" s="41">
        <f>C79-B79</f>
        <v>0</v>
      </c>
    </row>
    <row r="80" spans="1:5" ht="23.25" customHeight="1">
      <c r="A80" s="17" t="s">
        <v>145</v>
      </c>
      <c r="B80" s="36">
        <v>0</v>
      </c>
      <c r="C80" s="36">
        <v>0</v>
      </c>
      <c r="D80" s="40" t="str">
        <f>IF(B80=0,"   ",C80/B80*100)</f>
        <v>   </v>
      </c>
      <c r="E80" s="41">
        <f>C80-B80</f>
        <v>0</v>
      </c>
    </row>
    <row r="81" spans="1:5" ht="23.25" customHeight="1">
      <c r="A81" s="60" t="s">
        <v>167</v>
      </c>
      <c r="B81" s="36">
        <v>0</v>
      </c>
      <c r="C81" s="36">
        <v>0</v>
      </c>
      <c r="D81" s="40" t="str">
        <f>IF(B81=0,"   ",C81/B81*100)</f>
        <v>   </v>
      </c>
      <c r="E81" s="41">
        <f>C81-B81</f>
        <v>0</v>
      </c>
    </row>
    <row r="82" spans="1:5" ht="17.25" customHeight="1">
      <c r="A82" s="21" t="s">
        <v>13</v>
      </c>
      <c r="B82" s="36">
        <f>SUM(B94,B83+B103)</f>
        <v>2749030.4000000004</v>
      </c>
      <c r="C82" s="36">
        <f>SUM(C94,C83+C103)</f>
        <v>1703947.27</v>
      </c>
      <c r="D82" s="40">
        <f t="shared" si="0"/>
        <v>61.98357319002364</v>
      </c>
      <c r="E82" s="41">
        <f t="shared" si="1"/>
        <v>-1045083.1300000004</v>
      </c>
    </row>
    <row r="83" spans="1:5" ht="15.75" customHeight="1">
      <c r="A83" s="21" t="s">
        <v>86</v>
      </c>
      <c r="B83" s="36">
        <f>SUM(B84+B85+B88+B89+B90+B86+B87)</f>
        <v>1605759</v>
      </c>
      <c r="C83" s="36">
        <f>SUM(C84+C85+C88+C89+C90+C86+C87)</f>
        <v>1531090</v>
      </c>
      <c r="D83" s="40">
        <f t="shared" si="0"/>
        <v>95.34992486419195</v>
      </c>
      <c r="E83" s="41">
        <f t="shared" si="1"/>
        <v>-74669</v>
      </c>
    </row>
    <row r="84" spans="1:5" ht="15.75" customHeight="1">
      <c r="A84" s="38" t="s">
        <v>251</v>
      </c>
      <c r="B84" s="36">
        <v>185000</v>
      </c>
      <c r="C84" s="36">
        <v>185000</v>
      </c>
      <c r="D84" s="40">
        <f aca="true" t="shared" si="2" ref="D84:D90">IF(B84=0,"   ",C84/B84*100)</f>
        <v>100</v>
      </c>
      <c r="E84" s="41">
        <f aca="true" t="shared" si="3" ref="E84:E90">C84-B84</f>
        <v>0</v>
      </c>
    </row>
    <row r="85" spans="1:5" ht="36.75" customHeight="1">
      <c r="A85" s="21" t="s">
        <v>181</v>
      </c>
      <c r="B85" s="36">
        <v>20000</v>
      </c>
      <c r="C85" s="36">
        <v>0</v>
      </c>
      <c r="D85" s="40">
        <f t="shared" si="2"/>
        <v>0</v>
      </c>
      <c r="E85" s="41">
        <f t="shared" si="3"/>
        <v>-20000</v>
      </c>
    </row>
    <row r="86" spans="1:5" ht="15.75" customHeight="1">
      <c r="A86" s="21" t="s">
        <v>258</v>
      </c>
      <c r="B86" s="36">
        <v>1259760</v>
      </c>
      <c r="C86" s="36">
        <v>1246054</v>
      </c>
      <c r="D86" s="40">
        <f t="shared" si="2"/>
        <v>98.91201498698165</v>
      </c>
      <c r="E86" s="41">
        <f t="shared" si="3"/>
        <v>-13706</v>
      </c>
    </row>
    <row r="87" spans="1:5" ht="15.75" customHeight="1">
      <c r="A87" s="21" t="s">
        <v>266</v>
      </c>
      <c r="B87" s="36">
        <v>80410</v>
      </c>
      <c r="C87" s="36">
        <v>79536</v>
      </c>
      <c r="D87" s="40">
        <f t="shared" si="2"/>
        <v>98.91307051361771</v>
      </c>
      <c r="E87" s="41">
        <f t="shared" si="3"/>
        <v>-874</v>
      </c>
    </row>
    <row r="88" spans="1:5" ht="15.75" customHeight="1">
      <c r="A88" s="21" t="s">
        <v>304</v>
      </c>
      <c r="B88" s="36">
        <v>60589</v>
      </c>
      <c r="C88" s="36">
        <v>20500</v>
      </c>
      <c r="D88" s="40">
        <f t="shared" si="2"/>
        <v>33.83452441862384</v>
      </c>
      <c r="E88" s="41">
        <f t="shared" si="3"/>
        <v>-40089</v>
      </c>
    </row>
    <row r="89" spans="1:5" ht="15.75" customHeight="1">
      <c r="A89" s="21" t="s">
        <v>317</v>
      </c>
      <c r="B89" s="36">
        <v>0</v>
      </c>
      <c r="C89" s="36"/>
      <c r="D89" s="40" t="str">
        <f t="shared" si="2"/>
        <v>   </v>
      </c>
      <c r="E89" s="41">
        <f t="shared" si="3"/>
        <v>0</v>
      </c>
    </row>
    <row r="90" spans="1:5" ht="15.75" customHeight="1">
      <c r="A90" s="17" t="s">
        <v>191</v>
      </c>
      <c r="B90" s="36">
        <f>B92+B91+B93</f>
        <v>0</v>
      </c>
      <c r="C90" s="36">
        <f>C92+C91+C93</f>
        <v>0</v>
      </c>
      <c r="D90" s="40" t="str">
        <f t="shared" si="2"/>
        <v>   </v>
      </c>
      <c r="E90" s="41">
        <f t="shared" si="3"/>
        <v>0</v>
      </c>
    </row>
    <row r="91" spans="1:5" ht="27.75" customHeight="1">
      <c r="A91" s="17" t="s">
        <v>175</v>
      </c>
      <c r="B91" s="36">
        <v>0</v>
      </c>
      <c r="C91" s="36">
        <v>0</v>
      </c>
      <c r="D91" s="40" t="str">
        <f t="shared" si="0"/>
        <v>   </v>
      </c>
      <c r="E91" s="41">
        <f t="shared" si="1"/>
        <v>0</v>
      </c>
    </row>
    <row r="92" spans="1:5" ht="27.75" customHeight="1">
      <c r="A92" s="17" t="s">
        <v>185</v>
      </c>
      <c r="B92" s="36">
        <v>0</v>
      </c>
      <c r="C92" s="36">
        <v>0</v>
      </c>
      <c r="D92" s="40" t="str">
        <f t="shared" si="0"/>
        <v>   </v>
      </c>
      <c r="E92" s="41">
        <f t="shared" si="1"/>
        <v>0</v>
      </c>
    </row>
    <row r="93" spans="1:5" ht="27.75" customHeight="1">
      <c r="A93" s="17" t="s">
        <v>193</v>
      </c>
      <c r="B93" s="36">
        <v>0</v>
      </c>
      <c r="C93" s="36">
        <v>0</v>
      </c>
      <c r="D93" s="40" t="str">
        <f t="shared" si="0"/>
        <v>   </v>
      </c>
      <c r="E93" s="41">
        <f t="shared" si="1"/>
        <v>0</v>
      </c>
    </row>
    <row r="94" spans="1:5" ht="13.5">
      <c r="A94" s="21" t="s">
        <v>58</v>
      </c>
      <c r="B94" s="36">
        <f>B95+B96+B97+B98+B102</f>
        <v>1143071.4000000001</v>
      </c>
      <c r="C94" s="36">
        <f>C95+C96+C97+C98+C102</f>
        <v>172657.27</v>
      </c>
      <c r="D94" s="40">
        <f t="shared" si="0"/>
        <v>15.104679375234126</v>
      </c>
      <c r="E94" s="41">
        <f t="shared" si="1"/>
        <v>-970414.1300000001</v>
      </c>
    </row>
    <row r="95" spans="1:5" ht="13.5">
      <c r="A95" s="21" t="s">
        <v>56</v>
      </c>
      <c r="B95" s="36">
        <v>360000</v>
      </c>
      <c r="C95" s="36">
        <v>172657.27</v>
      </c>
      <c r="D95" s="40">
        <f t="shared" si="0"/>
        <v>47.96035277777778</v>
      </c>
      <c r="E95" s="41">
        <f t="shared" si="1"/>
        <v>-187342.73</v>
      </c>
    </row>
    <row r="96" spans="1:5" ht="13.5">
      <c r="A96" s="21" t="s">
        <v>59</v>
      </c>
      <c r="B96" s="36">
        <v>49400</v>
      </c>
      <c r="C96" s="107">
        <v>0</v>
      </c>
      <c r="D96" s="40">
        <f t="shared" si="0"/>
        <v>0</v>
      </c>
      <c r="E96" s="41">
        <f t="shared" si="1"/>
        <v>-49400</v>
      </c>
    </row>
    <row r="97" spans="1:5" ht="13.5">
      <c r="A97" s="21" t="s">
        <v>317</v>
      </c>
      <c r="B97" s="36">
        <v>0</v>
      </c>
      <c r="C97" s="107">
        <v>0</v>
      </c>
      <c r="D97" s="40" t="s">
        <v>352</v>
      </c>
      <c r="E97" s="41">
        <f>C97-B97</f>
        <v>0</v>
      </c>
    </row>
    <row r="98" spans="1:5" ht="13.5">
      <c r="A98" s="17" t="s">
        <v>341</v>
      </c>
      <c r="B98" s="36">
        <f>B100+B99+B101</f>
        <v>733671.4000000001</v>
      </c>
      <c r="C98" s="36">
        <f>C100+C99+C101</f>
        <v>0</v>
      </c>
      <c r="D98" s="40">
        <f>IF(B98=0,"   ",C98/B98*100)</f>
        <v>0</v>
      </c>
      <c r="E98" s="41">
        <f>C98-B98</f>
        <v>-733671.4000000001</v>
      </c>
    </row>
    <row r="99" spans="1:5" ht="13.5">
      <c r="A99" s="17" t="s">
        <v>344</v>
      </c>
      <c r="B99" s="36">
        <v>440202.84</v>
      </c>
      <c r="C99" s="107">
        <v>0</v>
      </c>
      <c r="D99" s="40">
        <f>IF(B99=0,"   ",C99/B99*100)</f>
        <v>0</v>
      </c>
      <c r="E99" s="41">
        <f>C99-B99</f>
        <v>-440202.84</v>
      </c>
    </row>
    <row r="100" spans="1:5" ht="13.5">
      <c r="A100" s="17" t="s">
        <v>342</v>
      </c>
      <c r="B100" s="36">
        <v>220101</v>
      </c>
      <c r="C100" s="107">
        <v>0</v>
      </c>
      <c r="D100" s="40">
        <f>IF(B100=0,"   ",C100/B100*100)</f>
        <v>0</v>
      </c>
      <c r="E100" s="41">
        <f>C100-B100</f>
        <v>-220101</v>
      </c>
    </row>
    <row r="101" spans="1:5" ht="13.5">
      <c r="A101" s="17" t="s">
        <v>343</v>
      </c>
      <c r="B101" s="36">
        <v>73367.56</v>
      </c>
      <c r="C101" s="107">
        <v>0</v>
      </c>
      <c r="D101" s="40">
        <f>IF(B101=0,"   ",C101/B101*100)</f>
        <v>0</v>
      </c>
      <c r="E101" s="41">
        <f>C101-B101</f>
        <v>-73367.56</v>
      </c>
    </row>
    <row r="102" spans="1:5" ht="27" customHeight="1" thickBot="1">
      <c r="A102" s="17" t="s">
        <v>259</v>
      </c>
      <c r="B102" s="36">
        <v>0</v>
      </c>
      <c r="C102" s="107">
        <v>0</v>
      </c>
      <c r="D102" s="40" t="str">
        <f t="shared" si="0"/>
        <v>   </v>
      </c>
      <c r="E102" s="41">
        <f t="shared" si="1"/>
        <v>0</v>
      </c>
    </row>
    <row r="103" spans="1:5" ht="15.75" customHeight="1" thickBot="1">
      <c r="A103" s="62" t="s">
        <v>290</v>
      </c>
      <c r="B103" s="111">
        <f>SUM(B104)</f>
        <v>200</v>
      </c>
      <c r="C103" s="111">
        <f>SUM(C104)</f>
        <v>200</v>
      </c>
      <c r="D103" s="40">
        <f>IF(B103=0,"   ",C103/B103*100)</f>
        <v>100</v>
      </c>
      <c r="E103" s="41">
        <f>C103-B103</f>
        <v>0</v>
      </c>
    </row>
    <row r="104" spans="1:5" ht="15" customHeight="1">
      <c r="A104" s="62" t="s">
        <v>247</v>
      </c>
      <c r="B104" s="36">
        <v>200</v>
      </c>
      <c r="C104" s="99">
        <v>200</v>
      </c>
      <c r="D104" s="40">
        <f>IF(B104=0,"   ",C104/B104*100)</f>
        <v>100</v>
      </c>
      <c r="E104" s="41">
        <f>C104-B104</f>
        <v>0</v>
      </c>
    </row>
    <row r="105" spans="1:5" ht="12.75" customHeight="1">
      <c r="A105" s="21" t="s">
        <v>17</v>
      </c>
      <c r="B105" s="36">
        <v>8000</v>
      </c>
      <c r="C105" s="36">
        <v>0</v>
      </c>
      <c r="D105" s="40">
        <f t="shared" si="0"/>
        <v>0</v>
      </c>
      <c r="E105" s="41">
        <f t="shared" si="1"/>
        <v>-8000</v>
      </c>
    </row>
    <row r="106" spans="1:5" ht="19.5" customHeight="1">
      <c r="A106" s="21" t="s">
        <v>41</v>
      </c>
      <c r="B106" s="143">
        <f>B107</f>
        <v>2884400</v>
      </c>
      <c r="C106" s="143">
        <f>C107</f>
        <v>2441106.26</v>
      </c>
      <c r="D106" s="40">
        <f t="shared" si="0"/>
        <v>84.63133615309943</v>
      </c>
      <c r="E106" s="41">
        <f t="shared" si="1"/>
        <v>-443293.7400000002</v>
      </c>
    </row>
    <row r="107" spans="1:5" ht="15" customHeight="1">
      <c r="A107" s="21" t="s">
        <v>42</v>
      </c>
      <c r="B107" s="36">
        <v>2884400</v>
      </c>
      <c r="C107" s="107">
        <v>2441106.26</v>
      </c>
      <c r="D107" s="40">
        <f t="shared" si="0"/>
        <v>84.63133615309943</v>
      </c>
      <c r="E107" s="41">
        <f t="shared" si="1"/>
        <v>-443293.7400000002</v>
      </c>
    </row>
    <row r="108" spans="1:5" ht="14.25" customHeight="1">
      <c r="A108" s="21" t="s">
        <v>118</v>
      </c>
      <c r="B108" s="36">
        <f>SUM(B109,)</f>
        <v>20000</v>
      </c>
      <c r="C108" s="36">
        <f>SUM(C109,)</f>
        <v>0</v>
      </c>
      <c r="D108" s="40">
        <f t="shared" si="0"/>
        <v>0</v>
      </c>
      <c r="E108" s="41">
        <f t="shared" si="1"/>
        <v>-20000</v>
      </c>
    </row>
    <row r="109" spans="1:5" ht="13.5">
      <c r="A109" s="21" t="s">
        <v>43</v>
      </c>
      <c r="B109" s="36">
        <v>20000</v>
      </c>
      <c r="C109" s="99">
        <v>0</v>
      </c>
      <c r="D109" s="40">
        <f t="shared" si="0"/>
        <v>0</v>
      </c>
      <c r="E109" s="41">
        <f t="shared" si="1"/>
        <v>-20000</v>
      </c>
    </row>
    <row r="110" spans="1:5" ht="27.75" customHeight="1">
      <c r="A110" s="44" t="s">
        <v>15</v>
      </c>
      <c r="B110" s="116">
        <f>SUM(B52,B61,B63,B65,B82,B105,B106,B108,)</f>
        <v>11463159.350000001</v>
      </c>
      <c r="C110" s="116">
        <f>SUM(C52,C61,C63,C65,C82,C105,C106,C108,)</f>
        <v>8977441.99</v>
      </c>
      <c r="D110" s="46">
        <f>IF(B110=0,"   ",C110/B110*100)</f>
        <v>78.31559970419498</v>
      </c>
      <c r="E110" s="47">
        <f t="shared" si="1"/>
        <v>-2485717.3600000013</v>
      </c>
    </row>
    <row r="111" spans="1:5" s="13" customFormat="1" ht="31.5" customHeight="1">
      <c r="A111" s="71" t="s">
        <v>276</v>
      </c>
      <c r="B111" s="71"/>
      <c r="C111" s="168"/>
      <c r="D111" s="168"/>
      <c r="E111" s="168"/>
    </row>
    <row r="112" spans="1:5" s="13" customFormat="1" ht="12" customHeight="1">
      <c r="A112" s="71" t="s">
        <v>144</v>
      </c>
      <c r="B112" s="71"/>
      <c r="C112" s="72" t="s">
        <v>277</v>
      </c>
      <c r="D112" s="73"/>
      <c r="E112" s="74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3.5">
      <c r="A115" s="22"/>
      <c r="B115" s="22"/>
      <c r="C115" s="22"/>
      <c r="D115" s="22"/>
      <c r="E115" s="22"/>
    </row>
    <row r="116" spans="1:5" ht="13.5">
      <c r="A116" s="22"/>
      <c r="B116" s="22"/>
      <c r="C116" s="22"/>
      <c r="D116" s="22"/>
      <c r="E116" s="22"/>
    </row>
    <row r="117" spans="1:5" ht="15">
      <c r="A117" s="75"/>
      <c r="B117" s="75"/>
      <c r="C117" s="75"/>
      <c r="D117" s="75"/>
      <c r="E117" s="75"/>
    </row>
    <row r="118" spans="1:5" ht="15">
      <c r="A118" s="75"/>
      <c r="B118" s="75"/>
      <c r="C118" s="75"/>
      <c r="D118" s="75"/>
      <c r="E118" s="75"/>
    </row>
    <row r="119" spans="1:5" ht="15">
      <c r="A119" s="75"/>
      <c r="B119" s="75"/>
      <c r="C119" s="75"/>
      <c r="D119" s="75"/>
      <c r="E119" s="75"/>
    </row>
    <row r="120" spans="1:5" ht="12.75">
      <c r="A120" s="15"/>
      <c r="B120" s="15"/>
      <c r="C120" s="15"/>
      <c r="D120" s="15"/>
      <c r="E120" s="15"/>
    </row>
  </sheetData>
  <sheetProtection/>
  <mergeCells count="2">
    <mergeCell ref="A1:E1"/>
    <mergeCell ref="C111:E111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37">
      <selection activeCell="C35" sqref="C35"/>
    </sheetView>
  </sheetViews>
  <sheetFormatPr defaultColWidth="9.00390625" defaultRowHeight="12.75"/>
  <cols>
    <col min="1" max="1" width="119.7539062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3.5">
      <c r="A1" s="169" t="s">
        <v>366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54.75">
      <c r="A4" s="24" t="s">
        <v>1</v>
      </c>
      <c r="B4" s="25" t="s">
        <v>319</v>
      </c>
      <c r="C4" s="26" t="s">
        <v>365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79300</v>
      </c>
      <c r="C7" s="143">
        <f>C8</f>
        <v>70972.22</v>
      </c>
      <c r="D7" s="40">
        <f aca="true" t="shared" si="0" ref="D7:D110">IF(B7=0,"   ",C7/B7*100)</f>
        <v>89.49838587641867</v>
      </c>
      <c r="E7" s="41">
        <f aca="true" t="shared" si="1" ref="E7:E111">C7-B7</f>
        <v>-8327.779999999999</v>
      </c>
    </row>
    <row r="8" spans="1:5" ht="13.5">
      <c r="A8" s="21" t="s">
        <v>44</v>
      </c>
      <c r="B8" s="36">
        <v>79300</v>
      </c>
      <c r="C8" s="86">
        <v>70972.22</v>
      </c>
      <c r="D8" s="40">
        <f t="shared" si="0"/>
        <v>89.49838587641867</v>
      </c>
      <c r="E8" s="41">
        <f t="shared" si="1"/>
        <v>-8327.779999999999</v>
      </c>
    </row>
    <row r="9" spans="1:5" ht="13.5">
      <c r="A9" s="38" t="s">
        <v>128</v>
      </c>
      <c r="B9" s="143">
        <f>SUM(B10)</f>
        <v>556500</v>
      </c>
      <c r="C9" s="143">
        <f>SUM(C10)</f>
        <v>549560.51</v>
      </c>
      <c r="D9" s="40">
        <f t="shared" si="0"/>
        <v>98.75301168014376</v>
      </c>
      <c r="E9" s="41">
        <f t="shared" si="1"/>
        <v>-6939.489999999991</v>
      </c>
    </row>
    <row r="10" spans="1:5" ht="13.5">
      <c r="A10" s="21" t="s">
        <v>129</v>
      </c>
      <c r="B10" s="36">
        <v>556500</v>
      </c>
      <c r="C10" s="86">
        <v>549560.51</v>
      </c>
      <c r="D10" s="40">
        <f t="shared" si="0"/>
        <v>98.75301168014376</v>
      </c>
      <c r="E10" s="41">
        <f t="shared" si="1"/>
        <v>-6939.489999999991</v>
      </c>
    </row>
    <row r="11" spans="1:5" ht="13.5" customHeight="1">
      <c r="A11" s="21" t="s">
        <v>7</v>
      </c>
      <c r="B11" s="36">
        <f>SUM(B12:B12)</f>
        <v>184400</v>
      </c>
      <c r="C11" s="36">
        <f>SUM(C12:C12)</f>
        <v>77474.69</v>
      </c>
      <c r="D11" s="40">
        <f t="shared" si="0"/>
        <v>42.01447396963124</v>
      </c>
      <c r="E11" s="41">
        <f t="shared" si="1"/>
        <v>-106925.31</v>
      </c>
    </row>
    <row r="12" spans="1:5" ht="13.5" customHeight="1">
      <c r="A12" s="21" t="s">
        <v>26</v>
      </c>
      <c r="B12" s="36">
        <v>184400</v>
      </c>
      <c r="C12" s="86">
        <v>77474.69</v>
      </c>
      <c r="D12" s="40">
        <f t="shared" si="0"/>
        <v>42.01447396963124</v>
      </c>
      <c r="E12" s="41">
        <f t="shared" si="1"/>
        <v>-106925.31</v>
      </c>
    </row>
    <row r="13" spans="1:5" ht="13.5">
      <c r="A13" s="21" t="s">
        <v>9</v>
      </c>
      <c r="B13" s="36">
        <f>SUM(B14:B15)</f>
        <v>386000</v>
      </c>
      <c r="C13" s="36">
        <f>SUM(C14:C15)</f>
        <v>126433.02</v>
      </c>
      <c r="D13" s="40">
        <f t="shared" si="0"/>
        <v>32.75466839378238</v>
      </c>
      <c r="E13" s="41">
        <f t="shared" si="1"/>
        <v>-259566.97999999998</v>
      </c>
    </row>
    <row r="14" spans="1:5" ht="19.5" customHeight="1">
      <c r="A14" s="21" t="s">
        <v>27</v>
      </c>
      <c r="B14" s="36">
        <v>138000</v>
      </c>
      <c r="C14" s="86">
        <v>9998.97</v>
      </c>
      <c r="D14" s="40">
        <f t="shared" si="0"/>
        <v>7.245630434782608</v>
      </c>
      <c r="E14" s="41">
        <f t="shared" si="1"/>
        <v>-128001.03</v>
      </c>
    </row>
    <row r="15" spans="1:5" ht="18.75" customHeight="1">
      <c r="A15" s="21" t="s">
        <v>150</v>
      </c>
      <c r="B15" s="36">
        <f>SUM(B16:B17)</f>
        <v>248000</v>
      </c>
      <c r="C15" s="36">
        <f>SUM(C16:C17)</f>
        <v>116434.05</v>
      </c>
      <c r="D15" s="40">
        <f t="shared" si="0"/>
        <v>46.94921370967742</v>
      </c>
      <c r="E15" s="41">
        <f t="shared" si="1"/>
        <v>-131565.95</v>
      </c>
    </row>
    <row r="16" spans="1:5" ht="18.75" customHeight="1">
      <c r="A16" s="21" t="s">
        <v>151</v>
      </c>
      <c r="B16" s="36">
        <v>21000</v>
      </c>
      <c r="C16" s="86">
        <v>21711.09</v>
      </c>
      <c r="D16" s="40">
        <f t="shared" si="0"/>
        <v>103.38614285714284</v>
      </c>
      <c r="E16" s="41">
        <f t="shared" si="1"/>
        <v>711.0900000000001</v>
      </c>
    </row>
    <row r="17" spans="1:5" ht="18" customHeight="1">
      <c r="A17" s="21" t="s">
        <v>152</v>
      </c>
      <c r="B17" s="36">
        <v>227000</v>
      </c>
      <c r="C17" s="86">
        <v>94722.96</v>
      </c>
      <c r="D17" s="40">
        <f t="shared" si="0"/>
        <v>41.72817621145375</v>
      </c>
      <c r="E17" s="41">
        <f t="shared" si="1"/>
        <v>-132277.03999999998</v>
      </c>
    </row>
    <row r="18" spans="1:5" ht="18" customHeight="1">
      <c r="A18" s="21" t="s">
        <v>182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84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14.25" customHeight="1">
      <c r="A20" s="21" t="s">
        <v>28</v>
      </c>
      <c r="B20" s="36">
        <f>B22+B21</f>
        <v>88800</v>
      </c>
      <c r="C20" s="143">
        <f>SUM(C21:C22)</f>
        <v>52003.45</v>
      </c>
      <c r="D20" s="40">
        <f t="shared" si="0"/>
        <v>58.56244369369369</v>
      </c>
      <c r="E20" s="41">
        <f t="shared" si="1"/>
        <v>-36796.55</v>
      </c>
    </row>
    <row r="21" spans="1:5" ht="15.75" customHeight="1">
      <c r="A21" s="21" t="s">
        <v>142</v>
      </c>
      <c r="B21" s="36">
        <v>88800</v>
      </c>
      <c r="C21" s="107">
        <v>52003.45</v>
      </c>
      <c r="D21" s="40">
        <f t="shared" si="0"/>
        <v>58.56244369369369</v>
      </c>
      <c r="E21" s="41">
        <f t="shared" si="1"/>
        <v>-36796.55</v>
      </c>
    </row>
    <row r="22" spans="1:5" ht="15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8.75" customHeight="1">
      <c r="A23" s="21" t="s">
        <v>87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8.75" customHeight="1">
      <c r="A24" s="21" t="s">
        <v>76</v>
      </c>
      <c r="B24" s="36">
        <f>SUM(B25)</f>
        <v>0</v>
      </c>
      <c r="C24" s="36">
        <f>SUM(C25)</f>
        <v>0</v>
      </c>
      <c r="D24" s="40" t="str">
        <f t="shared" si="0"/>
        <v>   </v>
      </c>
      <c r="E24" s="41">
        <f t="shared" si="1"/>
        <v>0</v>
      </c>
    </row>
    <row r="25" spans="1:5" ht="24.75" customHeight="1">
      <c r="A25" s="21" t="s">
        <v>77</v>
      </c>
      <c r="B25" s="36">
        <v>0</v>
      </c>
      <c r="C25" s="107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31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143">
        <f>B28+B29</f>
        <v>0</v>
      </c>
      <c r="C27" s="143">
        <f>C28+C29</f>
        <v>0</v>
      </c>
      <c r="D27" s="40" t="str">
        <f t="shared" si="0"/>
        <v>   </v>
      </c>
      <c r="E27" s="41">
        <f t="shared" si="1"/>
        <v>0</v>
      </c>
    </row>
    <row r="28" spans="1:5" ht="14.25" customHeight="1">
      <c r="A28" s="21" t="s">
        <v>127</v>
      </c>
      <c r="B28" s="36">
        <v>0</v>
      </c>
      <c r="C28" s="107">
        <v>0</v>
      </c>
      <c r="D28" s="40" t="str">
        <f t="shared" si="0"/>
        <v>   </v>
      </c>
      <c r="E28" s="41">
        <f t="shared" si="1"/>
        <v>0</v>
      </c>
    </row>
    <row r="29" spans="1:5" ht="14.25" customHeight="1">
      <c r="A29" s="21" t="s">
        <v>104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16">
        <f>SUM(B7,B9,B11,B13,B19,B20,B23,B24,B26,B28,B29,B18)</f>
        <v>1295000</v>
      </c>
      <c r="C30" s="116">
        <f>SUM(C7,C9,C11,C13,C19,C20,C23,C24,C26,C28,C29,C18)</f>
        <v>876443.8899999999</v>
      </c>
      <c r="D30" s="46">
        <f t="shared" si="0"/>
        <v>67.67906486486486</v>
      </c>
      <c r="E30" s="47">
        <f t="shared" si="1"/>
        <v>-418556.1100000001</v>
      </c>
    </row>
    <row r="31" spans="1:5" ht="18" customHeight="1">
      <c r="A31" s="62" t="s">
        <v>131</v>
      </c>
      <c r="B31" s="145">
        <f>SUM(B32:B35,B38,B39,B40,B45+B47)</f>
        <v>2824070.23</v>
      </c>
      <c r="C31" s="145">
        <f>SUM(C32:C35,C38,C39,C40,C45+C47)</f>
        <v>2470997.04</v>
      </c>
      <c r="D31" s="46">
        <f t="shared" si="0"/>
        <v>87.49771920509215</v>
      </c>
      <c r="E31" s="47">
        <f t="shared" si="1"/>
        <v>-353073.18999999994</v>
      </c>
    </row>
    <row r="32" spans="1:5" ht="16.5" customHeight="1">
      <c r="A32" s="38" t="s">
        <v>34</v>
      </c>
      <c r="B32" s="143">
        <v>1476400</v>
      </c>
      <c r="C32" s="86">
        <v>1230720</v>
      </c>
      <c r="D32" s="40">
        <f t="shared" si="0"/>
        <v>83.35952316445407</v>
      </c>
      <c r="E32" s="41">
        <f t="shared" si="1"/>
        <v>-245680</v>
      </c>
    </row>
    <row r="33" spans="1:5" ht="16.5" customHeight="1">
      <c r="A33" s="38" t="s">
        <v>207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31.5" customHeight="1">
      <c r="A34" s="21" t="s">
        <v>51</v>
      </c>
      <c r="B34" s="36">
        <v>99900</v>
      </c>
      <c r="C34" s="86">
        <v>95500</v>
      </c>
      <c r="D34" s="40">
        <f t="shared" si="0"/>
        <v>95.5955955955956</v>
      </c>
      <c r="E34" s="41">
        <f t="shared" si="1"/>
        <v>-4400</v>
      </c>
    </row>
    <row r="35" spans="1:5" ht="15.75" customHeight="1">
      <c r="A35" s="21" t="s">
        <v>138</v>
      </c>
      <c r="B35" s="36">
        <f>SUM(B36:B37)</f>
        <v>100</v>
      </c>
      <c r="C35" s="36">
        <f>SUM(C36:C37)</f>
        <v>100</v>
      </c>
      <c r="D35" s="40">
        <f t="shared" si="0"/>
        <v>100</v>
      </c>
      <c r="E35" s="41">
        <f t="shared" si="1"/>
        <v>0</v>
      </c>
    </row>
    <row r="36" spans="1:5" ht="16.5" customHeight="1">
      <c r="A36" s="52" t="s">
        <v>153</v>
      </c>
      <c r="B36" s="36">
        <v>100</v>
      </c>
      <c r="C36" s="107">
        <v>100</v>
      </c>
      <c r="D36" s="40">
        <f>IF(B36=0,"   ",C36/B36*100)</f>
        <v>100</v>
      </c>
      <c r="E36" s="41">
        <f>C36-B36</f>
        <v>0</v>
      </c>
    </row>
    <row r="37" spans="1:5" ht="26.25" customHeight="1">
      <c r="A37" s="52" t="s">
        <v>154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61.5" customHeight="1">
      <c r="A38" s="21" t="s">
        <v>214</v>
      </c>
      <c r="B38" s="36">
        <v>802000</v>
      </c>
      <c r="C38" s="107">
        <v>802000</v>
      </c>
      <c r="D38" s="40">
        <f>IF(B38=0,"   ",C38/B38*100)</f>
        <v>100</v>
      </c>
      <c r="E38" s="41">
        <f>C38-B38</f>
        <v>0</v>
      </c>
    </row>
    <row r="39" spans="1:5" ht="26.25" customHeight="1">
      <c r="A39" s="21" t="s">
        <v>268</v>
      </c>
      <c r="B39" s="36">
        <v>0</v>
      </c>
      <c r="C39" s="107">
        <v>0</v>
      </c>
      <c r="D39" s="40" t="str">
        <f>IF(B39=0,"   ",C39/B39*100)</f>
        <v>   </v>
      </c>
      <c r="E39" s="41">
        <f>C39-B39</f>
        <v>0</v>
      </c>
    </row>
    <row r="40" spans="1:5" ht="14.25" customHeight="1">
      <c r="A40" s="21" t="s">
        <v>79</v>
      </c>
      <c r="B40" s="36">
        <f>B41+B44+B43+B42</f>
        <v>395570.23</v>
      </c>
      <c r="C40" s="36">
        <f>C41+C44+C43+C42</f>
        <v>292577.04</v>
      </c>
      <c r="D40" s="40">
        <f t="shared" si="0"/>
        <v>73.96336170191574</v>
      </c>
      <c r="E40" s="41">
        <f t="shared" si="1"/>
        <v>-102993.19</v>
      </c>
    </row>
    <row r="41" spans="1:5" ht="16.5" customHeight="1">
      <c r="A41" s="21" t="s">
        <v>103</v>
      </c>
      <c r="B41" s="36">
        <v>304200</v>
      </c>
      <c r="C41" s="107">
        <v>228150</v>
      </c>
      <c r="D41" s="40">
        <f t="shared" si="0"/>
        <v>75</v>
      </c>
      <c r="E41" s="41">
        <f t="shared" si="1"/>
        <v>-76050</v>
      </c>
    </row>
    <row r="42" spans="1:5" ht="16.5" customHeight="1">
      <c r="A42" s="21" t="s">
        <v>278</v>
      </c>
      <c r="B42" s="36">
        <v>91370.23</v>
      </c>
      <c r="C42" s="107">
        <v>64427.04</v>
      </c>
      <c r="D42" s="40">
        <f t="shared" si="0"/>
        <v>70.5120694125428</v>
      </c>
      <c r="E42" s="41">
        <f t="shared" si="1"/>
        <v>-26943.189999999995</v>
      </c>
    </row>
    <row r="43" spans="1:5" ht="16.5" customHeight="1">
      <c r="A43" s="21" t="s">
        <v>255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16.5" customHeight="1">
      <c r="A44" s="21" t="s">
        <v>176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27" customHeight="1">
      <c r="A45" s="21" t="s">
        <v>310</v>
      </c>
      <c r="B45" s="36">
        <v>50100</v>
      </c>
      <c r="C45" s="107">
        <v>50100</v>
      </c>
      <c r="D45" s="40">
        <f t="shared" si="0"/>
        <v>100</v>
      </c>
      <c r="E45" s="41">
        <f t="shared" si="1"/>
        <v>0</v>
      </c>
    </row>
    <row r="46" spans="1:5" ht="28.5" customHeight="1">
      <c r="A46" s="21" t="s">
        <v>97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5" customHeight="1">
      <c r="A47" s="21" t="s">
        <v>184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27" customHeight="1">
      <c r="A48" s="44" t="s">
        <v>11</v>
      </c>
      <c r="B48" s="116">
        <f>SUM(B30,B31,)</f>
        <v>4119070.23</v>
      </c>
      <c r="C48" s="116">
        <f>SUM(C30,C31,)</f>
        <v>3347440.9299999997</v>
      </c>
      <c r="D48" s="46">
        <f t="shared" si="0"/>
        <v>81.26690595416237</v>
      </c>
      <c r="E48" s="47">
        <f t="shared" si="1"/>
        <v>-771629.3000000003</v>
      </c>
    </row>
    <row r="49" spans="1:5" ht="21.75" customHeight="1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6.5" customHeight="1">
      <c r="A50" s="21" t="s">
        <v>35</v>
      </c>
      <c r="B50" s="36">
        <f>SUM(B51,B54:B55)</f>
        <v>1444100</v>
      </c>
      <c r="C50" s="36">
        <f>SUM(C51,C54:C55)</f>
        <v>891690.31</v>
      </c>
      <c r="D50" s="40">
        <f t="shared" si="0"/>
        <v>61.74713039263209</v>
      </c>
      <c r="E50" s="41">
        <f t="shared" si="1"/>
        <v>-552409.69</v>
      </c>
    </row>
    <row r="51" spans="1:5" ht="13.5" customHeight="1">
      <c r="A51" s="21" t="s">
        <v>36</v>
      </c>
      <c r="B51" s="36">
        <v>1425800</v>
      </c>
      <c r="C51" s="36">
        <v>891690.31</v>
      </c>
      <c r="D51" s="40">
        <f t="shared" si="0"/>
        <v>62.539648618319546</v>
      </c>
      <c r="E51" s="41">
        <f t="shared" si="1"/>
        <v>-534109.69</v>
      </c>
    </row>
    <row r="52" spans="1:5" ht="13.5">
      <c r="A52" s="21" t="s">
        <v>116</v>
      </c>
      <c r="B52" s="36">
        <v>801536</v>
      </c>
      <c r="C52" s="99">
        <v>467716.26</v>
      </c>
      <c r="D52" s="40">
        <f t="shared" si="0"/>
        <v>58.352495708240184</v>
      </c>
      <c r="E52" s="41">
        <f t="shared" si="1"/>
        <v>-333819.74</v>
      </c>
    </row>
    <row r="53" spans="1:5" ht="13.5">
      <c r="A53" s="21" t="s">
        <v>312</v>
      </c>
      <c r="B53" s="36">
        <v>50100</v>
      </c>
      <c r="C53" s="99">
        <v>50100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90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107">
        <f>SUM(B56)</f>
        <v>17800</v>
      </c>
      <c r="C55" s="107">
        <f>SUM(C56)</f>
        <v>0</v>
      </c>
      <c r="D55" s="40">
        <f t="shared" si="0"/>
        <v>0</v>
      </c>
      <c r="E55" s="41">
        <f t="shared" si="1"/>
        <v>-17800</v>
      </c>
    </row>
    <row r="56" spans="1:5" ht="27">
      <c r="A56" s="17" t="s">
        <v>222</v>
      </c>
      <c r="B56" s="36">
        <v>17800</v>
      </c>
      <c r="C56" s="107">
        <v>0</v>
      </c>
      <c r="D56" s="40">
        <f t="shared" si="0"/>
        <v>0</v>
      </c>
      <c r="E56" s="41">
        <f t="shared" si="1"/>
        <v>-17800</v>
      </c>
    </row>
    <row r="57" spans="1:5" ht="16.5" customHeight="1">
      <c r="A57" s="21" t="s">
        <v>49</v>
      </c>
      <c r="B57" s="107">
        <f>SUM(B58)</f>
        <v>99900</v>
      </c>
      <c r="C57" s="107">
        <f>SUM(C58)</f>
        <v>67829.32</v>
      </c>
      <c r="D57" s="40">
        <f t="shared" si="0"/>
        <v>67.89721721721722</v>
      </c>
      <c r="E57" s="41">
        <f t="shared" si="1"/>
        <v>-32070.679999999993</v>
      </c>
    </row>
    <row r="58" spans="1:5" ht="17.25" customHeight="1">
      <c r="A58" s="21" t="s">
        <v>101</v>
      </c>
      <c r="B58" s="36">
        <v>99900</v>
      </c>
      <c r="C58" s="107">
        <v>67829.32</v>
      </c>
      <c r="D58" s="40">
        <f t="shared" si="0"/>
        <v>67.89721721721722</v>
      </c>
      <c r="E58" s="41">
        <f t="shared" si="1"/>
        <v>-32070.679999999993</v>
      </c>
    </row>
    <row r="59" spans="1:5" ht="22.5" customHeight="1">
      <c r="A59" s="21" t="s">
        <v>37</v>
      </c>
      <c r="B59" s="36">
        <f>SUM(B60)</f>
        <v>5000</v>
      </c>
      <c r="C59" s="107">
        <f>SUM(C60)</f>
        <v>0</v>
      </c>
      <c r="D59" s="40">
        <f t="shared" si="0"/>
        <v>0</v>
      </c>
      <c r="E59" s="41">
        <f t="shared" si="1"/>
        <v>-5000</v>
      </c>
    </row>
    <row r="60" spans="1:5" ht="17.25" customHeight="1">
      <c r="A60" s="60" t="s">
        <v>303</v>
      </c>
      <c r="B60" s="36">
        <v>5000</v>
      </c>
      <c r="C60" s="107">
        <v>0</v>
      </c>
      <c r="D60" s="40">
        <f t="shared" si="0"/>
        <v>0</v>
      </c>
      <c r="E60" s="41">
        <f t="shared" si="1"/>
        <v>-5000</v>
      </c>
    </row>
    <row r="61" spans="1:5" ht="18.75" customHeight="1">
      <c r="A61" s="21" t="s">
        <v>38</v>
      </c>
      <c r="B61" s="36">
        <f>B70+B62+B78+B68</f>
        <v>1898826.37</v>
      </c>
      <c r="C61" s="36">
        <f>C70+C62+C78+C68</f>
        <v>1266264.3900000001</v>
      </c>
      <c r="D61" s="40">
        <f t="shared" si="0"/>
        <v>66.68668657682483</v>
      </c>
      <c r="E61" s="41">
        <f t="shared" si="1"/>
        <v>-632561.98</v>
      </c>
    </row>
    <row r="62" spans="1:5" ht="18.75" customHeight="1">
      <c r="A62" s="60" t="s">
        <v>155</v>
      </c>
      <c r="B62" s="36">
        <f>SUM(B63:B67)</f>
        <v>124145.56</v>
      </c>
      <c r="C62" s="36">
        <f>SUM(C63:C67)</f>
        <v>97202.37</v>
      </c>
      <c r="D62" s="40">
        <f aca="true" t="shared" si="2" ref="D62:D69">IF(B62=0,"   ",C62/B62*100)</f>
        <v>78.29709737504909</v>
      </c>
      <c r="E62" s="41">
        <f aca="true" t="shared" si="3" ref="E62:E69">C62-B62</f>
        <v>-26943.190000000002</v>
      </c>
    </row>
    <row r="63" spans="1:5" ht="18.75" customHeight="1">
      <c r="A63" s="60" t="s">
        <v>156</v>
      </c>
      <c r="B63" s="36">
        <v>0</v>
      </c>
      <c r="C63" s="36">
        <v>0</v>
      </c>
      <c r="D63" s="40" t="str">
        <f t="shared" si="2"/>
        <v>   </v>
      </c>
      <c r="E63" s="41">
        <f t="shared" si="3"/>
        <v>0</v>
      </c>
    </row>
    <row r="64" spans="1:5" ht="18.75" customHeight="1">
      <c r="A64" s="60" t="s">
        <v>177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8.75" customHeight="1">
      <c r="A65" s="62" t="s">
        <v>280</v>
      </c>
      <c r="B65" s="36">
        <v>26943.19</v>
      </c>
      <c r="C65" s="36">
        <v>26943.19</v>
      </c>
      <c r="D65" s="40">
        <f t="shared" si="2"/>
        <v>100</v>
      </c>
      <c r="E65" s="41">
        <f t="shared" si="3"/>
        <v>0</v>
      </c>
    </row>
    <row r="66" spans="1:5" ht="18.75" customHeight="1">
      <c r="A66" s="60" t="s">
        <v>279</v>
      </c>
      <c r="B66" s="36">
        <v>91370.23</v>
      </c>
      <c r="C66" s="36">
        <v>64427.04</v>
      </c>
      <c r="D66" s="40">
        <f t="shared" si="2"/>
        <v>70.5120694125428</v>
      </c>
      <c r="E66" s="41">
        <f t="shared" si="3"/>
        <v>-26943.189999999995</v>
      </c>
    </row>
    <row r="67" spans="1:5" ht="18.75" customHeight="1">
      <c r="A67" s="60" t="s">
        <v>376</v>
      </c>
      <c r="B67" s="36">
        <v>5832.14</v>
      </c>
      <c r="C67" s="36">
        <v>5832.14</v>
      </c>
      <c r="D67" s="40">
        <f t="shared" si="2"/>
        <v>100</v>
      </c>
      <c r="E67" s="41">
        <f t="shared" si="3"/>
        <v>0</v>
      </c>
    </row>
    <row r="68" spans="1:5" ht="18.75" customHeight="1">
      <c r="A68" s="62" t="s">
        <v>208</v>
      </c>
      <c r="B68" s="36">
        <f>SUM(B69)</f>
        <v>0</v>
      </c>
      <c r="C68" s="36">
        <f>SUM(C69)</f>
        <v>0</v>
      </c>
      <c r="D68" s="40" t="str">
        <f t="shared" si="2"/>
        <v>   </v>
      </c>
      <c r="E68" s="41">
        <f t="shared" si="3"/>
        <v>0</v>
      </c>
    </row>
    <row r="69" spans="1:5" ht="18.75" customHeight="1">
      <c r="A69" s="62" t="s">
        <v>209</v>
      </c>
      <c r="B69" s="36">
        <v>0</v>
      </c>
      <c r="C69" s="36">
        <v>0</v>
      </c>
      <c r="D69" s="40" t="str">
        <f t="shared" si="2"/>
        <v>   </v>
      </c>
      <c r="E69" s="41">
        <f t="shared" si="3"/>
        <v>0</v>
      </c>
    </row>
    <row r="70" spans="1:5" ht="13.5">
      <c r="A70" s="62" t="s">
        <v>123</v>
      </c>
      <c r="B70" s="36">
        <f>SUM(B71:B77)</f>
        <v>1761624</v>
      </c>
      <c r="C70" s="36">
        <f>SUM(C71:C77)</f>
        <v>1169062.02</v>
      </c>
      <c r="D70" s="40">
        <f t="shared" si="0"/>
        <v>66.36274369558997</v>
      </c>
      <c r="E70" s="41">
        <f t="shared" si="1"/>
        <v>-592561.98</v>
      </c>
    </row>
    <row r="71" spans="1:5" ht="16.5" customHeight="1">
      <c r="A71" s="60" t="s">
        <v>139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27" customHeight="1">
      <c r="A72" s="17" t="s">
        <v>225</v>
      </c>
      <c r="B72" s="36">
        <v>532424</v>
      </c>
      <c r="C72" s="36">
        <v>24362.02</v>
      </c>
      <c r="D72" s="40">
        <f>IF(B72=0,"   ",C72/B72*100)</f>
        <v>4.57568028488573</v>
      </c>
      <c r="E72" s="41">
        <f>C72-B72</f>
        <v>-508061.98</v>
      </c>
    </row>
    <row r="73" spans="1:5" ht="27">
      <c r="A73" s="17" t="s">
        <v>226</v>
      </c>
      <c r="B73" s="36">
        <v>0</v>
      </c>
      <c r="C73" s="36">
        <v>0</v>
      </c>
      <c r="D73" s="40" t="str">
        <f t="shared" si="0"/>
        <v>   </v>
      </c>
      <c r="E73" s="41">
        <f t="shared" si="1"/>
        <v>0</v>
      </c>
    </row>
    <row r="74" spans="1:5" ht="27">
      <c r="A74" s="17" t="s">
        <v>227</v>
      </c>
      <c r="B74" s="36">
        <v>802000</v>
      </c>
      <c r="C74" s="36">
        <v>802000</v>
      </c>
      <c r="D74" s="40">
        <f t="shared" si="0"/>
        <v>100</v>
      </c>
      <c r="E74" s="41">
        <f t="shared" si="1"/>
        <v>0</v>
      </c>
    </row>
    <row r="75" spans="1:5" ht="27">
      <c r="A75" s="17" t="s">
        <v>228</v>
      </c>
      <c r="B75" s="36">
        <v>89200</v>
      </c>
      <c r="C75" s="36">
        <v>89200</v>
      </c>
      <c r="D75" s="40">
        <f t="shared" si="0"/>
        <v>100</v>
      </c>
      <c r="E75" s="41">
        <f t="shared" si="1"/>
        <v>0</v>
      </c>
    </row>
    <row r="76" spans="1:5" ht="27">
      <c r="A76" s="17" t="s">
        <v>229</v>
      </c>
      <c r="B76" s="36">
        <v>304200</v>
      </c>
      <c r="C76" s="36">
        <v>228150</v>
      </c>
      <c r="D76" s="40">
        <f t="shared" si="0"/>
        <v>75</v>
      </c>
      <c r="E76" s="41">
        <f t="shared" si="1"/>
        <v>-76050</v>
      </c>
    </row>
    <row r="77" spans="1:5" ht="27.75" thickBot="1">
      <c r="A77" s="62" t="s">
        <v>230</v>
      </c>
      <c r="B77" s="36">
        <v>33800</v>
      </c>
      <c r="C77" s="36">
        <v>25350</v>
      </c>
      <c r="D77" s="40">
        <f t="shared" si="0"/>
        <v>75</v>
      </c>
      <c r="E77" s="41">
        <f t="shared" si="1"/>
        <v>-8450</v>
      </c>
    </row>
    <row r="78" spans="1:5" ht="14.25" thickBot="1">
      <c r="A78" s="62" t="s">
        <v>166</v>
      </c>
      <c r="B78" s="93">
        <f>SUM(B79)</f>
        <v>13056.81</v>
      </c>
      <c r="C78" s="93">
        <f>SUM(C79)</f>
        <v>0</v>
      </c>
      <c r="D78" s="40">
        <f>IF(B78=0,"   ",C78/B78*100)</f>
        <v>0</v>
      </c>
      <c r="E78" s="41">
        <f>C78-B78</f>
        <v>-13056.81</v>
      </c>
    </row>
    <row r="79" spans="1:5" ht="27">
      <c r="A79" s="17" t="s">
        <v>145</v>
      </c>
      <c r="B79" s="36">
        <v>13056.81</v>
      </c>
      <c r="C79" s="36">
        <v>0</v>
      </c>
      <c r="D79" s="40">
        <f>IF(B79=0,"   ",C79/B79*100)</f>
        <v>0</v>
      </c>
      <c r="E79" s="41">
        <f>C79-B79</f>
        <v>-13056.81</v>
      </c>
    </row>
    <row r="80" spans="1:5" ht="21.75" customHeight="1">
      <c r="A80" s="21" t="s">
        <v>13</v>
      </c>
      <c r="B80" s="36">
        <f>B91+B81+B100</f>
        <v>557500</v>
      </c>
      <c r="C80" s="36">
        <f>C91+C81+C100</f>
        <v>94492.9</v>
      </c>
      <c r="D80" s="40">
        <f t="shared" si="0"/>
        <v>16.94939910313901</v>
      </c>
      <c r="E80" s="41">
        <f t="shared" si="1"/>
        <v>-463007.1</v>
      </c>
    </row>
    <row r="81" spans="1:5" ht="17.25" customHeight="1">
      <c r="A81" s="21" t="s">
        <v>140</v>
      </c>
      <c r="B81" s="36">
        <f>B86+B82+B83+B84+B85</f>
        <v>207500</v>
      </c>
      <c r="C81" s="36">
        <f>C86+C82+C83+C84+C85</f>
        <v>8203.9</v>
      </c>
      <c r="D81" s="40">
        <f aca="true" t="shared" si="4" ref="D81:D90">IF(B81=0,"   ",C81/B81*100)</f>
        <v>3.9536867469879513</v>
      </c>
      <c r="E81" s="41">
        <f aca="true" t="shared" si="5" ref="E81:E90">C81-B81</f>
        <v>-199296.1</v>
      </c>
    </row>
    <row r="82" spans="1:5" ht="28.5" customHeight="1">
      <c r="A82" s="21" t="s">
        <v>181</v>
      </c>
      <c r="B82" s="36">
        <v>20000</v>
      </c>
      <c r="C82" s="36">
        <v>8203.9</v>
      </c>
      <c r="D82" s="40">
        <f t="shared" si="4"/>
        <v>41.0195</v>
      </c>
      <c r="E82" s="41">
        <f t="shared" si="5"/>
        <v>-11796.1</v>
      </c>
    </row>
    <row r="83" spans="1:5" ht="18" customHeight="1">
      <c r="A83" s="21" t="s">
        <v>304</v>
      </c>
      <c r="B83" s="36">
        <v>187500</v>
      </c>
      <c r="C83" s="36">
        <v>0</v>
      </c>
      <c r="D83" s="40"/>
      <c r="E83" s="41"/>
    </row>
    <row r="84" spans="1:5" ht="17.25" customHeight="1">
      <c r="A84" s="17" t="s">
        <v>251</v>
      </c>
      <c r="B84" s="36">
        <v>0</v>
      </c>
      <c r="C84" s="36">
        <v>0</v>
      </c>
      <c r="D84" s="40" t="str">
        <f t="shared" si="4"/>
        <v>   </v>
      </c>
      <c r="E84" s="41">
        <f t="shared" si="5"/>
        <v>0</v>
      </c>
    </row>
    <row r="85" spans="1:5" ht="17.25" customHeight="1">
      <c r="A85" s="21" t="s">
        <v>258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7.25" customHeight="1">
      <c r="A86" s="21" t="s">
        <v>261</v>
      </c>
      <c r="B86" s="36">
        <v>0</v>
      </c>
      <c r="C86" s="36">
        <v>0</v>
      </c>
      <c r="D86" s="40" t="str">
        <f t="shared" si="4"/>
        <v>   </v>
      </c>
      <c r="E86" s="41">
        <f t="shared" si="5"/>
        <v>0</v>
      </c>
    </row>
    <row r="87" spans="1:5" ht="15" customHeight="1">
      <c r="A87" s="17" t="s">
        <v>252</v>
      </c>
      <c r="B87" s="36">
        <f>SUM(B88:B90)</f>
        <v>0</v>
      </c>
      <c r="C87" s="36">
        <f>SUM(C88:C90)</f>
        <v>0</v>
      </c>
      <c r="D87" s="40" t="str">
        <f t="shared" si="4"/>
        <v>   </v>
      </c>
      <c r="E87" s="41">
        <f t="shared" si="5"/>
        <v>0</v>
      </c>
    </row>
    <row r="88" spans="1:5" ht="17.25" customHeight="1">
      <c r="A88" s="17" t="s">
        <v>175</v>
      </c>
      <c r="B88" s="107">
        <v>0</v>
      </c>
      <c r="C88" s="107">
        <v>0</v>
      </c>
      <c r="D88" s="40" t="str">
        <f t="shared" si="4"/>
        <v>   </v>
      </c>
      <c r="E88" s="41">
        <f t="shared" si="5"/>
        <v>0</v>
      </c>
    </row>
    <row r="89" spans="1:5" ht="18" customHeight="1">
      <c r="A89" s="17" t="s">
        <v>185</v>
      </c>
      <c r="B89" s="107">
        <v>0</v>
      </c>
      <c r="C89" s="107">
        <v>0</v>
      </c>
      <c r="D89" s="40" t="str">
        <f t="shared" si="4"/>
        <v>   </v>
      </c>
      <c r="E89" s="41">
        <f t="shared" si="5"/>
        <v>0</v>
      </c>
    </row>
    <row r="90" spans="1:5" ht="12.75" customHeight="1">
      <c r="A90" s="17" t="s">
        <v>193</v>
      </c>
      <c r="B90" s="107">
        <v>0</v>
      </c>
      <c r="C90" s="107">
        <v>0</v>
      </c>
      <c r="D90" s="40" t="str">
        <f t="shared" si="4"/>
        <v>   </v>
      </c>
      <c r="E90" s="41">
        <f t="shared" si="5"/>
        <v>0</v>
      </c>
    </row>
    <row r="91" spans="1:5" ht="13.5">
      <c r="A91" s="21" t="s">
        <v>63</v>
      </c>
      <c r="B91" s="36">
        <f>B92+B93+B95+B99+B94</f>
        <v>349900</v>
      </c>
      <c r="C91" s="36">
        <f>C92+C93+C95+C99+C94</f>
        <v>86189</v>
      </c>
      <c r="D91" s="40">
        <f t="shared" si="0"/>
        <v>24.63246641897685</v>
      </c>
      <c r="E91" s="41">
        <f t="shared" si="1"/>
        <v>-263711</v>
      </c>
    </row>
    <row r="92" spans="1:5" ht="13.5">
      <c r="A92" s="21" t="s">
        <v>62</v>
      </c>
      <c r="B92" s="36">
        <v>170000</v>
      </c>
      <c r="C92" s="107">
        <v>86189</v>
      </c>
      <c r="D92" s="40">
        <f t="shared" si="0"/>
        <v>50.69941176470588</v>
      </c>
      <c r="E92" s="41">
        <f t="shared" si="1"/>
        <v>-83811</v>
      </c>
    </row>
    <row r="93" spans="1:5" ht="13.5">
      <c r="A93" s="21" t="s">
        <v>122</v>
      </c>
      <c r="B93" s="36">
        <v>39900</v>
      </c>
      <c r="C93" s="36">
        <v>0</v>
      </c>
      <c r="D93" s="40">
        <f t="shared" si="0"/>
        <v>0</v>
      </c>
      <c r="E93" s="41">
        <f t="shared" si="1"/>
        <v>-39900</v>
      </c>
    </row>
    <row r="94" spans="1:5" ht="13.5">
      <c r="A94" s="21" t="s">
        <v>346</v>
      </c>
      <c r="B94" s="36">
        <v>140000</v>
      </c>
      <c r="C94" s="36">
        <v>0</v>
      </c>
      <c r="D94" s="40">
        <f t="shared" si="0"/>
        <v>0</v>
      </c>
      <c r="E94" s="41">
        <f t="shared" si="1"/>
        <v>-140000</v>
      </c>
    </row>
    <row r="95" spans="1:5" ht="13.5">
      <c r="A95" s="17" t="s">
        <v>191</v>
      </c>
      <c r="B95" s="36">
        <f>SUM(B96:B98)</f>
        <v>0</v>
      </c>
      <c r="C95" s="36">
        <f>SUM(C96:C98)</f>
        <v>0</v>
      </c>
      <c r="D95" s="40" t="str">
        <f t="shared" si="0"/>
        <v>   </v>
      </c>
      <c r="E95" s="41">
        <f t="shared" si="1"/>
        <v>0</v>
      </c>
    </row>
    <row r="96" spans="1:5" ht="15" customHeight="1">
      <c r="A96" s="17" t="s">
        <v>175</v>
      </c>
      <c r="B96" s="36">
        <v>0</v>
      </c>
      <c r="C96" s="36">
        <v>0</v>
      </c>
      <c r="D96" s="40" t="str">
        <f t="shared" si="0"/>
        <v>   </v>
      </c>
      <c r="E96" s="41">
        <f t="shared" si="1"/>
        <v>0</v>
      </c>
    </row>
    <row r="97" spans="1:5" ht="15" customHeight="1">
      <c r="A97" s="17" t="s">
        <v>185</v>
      </c>
      <c r="B97" s="36">
        <v>0</v>
      </c>
      <c r="C97" s="36">
        <v>0</v>
      </c>
      <c r="D97" s="40" t="str">
        <f>IF(B97=0,"   ",C97/B97*100)</f>
        <v>   </v>
      </c>
      <c r="E97" s="41">
        <f>C97-B97</f>
        <v>0</v>
      </c>
    </row>
    <row r="98" spans="1:5" ht="14.25" customHeight="1">
      <c r="A98" s="17" t="s">
        <v>193</v>
      </c>
      <c r="B98" s="36">
        <v>0</v>
      </c>
      <c r="C98" s="36">
        <v>0</v>
      </c>
      <c r="D98" s="40" t="str">
        <f>IF(B98=0,"   ",C98/B98*100)</f>
        <v>   </v>
      </c>
      <c r="E98" s="41">
        <f>C98-B98</f>
        <v>0</v>
      </c>
    </row>
    <row r="99" spans="1:5" ht="13.5" customHeight="1" thickBot="1">
      <c r="A99" s="17" t="s">
        <v>259</v>
      </c>
      <c r="B99" s="36">
        <v>0</v>
      </c>
      <c r="C99" s="36">
        <v>0</v>
      </c>
      <c r="D99" s="40" t="str">
        <f>IF(B99=0,"   ",C99/B99*100)</f>
        <v>   </v>
      </c>
      <c r="E99" s="41">
        <f>C99-B99</f>
        <v>0</v>
      </c>
    </row>
    <row r="100" spans="1:5" ht="14.25" thickBot="1">
      <c r="A100" s="62" t="s">
        <v>290</v>
      </c>
      <c r="B100" s="111">
        <f>SUM(B101)</f>
        <v>100</v>
      </c>
      <c r="C100" s="111">
        <f>SUM(C101)</f>
        <v>100</v>
      </c>
      <c r="D100" s="40"/>
      <c r="E100" s="41"/>
    </row>
    <row r="101" spans="1:5" ht="13.5">
      <c r="A101" s="62" t="s">
        <v>247</v>
      </c>
      <c r="B101" s="36">
        <v>100</v>
      </c>
      <c r="C101" s="99">
        <v>100</v>
      </c>
      <c r="D101" s="40"/>
      <c r="E101" s="41"/>
    </row>
    <row r="102" spans="1:5" ht="21.75" customHeight="1">
      <c r="A102" s="21" t="s">
        <v>17</v>
      </c>
      <c r="B102" s="36">
        <v>0</v>
      </c>
      <c r="C102" s="36">
        <v>0</v>
      </c>
      <c r="D102" s="40" t="str">
        <f t="shared" si="0"/>
        <v>   </v>
      </c>
      <c r="E102" s="41">
        <f t="shared" si="1"/>
        <v>0</v>
      </c>
    </row>
    <row r="103" spans="1:5" ht="22.5" customHeight="1">
      <c r="A103" s="21" t="s">
        <v>41</v>
      </c>
      <c r="B103" s="143">
        <f>B104</f>
        <v>662100</v>
      </c>
      <c r="C103" s="143">
        <f>C104</f>
        <v>662100</v>
      </c>
      <c r="D103" s="40">
        <f t="shared" si="0"/>
        <v>100</v>
      </c>
      <c r="E103" s="41">
        <f t="shared" si="1"/>
        <v>0</v>
      </c>
    </row>
    <row r="104" spans="1:5" ht="13.5">
      <c r="A104" s="21" t="s">
        <v>42</v>
      </c>
      <c r="B104" s="36">
        <f>SUM(B105:B108)</f>
        <v>662100</v>
      </c>
      <c r="C104" s="36">
        <f>SUM(C105:C108)</f>
        <v>662100</v>
      </c>
      <c r="D104" s="40">
        <f t="shared" si="0"/>
        <v>100</v>
      </c>
      <c r="E104" s="41">
        <f t="shared" si="1"/>
        <v>0</v>
      </c>
    </row>
    <row r="105" spans="1:5" ht="13.5">
      <c r="A105" s="21" t="s">
        <v>133</v>
      </c>
      <c r="B105" s="36">
        <v>662100</v>
      </c>
      <c r="C105" s="107">
        <v>662100</v>
      </c>
      <c r="D105" s="40">
        <f t="shared" si="0"/>
        <v>100</v>
      </c>
      <c r="E105" s="41">
        <f t="shared" si="1"/>
        <v>0</v>
      </c>
    </row>
    <row r="106" spans="1:5" ht="13.5">
      <c r="A106" s="68" t="s">
        <v>271</v>
      </c>
      <c r="B106" s="36">
        <v>0</v>
      </c>
      <c r="C106" s="107">
        <v>0</v>
      </c>
      <c r="D106" s="40" t="str">
        <f t="shared" si="0"/>
        <v>   </v>
      </c>
      <c r="E106" s="41">
        <f t="shared" si="1"/>
        <v>0</v>
      </c>
    </row>
    <row r="107" spans="1:5" ht="13.5">
      <c r="A107" s="68" t="s">
        <v>272</v>
      </c>
      <c r="B107" s="36">
        <v>0</v>
      </c>
      <c r="C107" s="107">
        <v>0</v>
      </c>
      <c r="D107" s="40" t="str">
        <f t="shared" si="0"/>
        <v>   </v>
      </c>
      <c r="E107" s="41">
        <f t="shared" si="1"/>
        <v>0</v>
      </c>
    </row>
    <row r="108" spans="1:5" ht="13.5">
      <c r="A108" s="68" t="s">
        <v>273</v>
      </c>
      <c r="B108" s="36">
        <v>0</v>
      </c>
      <c r="C108" s="107">
        <v>0</v>
      </c>
      <c r="D108" s="40" t="str">
        <f t="shared" si="0"/>
        <v>   </v>
      </c>
      <c r="E108" s="41">
        <f t="shared" si="1"/>
        <v>0</v>
      </c>
    </row>
    <row r="109" spans="1:5" ht="16.5" customHeight="1">
      <c r="A109" s="21" t="s">
        <v>118</v>
      </c>
      <c r="B109" s="36">
        <f>SUM(B110,)</f>
        <v>0</v>
      </c>
      <c r="C109" s="36">
        <f>SUM(C110,)</f>
        <v>0</v>
      </c>
      <c r="D109" s="40" t="str">
        <f t="shared" si="0"/>
        <v>   </v>
      </c>
      <c r="E109" s="41">
        <f t="shared" si="1"/>
        <v>0</v>
      </c>
    </row>
    <row r="110" spans="1:5" ht="13.5">
      <c r="A110" s="21" t="s">
        <v>43</v>
      </c>
      <c r="B110" s="36">
        <v>0</v>
      </c>
      <c r="C110" s="99">
        <v>0</v>
      </c>
      <c r="D110" s="40" t="str">
        <f t="shared" si="0"/>
        <v>   </v>
      </c>
      <c r="E110" s="41">
        <f t="shared" si="1"/>
        <v>0</v>
      </c>
    </row>
    <row r="111" spans="1:5" ht="28.5" customHeight="1">
      <c r="A111" s="44" t="s">
        <v>15</v>
      </c>
      <c r="B111" s="116">
        <f>SUM(B50,B57,B59,B61,B80,B102,B103,B109,)</f>
        <v>4667426.37</v>
      </c>
      <c r="C111" s="116">
        <f>SUM(C50,C57,C59,C61,C80,C102,C103,C109,)</f>
        <v>2982376.9200000004</v>
      </c>
      <c r="D111" s="46">
        <f>IF(B111=0,"   ",C111/B111*100)</f>
        <v>63.89767472646815</v>
      </c>
      <c r="E111" s="47">
        <f t="shared" si="1"/>
        <v>-1685049.4499999997</v>
      </c>
    </row>
    <row r="112" spans="1:5" s="13" customFormat="1" ht="33" customHeight="1">
      <c r="A112" s="71" t="s">
        <v>276</v>
      </c>
      <c r="B112" s="71"/>
      <c r="C112" s="168"/>
      <c r="D112" s="168"/>
      <c r="E112" s="168"/>
    </row>
    <row r="113" spans="1:5" s="13" customFormat="1" ht="12" customHeight="1">
      <c r="A113" s="71" t="s">
        <v>144</v>
      </c>
      <c r="B113" s="71"/>
      <c r="C113" s="72" t="s">
        <v>277</v>
      </c>
      <c r="D113" s="73"/>
      <c r="E113" s="74"/>
    </row>
    <row r="114" spans="1:5" ht="13.5">
      <c r="A114" s="71"/>
      <c r="B114" s="71"/>
      <c r="C114" s="117"/>
      <c r="D114" s="71"/>
      <c r="E114" s="118"/>
    </row>
    <row r="115" spans="1:5" ht="13.5">
      <c r="A115" s="71"/>
      <c r="B115" s="71"/>
      <c r="C115" s="117"/>
      <c r="D115" s="71"/>
      <c r="E115" s="118"/>
    </row>
    <row r="116" spans="1:5" ht="12.75">
      <c r="A116" s="6"/>
      <c r="B116" s="6"/>
      <c r="C116" s="5"/>
      <c r="D116" s="6"/>
      <c r="E116" s="2"/>
    </row>
    <row r="117" spans="1:5" ht="12.75">
      <c r="A117" s="6"/>
      <c r="B117" s="6"/>
      <c r="C117" s="5"/>
      <c r="D117" s="6"/>
      <c r="E117" s="2"/>
    </row>
  </sheetData>
  <sheetProtection/>
  <mergeCells count="2">
    <mergeCell ref="A1:E1"/>
    <mergeCell ref="C112:E112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6"/>
  <sheetViews>
    <sheetView zoomScalePageLayoutView="0" workbookViewId="0" topLeftCell="A49">
      <selection activeCell="C47" sqref="C47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17.00390625" style="0" customWidth="1"/>
    <col min="5" max="5" width="15.00390625" style="0" customWidth="1"/>
  </cols>
  <sheetData>
    <row r="1" spans="1:5" ht="13.5">
      <c r="A1" s="169" t="s">
        <v>367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319</v>
      </c>
      <c r="C4" s="26" t="s">
        <v>368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9.5" customHeight="1">
      <c r="A7" s="38" t="s">
        <v>45</v>
      </c>
      <c r="B7" s="143">
        <f>SUM(B8)</f>
        <v>11181400</v>
      </c>
      <c r="C7" s="143">
        <f>SUM(C8)</f>
        <v>11071568.15</v>
      </c>
      <c r="D7" s="40">
        <f aca="true" t="shared" si="0" ref="D7:D130">IF(B7=0,"   ",C7/B7*100)</f>
        <v>99.01772720768419</v>
      </c>
      <c r="E7" s="41">
        <f aca="true" t="shared" si="1" ref="E7:E170">C7-B7</f>
        <v>-109831.84999999963</v>
      </c>
    </row>
    <row r="8" spans="1:5" ht="13.5">
      <c r="A8" s="21" t="s">
        <v>44</v>
      </c>
      <c r="B8" s="36">
        <v>11181400</v>
      </c>
      <c r="C8" s="86">
        <v>11071568.15</v>
      </c>
      <c r="D8" s="40">
        <f t="shared" si="0"/>
        <v>99.01772720768419</v>
      </c>
      <c r="E8" s="41">
        <f t="shared" si="1"/>
        <v>-109831.84999999963</v>
      </c>
    </row>
    <row r="9" spans="1:5" ht="18.75" customHeight="1">
      <c r="A9" s="38" t="s">
        <v>128</v>
      </c>
      <c r="B9" s="143">
        <f>SUM(B10)</f>
        <v>1570100</v>
      </c>
      <c r="C9" s="143">
        <f>SUM(C10)</f>
        <v>1550545.78</v>
      </c>
      <c r="D9" s="40">
        <f t="shared" si="0"/>
        <v>98.75458760588498</v>
      </c>
      <c r="E9" s="41">
        <f t="shared" si="1"/>
        <v>-19554.219999999972</v>
      </c>
    </row>
    <row r="10" spans="1:5" ht="13.5">
      <c r="A10" s="21" t="s">
        <v>129</v>
      </c>
      <c r="B10" s="36">
        <v>1570100</v>
      </c>
      <c r="C10" s="86">
        <v>1550545.78</v>
      </c>
      <c r="D10" s="40">
        <f t="shared" si="0"/>
        <v>98.75458760588498</v>
      </c>
      <c r="E10" s="41">
        <f t="shared" si="1"/>
        <v>-19554.219999999972</v>
      </c>
    </row>
    <row r="11" spans="1:5" ht="17.25" customHeight="1">
      <c r="A11" s="21" t="s">
        <v>7</v>
      </c>
      <c r="B11" s="36">
        <f>SUM(B12:B12)</f>
        <v>0</v>
      </c>
      <c r="C11" s="143">
        <f>SUM(C12)</f>
        <v>14571.83</v>
      </c>
      <c r="D11" s="40" t="str">
        <f t="shared" si="0"/>
        <v>   </v>
      </c>
      <c r="E11" s="41">
        <f t="shared" si="1"/>
        <v>14571.83</v>
      </c>
    </row>
    <row r="12" spans="1:5" ht="13.5">
      <c r="A12" s="21" t="s">
        <v>26</v>
      </c>
      <c r="B12" s="36">
        <v>0</v>
      </c>
      <c r="C12" s="86">
        <v>14571.83</v>
      </c>
      <c r="D12" s="40" t="str">
        <f t="shared" si="0"/>
        <v>   </v>
      </c>
      <c r="E12" s="41">
        <f t="shared" si="1"/>
        <v>14571.83</v>
      </c>
    </row>
    <row r="13" spans="1:5" ht="16.5" customHeight="1">
      <c r="A13" s="21" t="s">
        <v>9</v>
      </c>
      <c r="B13" s="36">
        <f>SUM(B14:B15)</f>
        <v>6653000</v>
      </c>
      <c r="C13" s="36">
        <f>SUM(C14:C15)</f>
        <v>3301062.18</v>
      </c>
      <c r="D13" s="40">
        <f t="shared" si="0"/>
        <v>49.61764888020442</v>
      </c>
      <c r="E13" s="41">
        <f t="shared" si="1"/>
        <v>-3351937.82</v>
      </c>
    </row>
    <row r="14" spans="1:5" ht="13.5">
      <c r="A14" s="21" t="s">
        <v>27</v>
      </c>
      <c r="B14" s="36">
        <v>4148000</v>
      </c>
      <c r="C14" s="86">
        <v>1354252.85</v>
      </c>
      <c r="D14" s="40">
        <f t="shared" si="0"/>
        <v>32.64833293153327</v>
      </c>
      <c r="E14" s="41">
        <f t="shared" si="1"/>
        <v>-2793747.15</v>
      </c>
    </row>
    <row r="15" spans="1:5" ht="13.5">
      <c r="A15" s="21" t="s">
        <v>150</v>
      </c>
      <c r="B15" s="36">
        <f>SUM(B16:B17)</f>
        <v>2505000</v>
      </c>
      <c r="C15" s="36">
        <f>SUM(C16:C17)</f>
        <v>1946809.33</v>
      </c>
      <c r="D15" s="40">
        <f t="shared" si="0"/>
        <v>77.71693932135729</v>
      </c>
      <c r="E15" s="41">
        <f t="shared" si="1"/>
        <v>-558190.6699999999</v>
      </c>
    </row>
    <row r="16" spans="1:5" ht="13.5">
      <c r="A16" s="21" t="s">
        <v>151</v>
      </c>
      <c r="B16" s="36">
        <v>1063000</v>
      </c>
      <c r="C16" s="86">
        <v>1302378.62</v>
      </c>
      <c r="D16" s="40">
        <f t="shared" si="0"/>
        <v>122.51915522107244</v>
      </c>
      <c r="E16" s="41">
        <f t="shared" si="1"/>
        <v>239378.6200000001</v>
      </c>
    </row>
    <row r="17" spans="1:5" ht="13.5">
      <c r="A17" s="21" t="s">
        <v>152</v>
      </c>
      <c r="B17" s="36">
        <v>1442000</v>
      </c>
      <c r="C17" s="86">
        <v>644430.71</v>
      </c>
      <c r="D17" s="40">
        <f t="shared" si="0"/>
        <v>44.69006310679611</v>
      </c>
      <c r="E17" s="41">
        <f t="shared" si="1"/>
        <v>-797569.29</v>
      </c>
    </row>
    <row r="18" spans="1:5" ht="27">
      <c r="A18" s="21" t="s">
        <v>85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32.25" customHeight="1">
      <c r="A19" s="21" t="s">
        <v>28</v>
      </c>
      <c r="B19" s="36">
        <f>SUM(B20:B24)</f>
        <v>1417100</v>
      </c>
      <c r="C19" s="36">
        <f>SUM(C20:C24)</f>
        <v>1061944.87</v>
      </c>
      <c r="D19" s="40">
        <f t="shared" si="0"/>
        <v>74.9378921741585</v>
      </c>
      <c r="E19" s="41">
        <f t="shared" si="1"/>
        <v>-355155.1299999999</v>
      </c>
    </row>
    <row r="20" spans="1:5" ht="13.5">
      <c r="A20" s="128" t="s">
        <v>143</v>
      </c>
      <c r="B20" s="36">
        <v>571400</v>
      </c>
      <c r="C20" s="86">
        <v>642590.8</v>
      </c>
      <c r="D20" s="40">
        <f t="shared" si="0"/>
        <v>112.45901295064753</v>
      </c>
      <c r="E20" s="41">
        <f t="shared" si="1"/>
        <v>71190.80000000005</v>
      </c>
    </row>
    <row r="21" spans="1:5" ht="13.5">
      <c r="A21" s="21" t="s">
        <v>142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6.5" customHeight="1">
      <c r="A22" s="21" t="s">
        <v>30</v>
      </c>
      <c r="B22" s="36">
        <v>14000</v>
      </c>
      <c r="C22" s="86">
        <v>0</v>
      </c>
      <c r="D22" s="40">
        <f t="shared" si="0"/>
        <v>0</v>
      </c>
      <c r="E22" s="41">
        <f t="shared" si="1"/>
        <v>-14000</v>
      </c>
    </row>
    <row r="23" spans="1:5" ht="31.5" customHeight="1">
      <c r="A23" s="21" t="s">
        <v>296</v>
      </c>
      <c r="B23" s="36">
        <v>11500</v>
      </c>
      <c r="C23" s="86">
        <v>18343.6</v>
      </c>
      <c r="D23" s="40">
        <f>IF(B23=0,"   ",C23/B23*100)</f>
        <v>159.5095652173913</v>
      </c>
      <c r="E23" s="41">
        <f>C23-B23</f>
        <v>6843.5999999999985</v>
      </c>
    </row>
    <row r="24" spans="1:5" ht="42" customHeight="1">
      <c r="A24" s="21" t="s">
        <v>186</v>
      </c>
      <c r="B24" s="36">
        <v>820200</v>
      </c>
      <c r="C24" s="86">
        <v>401010.47</v>
      </c>
      <c r="D24" s="40">
        <f t="shared" si="0"/>
        <v>48.89179102657888</v>
      </c>
      <c r="E24" s="41">
        <f t="shared" si="1"/>
        <v>-419189.53</v>
      </c>
    </row>
    <row r="25" spans="1:5" ht="19.5" customHeight="1">
      <c r="A25" s="21" t="s">
        <v>87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.75" customHeight="1">
      <c r="A26" s="21" t="s">
        <v>76</v>
      </c>
      <c r="B26" s="36">
        <f>SUM(B27:B29)</f>
        <v>214000</v>
      </c>
      <c r="C26" s="36">
        <f>SUM(C27:C29)</f>
        <v>3496387.5700000003</v>
      </c>
      <c r="D26" s="40">
        <f t="shared" si="0"/>
        <v>1633.8259672897198</v>
      </c>
      <c r="E26" s="41">
        <f t="shared" si="1"/>
        <v>3282387.5700000003</v>
      </c>
    </row>
    <row r="27" spans="1:5" ht="15.75" customHeight="1">
      <c r="A27" s="21" t="s">
        <v>187</v>
      </c>
      <c r="B27" s="36">
        <v>0</v>
      </c>
      <c r="C27" s="36">
        <v>2728599.6</v>
      </c>
      <c r="D27" s="40" t="str">
        <f t="shared" si="0"/>
        <v>   </v>
      </c>
      <c r="E27" s="41">
        <f t="shared" si="1"/>
        <v>2728599.6</v>
      </c>
    </row>
    <row r="28" spans="1:5" ht="13.5" customHeight="1">
      <c r="A28" s="21" t="s">
        <v>353</v>
      </c>
      <c r="B28" s="36">
        <v>214000</v>
      </c>
      <c r="C28" s="86">
        <v>214994.29</v>
      </c>
      <c r="D28" s="40">
        <f t="shared" si="0"/>
        <v>100.46462149532711</v>
      </c>
      <c r="E28" s="41">
        <f t="shared" si="1"/>
        <v>994.2900000000081</v>
      </c>
    </row>
    <row r="29" spans="1:5" ht="13.5" customHeight="1">
      <c r="A29" s="21" t="s">
        <v>354</v>
      </c>
      <c r="B29" s="36">
        <v>0</v>
      </c>
      <c r="C29" s="86">
        <v>552793.68</v>
      </c>
      <c r="D29" s="40" t="str">
        <f t="shared" si="0"/>
        <v>   </v>
      </c>
      <c r="E29" s="41">
        <f t="shared" si="1"/>
        <v>552793.68</v>
      </c>
    </row>
    <row r="30" spans="1:5" ht="15" customHeight="1">
      <c r="A30" s="21" t="s">
        <v>31</v>
      </c>
      <c r="B30" s="36">
        <v>21100</v>
      </c>
      <c r="C30" s="36">
        <v>27055.56</v>
      </c>
      <c r="D30" s="40">
        <f t="shared" si="0"/>
        <v>128.2254028436019</v>
      </c>
      <c r="E30" s="41">
        <f t="shared" si="1"/>
        <v>5955.560000000001</v>
      </c>
    </row>
    <row r="31" spans="1:5" ht="13.5">
      <c r="A31" s="21" t="s">
        <v>32</v>
      </c>
      <c r="B31" s="36">
        <f>B32+B34+B33</f>
        <v>413595.6</v>
      </c>
      <c r="C31" s="36">
        <f>C32+C34+C33</f>
        <v>396921.47000000003</v>
      </c>
      <c r="D31" s="40">
        <f t="shared" si="0"/>
        <v>95.96849434568455</v>
      </c>
      <c r="E31" s="41">
        <f t="shared" si="1"/>
        <v>-16674.129999999946</v>
      </c>
    </row>
    <row r="32" spans="1:5" ht="13.5" customHeight="1">
      <c r="A32" s="21" t="s">
        <v>46</v>
      </c>
      <c r="B32" s="36">
        <v>0</v>
      </c>
      <c r="C32" s="36">
        <v>2.34</v>
      </c>
      <c r="D32" s="40" t="str">
        <f t="shared" si="0"/>
        <v>   </v>
      </c>
      <c r="E32" s="41">
        <f t="shared" si="1"/>
        <v>2.34</v>
      </c>
    </row>
    <row r="33" spans="1:5" ht="13.5" customHeight="1">
      <c r="A33" s="21" t="s">
        <v>297</v>
      </c>
      <c r="B33" s="36">
        <v>413595.6</v>
      </c>
      <c r="C33" s="36">
        <v>396919.13</v>
      </c>
      <c r="D33" s="40">
        <f t="shared" si="0"/>
        <v>95.96792857564249</v>
      </c>
      <c r="E33" s="41">
        <f t="shared" si="1"/>
        <v>-16676.469999999972</v>
      </c>
    </row>
    <row r="34" spans="1:5" ht="15.75" customHeight="1">
      <c r="A34" s="21" t="s">
        <v>104</v>
      </c>
      <c r="B34" s="36">
        <v>0</v>
      </c>
      <c r="C34" s="107">
        <v>0</v>
      </c>
      <c r="D34" s="40" t="str">
        <f t="shared" si="0"/>
        <v>   </v>
      </c>
      <c r="E34" s="41">
        <f t="shared" si="1"/>
        <v>0</v>
      </c>
    </row>
    <row r="35" spans="1:5" ht="15" customHeight="1">
      <c r="A35" s="44" t="s">
        <v>10</v>
      </c>
      <c r="B35" s="116">
        <f>SUM(B7,B9,B11,B13,B18,B19,B25,B26,B30,B31,)</f>
        <v>21470295.6</v>
      </c>
      <c r="C35" s="116">
        <f>SUM(C7,C9,C11,C13,C18,C19,C25,C26,C30,C31,)</f>
        <v>20920057.409999996</v>
      </c>
      <c r="D35" s="46">
        <f t="shared" si="0"/>
        <v>97.43721185655215</v>
      </c>
      <c r="E35" s="47">
        <f t="shared" si="1"/>
        <v>-550238.1900000051</v>
      </c>
    </row>
    <row r="36" spans="1:5" ht="18" customHeight="1">
      <c r="A36" s="62" t="s">
        <v>131</v>
      </c>
      <c r="B36" s="145">
        <f>B37+B39+B40+B43+B46+B47+B48+B49+B51+B61+B44+B45+B50</f>
        <v>116481945.33</v>
      </c>
      <c r="C36" s="145">
        <f>C37+C39+C40+C43+C46+C47+C48+C49+C51+C61+C44+C45</f>
        <v>87554194.74000001</v>
      </c>
      <c r="D36" s="46">
        <f t="shared" si="0"/>
        <v>75.1654640484875</v>
      </c>
      <c r="E36" s="47">
        <f t="shared" si="1"/>
        <v>-28927750.58999999</v>
      </c>
    </row>
    <row r="37" spans="1:5" ht="15" customHeight="1">
      <c r="A37" s="38" t="s">
        <v>34</v>
      </c>
      <c r="B37" s="143">
        <v>7993700</v>
      </c>
      <c r="C37" s="86">
        <v>6664200</v>
      </c>
      <c r="D37" s="40">
        <f t="shared" si="0"/>
        <v>83.36815242003077</v>
      </c>
      <c r="E37" s="41">
        <f t="shared" si="1"/>
        <v>-1329500</v>
      </c>
    </row>
    <row r="38" spans="1:5" ht="15" customHeight="1">
      <c r="A38" s="38" t="s">
        <v>207</v>
      </c>
      <c r="B38" s="143">
        <v>0</v>
      </c>
      <c r="C38" s="86">
        <v>0</v>
      </c>
      <c r="D38" s="40" t="str">
        <f>IF(B38=0,"   ",C38/B38*100)</f>
        <v>   </v>
      </c>
      <c r="E38" s="41">
        <f>C38-B38</f>
        <v>0</v>
      </c>
    </row>
    <row r="39" spans="1:5" ht="33" customHeight="1">
      <c r="A39" s="21" t="s">
        <v>51</v>
      </c>
      <c r="B39" s="36">
        <v>499200</v>
      </c>
      <c r="C39" s="86">
        <v>356800</v>
      </c>
      <c r="D39" s="40">
        <f t="shared" si="0"/>
        <v>71.47435897435898</v>
      </c>
      <c r="E39" s="41">
        <f t="shared" si="1"/>
        <v>-142400</v>
      </c>
    </row>
    <row r="40" spans="1:5" ht="33" customHeight="1">
      <c r="A40" s="21" t="s">
        <v>138</v>
      </c>
      <c r="B40" s="36">
        <f>SUM(B41:B42)</f>
        <v>158300</v>
      </c>
      <c r="C40" s="36">
        <f>SUM(C41:C42)</f>
        <v>157200</v>
      </c>
      <c r="D40" s="40">
        <f t="shared" si="0"/>
        <v>99.30511686670877</v>
      </c>
      <c r="E40" s="41">
        <f t="shared" si="1"/>
        <v>-1100</v>
      </c>
    </row>
    <row r="41" spans="1:5" ht="13.5" customHeight="1">
      <c r="A41" s="52" t="s">
        <v>153</v>
      </c>
      <c r="B41" s="36">
        <v>1100</v>
      </c>
      <c r="C41" s="107">
        <v>0</v>
      </c>
      <c r="D41" s="40">
        <f>IF(B41=0,"   ",C41/B41*100)</f>
        <v>0</v>
      </c>
      <c r="E41" s="41">
        <f>C41-B41</f>
        <v>-1100</v>
      </c>
    </row>
    <row r="42" spans="1:5" ht="31.5" customHeight="1">
      <c r="A42" s="52" t="s">
        <v>154</v>
      </c>
      <c r="B42" s="36">
        <v>157200</v>
      </c>
      <c r="C42" s="107">
        <v>157200</v>
      </c>
      <c r="D42" s="40">
        <f>IF(B42=0,"   ",C42/B42*100)</f>
        <v>100</v>
      </c>
      <c r="E42" s="41">
        <f>C42-B42</f>
        <v>0</v>
      </c>
    </row>
    <row r="43" spans="1:5" ht="47.25" customHeight="1">
      <c r="A43" s="21" t="s">
        <v>117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33" customHeight="1">
      <c r="A44" s="21" t="s">
        <v>310</v>
      </c>
      <c r="B44" s="36">
        <v>110400</v>
      </c>
      <c r="C44" s="107">
        <v>110400</v>
      </c>
      <c r="D44" s="40">
        <f t="shared" si="0"/>
        <v>100</v>
      </c>
      <c r="E44" s="41">
        <f t="shared" si="1"/>
        <v>0</v>
      </c>
    </row>
    <row r="45" spans="1:5" ht="33" customHeight="1">
      <c r="A45" s="21" t="s">
        <v>256</v>
      </c>
      <c r="B45" s="36">
        <v>0</v>
      </c>
      <c r="C45" s="107">
        <v>0</v>
      </c>
      <c r="D45" s="40" t="str">
        <f t="shared" si="0"/>
        <v>   </v>
      </c>
      <c r="E45" s="41">
        <f t="shared" si="1"/>
        <v>0</v>
      </c>
    </row>
    <row r="46" spans="1:5" ht="47.25" customHeight="1">
      <c r="A46" s="21" t="s">
        <v>200</v>
      </c>
      <c r="B46" s="157">
        <v>5739532.75</v>
      </c>
      <c r="C46" s="43">
        <v>5739532.75</v>
      </c>
      <c r="D46" s="50">
        <f>IF(B46=0,"   ",C46/B46)</f>
        <v>1</v>
      </c>
      <c r="E46" s="51">
        <f>C46-B46</f>
        <v>0</v>
      </c>
    </row>
    <row r="47" spans="1:5" ht="47.25" customHeight="1">
      <c r="A47" s="21" t="s">
        <v>322</v>
      </c>
      <c r="B47" s="157">
        <v>55120000</v>
      </c>
      <c r="C47" s="43">
        <v>38154422.4</v>
      </c>
      <c r="D47" s="50">
        <f>IF(B47=0,"   ",C47/B47)</f>
        <v>0.6922065021770681</v>
      </c>
      <c r="E47" s="51">
        <f>C47-B47</f>
        <v>-16965577.6</v>
      </c>
    </row>
    <row r="48" spans="1:5" ht="57" customHeight="1">
      <c r="A48" s="21" t="s">
        <v>233</v>
      </c>
      <c r="B48" s="157">
        <v>15592000</v>
      </c>
      <c r="C48" s="43">
        <v>15518264.56</v>
      </c>
      <c r="D48" s="50">
        <f>IF(B48=0,"   ",C48/B48)</f>
        <v>0.9952709440738841</v>
      </c>
      <c r="E48" s="51">
        <f>C48-B48</f>
        <v>-73735.43999999948</v>
      </c>
    </row>
    <row r="49" spans="1:5" ht="58.5" customHeight="1">
      <c r="A49" s="21" t="s">
        <v>216</v>
      </c>
      <c r="B49" s="36">
        <v>1741900</v>
      </c>
      <c r="C49" s="107">
        <v>948925.8</v>
      </c>
      <c r="D49" s="40">
        <f t="shared" si="0"/>
        <v>54.47647970606809</v>
      </c>
      <c r="E49" s="41">
        <f t="shared" si="1"/>
        <v>-792974.2</v>
      </c>
    </row>
    <row r="50" spans="1:5" ht="48" customHeight="1">
      <c r="A50" s="21" t="s">
        <v>334</v>
      </c>
      <c r="B50" s="36">
        <v>9548369.6</v>
      </c>
      <c r="C50" s="107">
        <v>0</v>
      </c>
      <c r="D50" s="40"/>
      <c r="E50" s="41">
        <f t="shared" si="1"/>
        <v>-9548369.6</v>
      </c>
    </row>
    <row r="51" spans="1:5" ht="15" customHeight="1">
      <c r="A51" s="21" t="s">
        <v>55</v>
      </c>
      <c r="B51" s="36">
        <f>SUM(B52:B60)</f>
        <v>19978542.98</v>
      </c>
      <c r="C51" s="36">
        <f>SUM(C52:C60)</f>
        <v>19904449.23</v>
      </c>
      <c r="D51" s="40">
        <f t="shared" si="0"/>
        <v>99.62913336536016</v>
      </c>
      <c r="E51" s="41">
        <f t="shared" si="1"/>
        <v>-74093.75</v>
      </c>
    </row>
    <row r="52" spans="1:5" ht="18" customHeight="1">
      <c r="A52" s="21" t="s">
        <v>348</v>
      </c>
      <c r="B52" s="36">
        <v>900397.2</v>
      </c>
      <c r="C52" s="36">
        <v>900397.2</v>
      </c>
      <c r="D52" s="40">
        <f t="shared" si="0"/>
        <v>100</v>
      </c>
      <c r="E52" s="41">
        <f t="shared" si="1"/>
        <v>0</v>
      </c>
    </row>
    <row r="53" spans="1:5" ht="19.5" customHeight="1">
      <c r="A53" s="21" t="s">
        <v>349</v>
      </c>
      <c r="B53" s="36">
        <v>1502117.58</v>
      </c>
      <c r="C53" s="36">
        <v>1502117.58</v>
      </c>
      <c r="D53" s="40"/>
      <c r="E53" s="41"/>
    </row>
    <row r="54" spans="1:5" ht="15.75" customHeight="1">
      <c r="A54" s="21" t="s">
        <v>240</v>
      </c>
      <c r="B54" s="36">
        <v>0</v>
      </c>
      <c r="C54" s="36">
        <v>0</v>
      </c>
      <c r="D54" s="40" t="str">
        <f>IF(B54=0,"   ",C54/B54*100)</f>
        <v>   </v>
      </c>
      <c r="E54" s="41">
        <f>C54-B54</f>
        <v>0</v>
      </c>
    </row>
    <row r="55" spans="1:5" ht="18" customHeight="1">
      <c r="A55" s="21" t="s">
        <v>269</v>
      </c>
      <c r="B55" s="36">
        <v>15891835.52</v>
      </c>
      <c r="C55" s="36">
        <v>15891835.52</v>
      </c>
      <c r="D55" s="40">
        <f>IF(B55=0,"   ",C55/B55*100)</f>
        <v>100</v>
      </c>
      <c r="E55" s="41">
        <f>C55-B55</f>
        <v>0</v>
      </c>
    </row>
    <row r="56" spans="1:5" ht="24" customHeight="1">
      <c r="A56" s="21" t="s">
        <v>281</v>
      </c>
      <c r="B56" s="36">
        <v>576824.57</v>
      </c>
      <c r="C56" s="36">
        <v>576824.57</v>
      </c>
      <c r="D56" s="40">
        <f>IF(B56=0,"   ",C56/B56*100)</f>
        <v>100</v>
      </c>
      <c r="E56" s="41">
        <f>C56-B56</f>
        <v>0</v>
      </c>
    </row>
    <row r="57" spans="1:5" ht="18" customHeight="1">
      <c r="A57" s="21" t="s">
        <v>282</v>
      </c>
      <c r="B57" s="36">
        <v>0</v>
      </c>
      <c r="C57" s="36">
        <v>0</v>
      </c>
      <c r="D57" s="40"/>
      <c r="E57" s="41"/>
    </row>
    <row r="58" spans="1:5" ht="15" customHeight="1">
      <c r="A58" s="21" t="s">
        <v>255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ht="15" customHeight="1">
      <c r="A59" s="21" t="s">
        <v>278</v>
      </c>
      <c r="B59" s="36">
        <v>251268.11</v>
      </c>
      <c r="C59" s="36">
        <v>177174.36</v>
      </c>
      <c r="D59" s="40"/>
      <c r="E59" s="41"/>
    </row>
    <row r="60" spans="1:5" ht="18" customHeight="1">
      <c r="A60" s="21" t="s">
        <v>103</v>
      </c>
      <c r="B60" s="36">
        <v>856100</v>
      </c>
      <c r="C60" s="107">
        <v>856100</v>
      </c>
      <c r="D60" s="40">
        <f t="shared" si="0"/>
        <v>100</v>
      </c>
      <c r="E60" s="41">
        <f t="shared" si="1"/>
        <v>0</v>
      </c>
    </row>
    <row r="61" spans="1:5" ht="18" customHeight="1">
      <c r="A61" s="21" t="s">
        <v>174</v>
      </c>
      <c r="B61" s="36">
        <v>0</v>
      </c>
      <c r="C61" s="107">
        <v>0</v>
      </c>
      <c r="D61" s="40" t="str">
        <f t="shared" si="0"/>
        <v>   </v>
      </c>
      <c r="E61" s="41">
        <f t="shared" si="1"/>
        <v>0</v>
      </c>
    </row>
    <row r="62" spans="1:5" ht="29.25" customHeight="1">
      <c r="A62" s="44" t="s">
        <v>11</v>
      </c>
      <c r="B62" s="116">
        <f>SUM(B35,B36,)</f>
        <v>137952240.93</v>
      </c>
      <c r="C62" s="116">
        <f>SUM(C35,C36,)</f>
        <v>108474252.15</v>
      </c>
      <c r="D62" s="46">
        <f t="shared" si="0"/>
        <v>78.63174343433987</v>
      </c>
      <c r="E62" s="47">
        <f t="shared" si="1"/>
        <v>-29477988.78</v>
      </c>
    </row>
    <row r="63" spans="1:5" ht="16.5" customHeight="1">
      <c r="A63" s="44"/>
      <c r="B63" s="143"/>
      <c r="C63" s="36"/>
      <c r="D63" s="40" t="str">
        <f t="shared" si="0"/>
        <v>   </v>
      </c>
      <c r="E63" s="41"/>
    </row>
    <row r="64" spans="1:5" ht="14.25">
      <c r="A64" s="56" t="s">
        <v>12</v>
      </c>
      <c r="B64" s="116"/>
      <c r="C64" s="99"/>
      <c r="D64" s="40" t="str">
        <f t="shared" si="0"/>
        <v>   </v>
      </c>
      <c r="E64" s="41"/>
    </row>
    <row r="65" spans="1:5" ht="18" customHeight="1">
      <c r="A65" s="21" t="s">
        <v>35</v>
      </c>
      <c r="B65" s="36">
        <f>SUM(B66,B69,B70)</f>
        <v>3939736.51</v>
      </c>
      <c r="C65" s="36">
        <f>SUM(C66,C69,C70)</f>
        <v>3103472.53</v>
      </c>
      <c r="D65" s="40">
        <f t="shared" si="0"/>
        <v>78.77360635978165</v>
      </c>
      <c r="E65" s="41">
        <f t="shared" si="1"/>
        <v>-836263.98</v>
      </c>
    </row>
    <row r="66" spans="1:5" ht="16.5" customHeight="1">
      <c r="A66" s="21" t="s">
        <v>36</v>
      </c>
      <c r="B66" s="36">
        <v>3837436.51</v>
      </c>
      <c r="C66" s="107">
        <v>3033672.53</v>
      </c>
      <c r="D66" s="40">
        <f t="shared" si="0"/>
        <v>79.0546637604175</v>
      </c>
      <c r="E66" s="41">
        <f t="shared" si="1"/>
        <v>-803763.98</v>
      </c>
    </row>
    <row r="67" spans="1:5" ht="13.5">
      <c r="A67" s="21" t="s">
        <v>115</v>
      </c>
      <c r="B67" s="36">
        <v>2029490.5</v>
      </c>
      <c r="C67" s="99">
        <v>1617704.99</v>
      </c>
      <c r="D67" s="40">
        <f t="shared" si="0"/>
        <v>79.70990699389822</v>
      </c>
      <c r="E67" s="41">
        <f t="shared" si="1"/>
        <v>-411785.51</v>
      </c>
    </row>
    <row r="68" spans="1:5" ht="13.5">
      <c r="A68" s="21" t="s">
        <v>312</v>
      </c>
      <c r="B68" s="36">
        <v>110400</v>
      </c>
      <c r="C68" s="99">
        <v>110400</v>
      </c>
      <c r="D68" s="40">
        <f>IF(B68=0,"   ",C68/B68*100)</f>
        <v>100</v>
      </c>
      <c r="E68" s="41">
        <f>C68-B68</f>
        <v>0</v>
      </c>
    </row>
    <row r="69" spans="1:5" ht="13.5">
      <c r="A69" s="21" t="s">
        <v>90</v>
      </c>
      <c r="B69" s="36">
        <v>10000</v>
      </c>
      <c r="C69" s="99">
        <v>0</v>
      </c>
      <c r="D69" s="40">
        <f t="shared" si="0"/>
        <v>0</v>
      </c>
      <c r="E69" s="41">
        <f t="shared" si="1"/>
        <v>-10000</v>
      </c>
    </row>
    <row r="70" spans="1:5" ht="13.5">
      <c r="A70" s="21" t="s">
        <v>52</v>
      </c>
      <c r="B70" s="107">
        <f>SUM(B71+B73+B74+B72)</f>
        <v>92300</v>
      </c>
      <c r="C70" s="107">
        <f>SUM(C71+C73+C74+C72)</f>
        <v>69800</v>
      </c>
      <c r="D70" s="40">
        <f t="shared" si="0"/>
        <v>75.62296858071505</v>
      </c>
      <c r="E70" s="41">
        <f t="shared" si="1"/>
        <v>-22500</v>
      </c>
    </row>
    <row r="71" spans="1:5" ht="26.25" customHeight="1">
      <c r="A71" s="17" t="s">
        <v>220</v>
      </c>
      <c r="B71" s="36">
        <v>70000</v>
      </c>
      <c r="C71" s="36">
        <v>49500</v>
      </c>
      <c r="D71" s="40">
        <f t="shared" si="0"/>
        <v>70.71428571428572</v>
      </c>
      <c r="E71" s="41">
        <f t="shared" si="1"/>
        <v>-20500</v>
      </c>
    </row>
    <row r="72" spans="1:5" ht="12.75" customHeight="1">
      <c r="A72" s="17" t="s">
        <v>219</v>
      </c>
      <c r="B72" s="36">
        <v>2000</v>
      </c>
      <c r="C72" s="36">
        <v>0</v>
      </c>
      <c r="D72" s="40">
        <f t="shared" si="0"/>
        <v>0</v>
      </c>
      <c r="E72" s="41">
        <f t="shared" si="1"/>
        <v>-2000</v>
      </c>
    </row>
    <row r="73" spans="1:5" ht="21" customHeight="1">
      <c r="A73" s="17" t="s">
        <v>223</v>
      </c>
      <c r="B73" s="36">
        <v>0</v>
      </c>
      <c r="C73" s="36">
        <v>0</v>
      </c>
      <c r="D73" s="40" t="str">
        <f t="shared" si="0"/>
        <v>   </v>
      </c>
      <c r="E73" s="41">
        <f t="shared" si="1"/>
        <v>0</v>
      </c>
    </row>
    <row r="74" spans="1:5" ht="13.5">
      <c r="A74" s="17" t="s">
        <v>201</v>
      </c>
      <c r="B74" s="36">
        <v>20300</v>
      </c>
      <c r="C74" s="36">
        <v>20300</v>
      </c>
      <c r="D74" s="40">
        <f t="shared" si="0"/>
        <v>100</v>
      </c>
      <c r="E74" s="41">
        <f t="shared" si="1"/>
        <v>0</v>
      </c>
    </row>
    <row r="75" spans="1:5" ht="21" customHeight="1">
      <c r="A75" s="21" t="s">
        <v>49</v>
      </c>
      <c r="B75" s="107">
        <f>SUM(B76)</f>
        <v>499200</v>
      </c>
      <c r="C75" s="107">
        <f>SUM(C76)</f>
        <v>308126.47</v>
      </c>
      <c r="D75" s="40">
        <f t="shared" si="0"/>
        <v>61.724052483974354</v>
      </c>
      <c r="E75" s="41">
        <f t="shared" si="1"/>
        <v>-191073.53000000003</v>
      </c>
    </row>
    <row r="76" spans="1:5" ht="17.25" customHeight="1">
      <c r="A76" s="21" t="s">
        <v>101</v>
      </c>
      <c r="B76" s="36">
        <v>499200</v>
      </c>
      <c r="C76" s="107">
        <v>308126.47</v>
      </c>
      <c r="D76" s="40">
        <f t="shared" si="0"/>
        <v>61.724052483974354</v>
      </c>
      <c r="E76" s="41">
        <f t="shared" si="1"/>
        <v>-191073.53000000003</v>
      </c>
    </row>
    <row r="77" spans="1:5" ht="15.75" customHeight="1">
      <c r="A77" s="21" t="s">
        <v>37</v>
      </c>
      <c r="B77" s="107">
        <f>SUM(B78+B81)</f>
        <v>827606.25</v>
      </c>
      <c r="C77" s="107">
        <f>SUM(C78+C81)</f>
        <v>649924.47</v>
      </c>
      <c r="D77" s="40">
        <f t="shared" si="0"/>
        <v>78.53063821110582</v>
      </c>
      <c r="E77" s="41">
        <f t="shared" si="1"/>
        <v>-177681.78000000003</v>
      </c>
    </row>
    <row r="78" spans="1:5" ht="27" customHeight="1">
      <c r="A78" s="60" t="s">
        <v>303</v>
      </c>
      <c r="B78" s="36">
        <f>B79</f>
        <v>827606.25</v>
      </c>
      <c r="C78" s="36">
        <f>C79</f>
        <v>649924.47</v>
      </c>
      <c r="D78" s="40">
        <f t="shared" si="0"/>
        <v>78.53063821110582</v>
      </c>
      <c r="E78" s="41">
        <f t="shared" si="1"/>
        <v>-177681.78000000003</v>
      </c>
    </row>
    <row r="79" spans="1:5" ht="16.5" customHeight="1">
      <c r="A79" s="21" t="s">
        <v>91</v>
      </c>
      <c r="B79" s="36">
        <v>827606.25</v>
      </c>
      <c r="C79" s="36">
        <v>649924.47</v>
      </c>
      <c r="D79" s="40">
        <f t="shared" si="0"/>
        <v>78.53063821110582</v>
      </c>
      <c r="E79" s="41">
        <f t="shared" si="1"/>
        <v>-177681.78000000003</v>
      </c>
    </row>
    <row r="80" spans="1:5" ht="14.25" customHeight="1">
      <c r="A80" s="21" t="s">
        <v>115</v>
      </c>
      <c r="B80" s="36">
        <v>635633.36</v>
      </c>
      <c r="C80" s="107">
        <v>508033.99</v>
      </c>
      <c r="D80" s="40">
        <f t="shared" si="0"/>
        <v>79.92563354446972</v>
      </c>
      <c r="E80" s="41">
        <f t="shared" si="1"/>
        <v>-127599.37</v>
      </c>
    </row>
    <row r="81" spans="1:5" ht="16.5" customHeight="1">
      <c r="A81" s="21" t="s">
        <v>305</v>
      </c>
      <c r="B81" s="36">
        <v>0</v>
      </c>
      <c r="C81" s="107">
        <v>0</v>
      </c>
      <c r="D81" s="40" t="str">
        <f t="shared" si="0"/>
        <v>   </v>
      </c>
      <c r="E81" s="41">
        <f t="shared" si="1"/>
        <v>0</v>
      </c>
    </row>
    <row r="82" spans="1:5" ht="18" customHeight="1">
      <c r="A82" s="21" t="s">
        <v>38</v>
      </c>
      <c r="B82" s="36">
        <f>B93+B85+B91+B108+B83</f>
        <v>25176426.93</v>
      </c>
      <c r="C82" s="36">
        <f>C93+C85+C91+C108+C83</f>
        <v>23860776.4</v>
      </c>
      <c r="D82" s="40">
        <f t="shared" si="0"/>
        <v>94.77427621616837</v>
      </c>
      <c r="E82" s="41">
        <f t="shared" si="1"/>
        <v>-1315650.5300000012</v>
      </c>
    </row>
    <row r="83" spans="1:5" ht="18" customHeight="1">
      <c r="A83" s="62" t="s">
        <v>217</v>
      </c>
      <c r="B83" s="36">
        <f>SUM(B84)</f>
        <v>0</v>
      </c>
      <c r="C83" s="36">
        <f>SUM(C84)</f>
        <v>0</v>
      </c>
      <c r="D83" s="40" t="str">
        <f t="shared" si="0"/>
        <v>   </v>
      </c>
      <c r="E83" s="41">
        <f t="shared" si="1"/>
        <v>0</v>
      </c>
    </row>
    <row r="84" spans="1:5" ht="16.5" customHeight="1">
      <c r="A84" s="62" t="s">
        <v>218</v>
      </c>
      <c r="B84" s="36">
        <v>0</v>
      </c>
      <c r="C84" s="36">
        <v>0</v>
      </c>
      <c r="D84" s="40" t="str">
        <f t="shared" si="0"/>
        <v>   </v>
      </c>
      <c r="E84" s="41">
        <f t="shared" si="1"/>
        <v>0</v>
      </c>
    </row>
    <row r="85" spans="1:5" ht="18" customHeight="1">
      <c r="A85" s="62" t="s">
        <v>155</v>
      </c>
      <c r="B85" s="36">
        <f>SUM(B86:B90)</f>
        <v>558600.26</v>
      </c>
      <c r="C85" s="36">
        <f>SUM(C86:C90)</f>
        <v>460256.61</v>
      </c>
      <c r="D85" s="40">
        <f aca="true" t="shared" si="2" ref="D85:D92">IF(B85=0,"   ",C85/B85*100)</f>
        <v>82.39462867417927</v>
      </c>
      <c r="E85" s="41">
        <f aca="true" t="shared" si="3" ref="E85:E92">C85-B85</f>
        <v>-98343.65000000002</v>
      </c>
    </row>
    <row r="86" spans="1:5" ht="18" customHeight="1">
      <c r="A86" s="62" t="s">
        <v>159</v>
      </c>
      <c r="B86" s="36">
        <v>60000</v>
      </c>
      <c r="C86" s="36">
        <v>35750.1</v>
      </c>
      <c r="D86" s="40">
        <f t="shared" si="2"/>
        <v>59.5835</v>
      </c>
      <c r="E86" s="41">
        <f t="shared" si="3"/>
        <v>-24249.9</v>
      </c>
    </row>
    <row r="87" spans="1:5" ht="18" customHeight="1">
      <c r="A87" s="62" t="s">
        <v>156</v>
      </c>
      <c r="B87" s="36">
        <v>157200</v>
      </c>
      <c r="C87" s="36">
        <v>157200</v>
      </c>
      <c r="D87" s="40">
        <f t="shared" si="2"/>
        <v>100</v>
      </c>
      <c r="E87" s="41">
        <f t="shared" si="3"/>
        <v>0</v>
      </c>
    </row>
    <row r="88" spans="1:5" ht="18" customHeight="1">
      <c r="A88" s="62" t="s">
        <v>280</v>
      </c>
      <c r="B88" s="36">
        <v>74093.75</v>
      </c>
      <c r="C88" s="36">
        <v>74093.75</v>
      </c>
      <c r="D88" s="40">
        <f t="shared" si="2"/>
        <v>100</v>
      </c>
      <c r="E88" s="41">
        <f t="shared" si="3"/>
        <v>0</v>
      </c>
    </row>
    <row r="89" spans="1:5" ht="18" customHeight="1">
      <c r="A89" s="62" t="s">
        <v>279</v>
      </c>
      <c r="B89" s="36">
        <v>251268.11</v>
      </c>
      <c r="C89" s="36">
        <v>177174.36</v>
      </c>
      <c r="D89" s="40">
        <f t="shared" si="2"/>
        <v>70.51207572660135</v>
      </c>
      <c r="E89" s="41">
        <f t="shared" si="3"/>
        <v>-74093.75</v>
      </c>
    </row>
    <row r="90" spans="1:5" ht="18" customHeight="1">
      <c r="A90" s="62" t="s">
        <v>377</v>
      </c>
      <c r="B90" s="36">
        <v>16038.4</v>
      </c>
      <c r="C90" s="36">
        <v>16038.4</v>
      </c>
      <c r="D90" s="40">
        <f t="shared" si="2"/>
        <v>100</v>
      </c>
      <c r="E90" s="41">
        <f t="shared" si="3"/>
        <v>0</v>
      </c>
    </row>
    <row r="91" spans="1:5" ht="18" customHeight="1">
      <c r="A91" s="62" t="s">
        <v>208</v>
      </c>
      <c r="B91" s="36">
        <f>SUM(B92)</f>
        <v>0</v>
      </c>
      <c r="C91" s="36">
        <f>SUM(C92)</f>
        <v>0</v>
      </c>
      <c r="D91" s="40" t="str">
        <f t="shared" si="2"/>
        <v>   </v>
      </c>
      <c r="E91" s="41">
        <f t="shared" si="3"/>
        <v>0</v>
      </c>
    </row>
    <row r="92" spans="1:5" ht="18" customHeight="1">
      <c r="A92" s="62" t="s">
        <v>209</v>
      </c>
      <c r="B92" s="36">
        <v>0</v>
      </c>
      <c r="C92" s="36">
        <v>0</v>
      </c>
      <c r="D92" s="40" t="str">
        <f t="shared" si="2"/>
        <v>   </v>
      </c>
      <c r="E92" s="41">
        <f t="shared" si="3"/>
        <v>0</v>
      </c>
    </row>
    <row r="93" spans="1:5" ht="18.75" customHeight="1">
      <c r="A93" s="62" t="s">
        <v>123</v>
      </c>
      <c r="B93" s="36">
        <f>SUM(B94:B95,B99:B107)</f>
        <v>24517826.669999998</v>
      </c>
      <c r="C93" s="36">
        <f>SUM(C94:C95,C99:C107)</f>
        <v>23305019.79</v>
      </c>
      <c r="D93" s="40">
        <f t="shared" si="0"/>
        <v>95.05336710172607</v>
      </c>
      <c r="E93" s="41">
        <f t="shared" si="1"/>
        <v>-1212806.879999999</v>
      </c>
    </row>
    <row r="94" spans="1:5" ht="21" customHeight="1">
      <c r="A94" s="60" t="s">
        <v>139</v>
      </c>
      <c r="B94" s="36">
        <v>0</v>
      </c>
      <c r="C94" s="36">
        <v>0</v>
      </c>
      <c r="D94" s="40" t="str">
        <f t="shared" si="0"/>
        <v>   </v>
      </c>
      <c r="E94" s="41">
        <f t="shared" si="1"/>
        <v>0</v>
      </c>
    </row>
    <row r="95" spans="1:5" ht="18" customHeight="1">
      <c r="A95" s="17" t="s">
        <v>341</v>
      </c>
      <c r="B95" s="36">
        <f>SUM(B96:B98)</f>
        <v>4056897.18</v>
      </c>
      <c r="C95" s="36">
        <f>SUM(C96:C98)</f>
        <v>4004191.3</v>
      </c>
      <c r="D95" s="40">
        <f>IF(B95=0,"   ",C95/B95*100)</f>
        <v>98.70083273838357</v>
      </c>
      <c r="E95" s="41">
        <f>C95-B95</f>
        <v>-52705.880000000354</v>
      </c>
    </row>
    <row r="96" spans="1:5" ht="18" customHeight="1">
      <c r="A96" s="17" t="s">
        <v>344</v>
      </c>
      <c r="B96" s="36">
        <v>2402514.78</v>
      </c>
      <c r="C96" s="36">
        <v>2402514.78</v>
      </c>
      <c r="D96" s="40">
        <f>IF(B96=0,"   ",C96/B96*100)</f>
        <v>100</v>
      </c>
      <c r="E96" s="41">
        <f>C96-B96</f>
        <v>0</v>
      </c>
    </row>
    <row r="97" spans="1:5" ht="20.25" customHeight="1">
      <c r="A97" s="17" t="s">
        <v>342</v>
      </c>
      <c r="B97" s="36">
        <v>1240786.8</v>
      </c>
      <c r="C97" s="36">
        <v>1201257.39</v>
      </c>
      <c r="D97" s="40">
        <f>IF(B97=0,"   ",C97/B97*100)</f>
        <v>96.81416581801159</v>
      </c>
      <c r="E97" s="41">
        <f>C97-B97</f>
        <v>-39529.41000000015</v>
      </c>
    </row>
    <row r="98" spans="1:5" ht="15" customHeight="1">
      <c r="A98" s="17" t="s">
        <v>343</v>
      </c>
      <c r="B98" s="36">
        <v>413595.6</v>
      </c>
      <c r="C98" s="36">
        <v>400419.13</v>
      </c>
      <c r="D98" s="40">
        <f>IF(B98=0,"   ",C98/B98*100)</f>
        <v>96.81416581801162</v>
      </c>
      <c r="E98" s="41">
        <f>C98-B98</f>
        <v>-13176.469999999972</v>
      </c>
    </row>
    <row r="99" spans="1:5" ht="28.5" customHeight="1">
      <c r="A99" s="17" t="s">
        <v>225</v>
      </c>
      <c r="B99" s="36">
        <v>0</v>
      </c>
      <c r="C99" s="36">
        <v>0</v>
      </c>
      <c r="D99" s="40" t="str">
        <f t="shared" si="0"/>
        <v>   </v>
      </c>
      <c r="E99" s="41">
        <f t="shared" si="1"/>
        <v>0</v>
      </c>
    </row>
    <row r="100" spans="1:5" ht="27" customHeight="1">
      <c r="A100" s="17" t="s">
        <v>226</v>
      </c>
      <c r="B100" s="36">
        <v>1008162</v>
      </c>
      <c r="C100" s="36">
        <v>877263</v>
      </c>
      <c r="D100" s="40">
        <f t="shared" si="0"/>
        <v>87.01607479750278</v>
      </c>
      <c r="E100" s="41">
        <f t="shared" si="1"/>
        <v>-130899</v>
      </c>
    </row>
    <row r="101" spans="1:5" ht="30" customHeight="1">
      <c r="A101" s="17" t="s">
        <v>227</v>
      </c>
      <c r="B101" s="36">
        <v>15592000</v>
      </c>
      <c r="C101" s="36">
        <v>15518264.56</v>
      </c>
      <c r="D101" s="40">
        <f t="shared" si="0"/>
        <v>99.5270944073884</v>
      </c>
      <c r="E101" s="41">
        <f t="shared" si="1"/>
        <v>-73735.43999999948</v>
      </c>
    </row>
    <row r="102" spans="1:5" ht="35.25" customHeight="1">
      <c r="A102" s="17" t="s">
        <v>228</v>
      </c>
      <c r="B102" s="36">
        <v>973967.49</v>
      </c>
      <c r="C102" s="36">
        <v>816751.23</v>
      </c>
      <c r="D102" s="40">
        <f t="shared" si="0"/>
        <v>83.85816142590139</v>
      </c>
      <c r="E102" s="41">
        <f t="shared" si="1"/>
        <v>-157216.26</v>
      </c>
    </row>
    <row r="103" spans="1:5" ht="35.25" customHeight="1">
      <c r="A103" s="17" t="s">
        <v>229</v>
      </c>
      <c r="B103" s="36">
        <v>856100</v>
      </c>
      <c r="C103" s="36">
        <v>856100</v>
      </c>
      <c r="D103" s="40">
        <f t="shared" si="0"/>
        <v>100</v>
      </c>
      <c r="E103" s="41">
        <f t="shared" si="1"/>
        <v>0</v>
      </c>
    </row>
    <row r="104" spans="1:5" ht="30" customHeight="1">
      <c r="A104" s="17" t="s">
        <v>230</v>
      </c>
      <c r="B104" s="36">
        <v>95200</v>
      </c>
      <c r="C104" s="36">
        <v>95200</v>
      </c>
      <c r="D104" s="40">
        <f t="shared" si="0"/>
        <v>100</v>
      </c>
      <c r="E104" s="41">
        <f t="shared" si="1"/>
        <v>0</v>
      </c>
    </row>
    <row r="105" spans="1:5" ht="21" customHeight="1">
      <c r="A105" s="60" t="s">
        <v>234</v>
      </c>
      <c r="B105" s="36">
        <v>0</v>
      </c>
      <c r="C105" s="36">
        <v>0</v>
      </c>
      <c r="D105" s="40" t="str">
        <f t="shared" si="0"/>
        <v>   </v>
      </c>
      <c r="E105" s="41">
        <f t="shared" si="1"/>
        <v>0</v>
      </c>
    </row>
    <row r="106" spans="1:5" ht="29.25" customHeight="1">
      <c r="A106" s="17" t="s">
        <v>132</v>
      </c>
      <c r="B106" s="36">
        <v>1741900</v>
      </c>
      <c r="C106" s="36">
        <v>948925.8</v>
      </c>
      <c r="D106" s="40">
        <f t="shared" si="0"/>
        <v>54.47647970606809</v>
      </c>
      <c r="E106" s="41">
        <f t="shared" si="1"/>
        <v>-792974.2</v>
      </c>
    </row>
    <row r="107" spans="1:5" ht="32.25" customHeight="1">
      <c r="A107" s="62" t="s">
        <v>221</v>
      </c>
      <c r="B107" s="36">
        <v>193600</v>
      </c>
      <c r="C107" s="36">
        <v>188323.9</v>
      </c>
      <c r="D107" s="40">
        <f t="shared" si="0"/>
        <v>97.27474173553719</v>
      </c>
      <c r="E107" s="41">
        <f t="shared" si="1"/>
        <v>-5276.100000000006</v>
      </c>
    </row>
    <row r="108" spans="1:5" ht="13.5">
      <c r="A108" s="62" t="s">
        <v>166</v>
      </c>
      <c r="B108" s="39">
        <f>B109</f>
        <v>100000</v>
      </c>
      <c r="C108" s="39">
        <f>C109</f>
        <v>95500</v>
      </c>
      <c r="D108" s="50">
        <f>IF(B108=0,"   ",C108/B108)</f>
        <v>0.955</v>
      </c>
      <c r="E108" s="51">
        <f>C108-B108</f>
        <v>-4500</v>
      </c>
    </row>
    <row r="109" spans="1:5" ht="27">
      <c r="A109" s="62" t="s">
        <v>145</v>
      </c>
      <c r="B109" s="39">
        <v>100000</v>
      </c>
      <c r="C109" s="39">
        <v>95500</v>
      </c>
      <c r="D109" s="50">
        <f>IF(B109=0,"   ",C109/B109)</f>
        <v>0.955</v>
      </c>
      <c r="E109" s="51">
        <f>C109-B109</f>
        <v>-4500</v>
      </c>
    </row>
    <row r="110" spans="1:5" ht="27">
      <c r="A110" s="62" t="s">
        <v>167</v>
      </c>
      <c r="B110" s="39">
        <v>0</v>
      </c>
      <c r="C110" s="39">
        <v>0</v>
      </c>
      <c r="D110" s="50" t="str">
        <f>IF(B110=0,"   ",C110/B110)</f>
        <v>   </v>
      </c>
      <c r="E110" s="51">
        <f>C110-B110</f>
        <v>0</v>
      </c>
    </row>
    <row r="111" spans="1:5" ht="18" customHeight="1">
      <c r="A111" s="21" t="s">
        <v>13</v>
      </c>
      <c r="B111" s="36">
        <f>SUM(B112,B115,B128,B151)</f>
        <v>99338827.6</v>
      </c>
      <c r="C111" s="36">
        <f>SUM(C112,C115,C128,C151)</f>
        <v>69506581.06</v>
      </c>
      <c r="D111" s="40">
        <f t="shared" si="0"/>
        <v>69.9691980862476</v>
      </c>
      <c r="E111" s="41">
        <f t="shared" si="1"/>
        <v>-29832246.53999999</v>
      </c>
    </row>
    <row r="112" spans="1:5" ht="18.75" customHeight="1">
      <c r="A112" s="128" t="s">
        <v>14</v>
      </c>
      <c r="B112" s="158">
        <f>SUM(B113:B114)</f>
        <v>690415.81</v>
      </c>
      <c r="C112" s="158">
        <f>SUM(C113:C114)</f>
        <v>242212.86000000002</v>
      </c>
      <c r="D112" s="40">
        <f t="shared" si="0"/>
        <v>35.08217171330419</v>
      </c>
      <c r="E112" s="41">
        <f t="shared" si="1"/>
        <v>-448202.95000000007</v>
      </c>
    </row>
    <row r="113" spans="1:5" ht="13.5">
      <c r="A113" s="21" t="s">
        <v>95</v>
      </c>
      <c r="B113" s="36">
        <v>130000</v>
      </c>
      <c r="C113" s="107">
        <v>49753.94</v>
      </c>
      <c r="D113" s="40">
        <f t="shared" si="0"/>
        <v>38.272261538461535</v>
      </c>
      <c r="E113" s="41">
        <f t="shared" si="1"/>
        <v>-80246.06</v>
      </c>
    </row>
    <row r="114" spans="1:5" ht="13.5">
      <c r="A114" s="21" t="s">
        <v>172</v>
      </c>
      <c r="B114" s="36">
        <v>560415.81</v>
      </c>
      <c r="C114" s="107">
        <v>192458.92</v>
      </c>
      <c r="D114" s="40">
        <f t="shared" si="0"/>
        <v>34.34216461523453</v>
      </c>
      <c r="E114" s="41">
        <f t="shared" si="1"/>
        <v>-367956.89</v>
      </c>
    </row>
    <row r="115" spans="1:5" ht="18" customHeight="1">
      <c r="A115" s="128" t="s">
        <v>64</v>
      </c>
      <c r="B115" s="158">
        <f>SUM(B116:B120,B124:B127)</f>
        <v>749996</v>
      </c>
      <c r="C115" s="158">
        <f>SUM(C116:C120,C124:C127)</f>
        <v>473378.39</v>
      </c>
      <c r="D115" s="40">
        <f t="shared" si="0"/>
        <v>63.11745529309489</v>
      </c>
      <c r="E115" s="41">
        <f t="shared" si="1"/>
        <v>-276617.61</v>
      </c>
    </row>
    <row r="116" spans="1:5" ht="27">
      <c r="A116" s="21" t="s">
        <v>181</v>
      </c>
      <c r="B116" s="36">
        <v>50000</v>
      </c>
      <c r="C116" s="36">
        <v>0</v>
      </c>
      <c r="D116" s="40">
        <f t="shared" si="0"/>
        <v>0</v>
      </c>
      <c r="E116" s="41">
        <f t="shared" si="1"/>
        <v>-50000</v>
      </c>
    </row>
    <row r="117" spans="1:5" ht="13.5">
      <c r="A117" s="21" t="s">
        <v>148</v>
      </c>
      <c r="B117" s="36">
        <v>274000</v>
      </c>
      <c r="C117" s="36">
        <v>173378.39</v>
      </c>
      <c r="D117" s="40">
        <f t="shared" si="0"/>
        <v>63.27678467153285</v>
      </c>
      <c r="E117" s="41">
        <f t="shared" si="1"/>
        <v>-100621.60999999999</v>
      </c>
    </row>
    <row r="118" spans="1:5" ht="13.5">
      <c r="A118" s="21" t="s">
        <v>283</v>
      </c>
      <c r="B118" s="36">
        <v>0</v>
      </c>
      <c r="C118" s="36">
        <v>0</v>
      </c>
      <c r="D118" s="40" t="str">
        <f>IF(B118=0,"   ",C118/B118*100)</f>
        <v>   </v>
      </c>
      <c r="E118" s="41">
        <f>C118-B118</f>
        <v>0</v>
      </c>
    </row>
    <row r="119" spans="1:5" ht="27">
      <c r="A119" s="21" t="s">
        <v>284</v>
      </c>
      <c r="B119" s="36">
        <v>0</v>
      </c>
      <c r="C119" s="36">
        <v>0</v>
      </c>
      <c r="D119" s="40" t="str">
        <f>IF(B119=0,"   ",C119/B119*100)</f>
        <v>   </v>
      </c>
      <c r="E119" s="41">
        <f>C119-B119</f>
        <v>0</v>
      </c>
    </row>
    <row r="120" spans="1:5" ht="13.5">
      <c r="A120" s="17" t="s">
        <v>341</v>
      </c>
      <c r="B120" s="36">
        <f>SUM(B121:B123)</f>
        <v>3500</v>
      </c>
      <c r="C120" s="36">
        <f>SUM(C121:C123)</f>
        <v>0</v>
      </c>
      <c r="D120" s="40">
        <f>IF(B120=0,"   ",C120/B120*100)</f>
        <v>0</v>
      </c>
      <c r="E120" s="41">
        <f>C120-B120</f>
        <v>-3500</v>
      </c>
    </row>
    <row r="121" spans="1:5" ht="13.5">
      <c r="A121" s="17" t="s">
        <v>344</v>
      </c>
      <c r="B121" s="36">
        <v>0</v>
      </c>
      <c r="C121" s="36">
        <v>0</v>
      </c>
      <c r="D121" s="40" t="str">
        <f>IF(B121=0,"   ",C121/B121*100)</f>
        <v>   </v>
      </c>
      <c r="E121" s="41">
        <f>C121-B121</f>
        <v>0</v>
      </c>
    </row>
    <row r="122" spans="1:5" ht="13.5">
      <c r="A122" s="17" t="s">
        <v>342</v>
      </c>
      <c r="B122" s="36">
        <v>0</v>
      </c>
      <c r="C122" s="36">
        <v>0</v>
      </c>
      <c r="D122" s="40" t="str">
        <f t="shared" si="0"/>
        <v>   </v>
      </c>
      <c r="E122" s="41">
        <f t="shared" si="1"/>
        <v>0</v>
      </c>
    </row>
    <row r="123" spans="1:5" ht="13.5">
      <c r="A123" s="17" t="s">
        <v>343</v>
      </c>
      <c r="B123" s="36">
        <v>3500</v>
      </c>
      <c r="C123" s="36">
        <v>0</v>
      </c>
      <c r="D123" s="40">
        <f t="shared" si="0"/>
        <v>0</v>
      </c>
      <c r="E123" s="41">
        <f t="shared" si="1"/>
        <v>-3500</v>
      </c>
    </row>
    <row r="124" spans="1:5" ht="13.5">
      <c r="A124" s="21" t="s">
        <v>258</v>
      </c>
      <c r="B124" s="36">
        <v>0</v>
      </c>
      <c r="C124" s="36">
        <v>0</v>
      </c>
      <c r="D124" s="40" t="str">
        <f t="shared" si="0"/>
        <v>   </v>
      </c>
      <c r="E124" s="41">
        <f t="shared" si="1"/>
        <v>0</v>
      </c>
    </row>
    <row r="125" spans="1:5" ht="13.5">
      <c r="A125" s="21" t="s">
        <v>261</v>
      </c>
      <c r="B125" s="36">
        <v>122496</v>
      </c>
      <c r="C125" s="36">
        <v>0</v>
      </c>
      <c r="D125" s="40">
        <f t="shared" si="0"/>
        <v>0</v>
      </c>
      <c r="E125" s="41">
        <f t="shared" si="1"/>
        <v>-122496</v>
      </c>
    </row>
    <row r="126" spans="1:5" ht="27">
      <c r="A126" s="21" t="s">
        <v>298</v>
      </c>
      <c r="B126" s="36">
        <v>0</v>
      </c>
      <c r="C126" s="36">
        <v>0</v>
      </c>
      <c r="D126" s="40" t="str">
        <f t="shared" si="0"/>
        <v>   </v>
      </c>
      <c r="E126" s="41">
        <f t="shared" si="1"/>
        <v>0</v>
      </c>
    </row>
    <row r="127" spans="1:5" ht="13.5">
      <c r="A127" s="21" t="s">
        <v>299</v>
      </c>
      <c r="B127" s="36">
        <v>300000</v>
      </c>
      <c r="C127" s="36">
        <v>300000</v>
      </c>
      <c r="D127" s="40">
        <f t="shared" si="0"/>
        <v>100</v>
      </c>
      <c r="E127" s="41">
        <f t="shared" si="1"/>
        <v>0</v>
      </c>
    </row>
    <row r="128" spans="1:5" ht="16.5" customHeight="1">
      <c r="A128" s="128" t="s">
        <v>63</v>
      </c>
      <c r="B128" s="158">
        <f>B129+B131+B132+B133+B134+B136+B140+B141+B145+B147+B130+B135+B146</f>
        <v>32619475.79</v>
      </c>
      <c r="C128" s="158">
        <f>C129+C131+C132+C133+C134+C136+C140+C141+C145+C147+C130+C135+C146</f>
        <v>30636567.41</v>
      </c>
      <c r="D128" s="40">
        <f t="shared" si="0"/>
        <v>93.921090600089</v>
      </c>
      <c r="E128" s="41">
        <f t="shared" si="1"/>
        <v>-1982908.379999999</v>
      </c>
    </row>
    <row r="129" spans="1:5" ht="13.5">
      <c r="A129" s="21" t="s">
        <v>65</v>
      </c>
      <c r="B129" s="36">
        <v>4882800</v>
      </c>
      <c r="C129" s="107">
        <v>3443666.72</v>
      </c>
      <c r="D129" s="40">
        <f t="shared" si="0"/>
        <v>70.52647497337594</v>
      </c>
      <c r="E129" s="41">
        <f t="shared" si="1"/>
        <v>-1439133.2799999998</v>
      </c>
    </row>
    <row r="130" spans="1:5" ht="27">
      <c r="A130" s="21" t="s">
        <v>199</v>
      </c>
      <c r="B130" s="36">
        <v>6000</v>
      </c>
      <c r="C130" s="107">
        <v>0</v>
      </c>
      <c r="D130" s="40">
        <f t="shared" si="0"/>
        <v>0</v>
      </c>
      <c r="E130" s="41">
        <f t="shared" si="1"/>
        <v>-6000</v>
      </c>
    </row>
    <row r="131" spans="1:5" ht="13.5">
      <c r="A131" s="21" t="s">
        <v>66</v>
      </c>
      <c r="B131" s="36">
        <v>128865.6</v>
      </c>
      <c r="C131" s="107">
        <v>128865.6</v>
      </c>
      <c r="D131" s="40">
        <f>IF(B131=0,"   ",C131/B131*100)</f>
        <v>100</v>
      </c>
      <c r="E131" s="41">
        <f t="shared" si="1"/>
        <v>0</v>
      </c>
    </row>
    <row r="132" spans="1:5" ht="13.5">
      <c r="A132" s="21" t="s">
        <v>67</v>
      </c>
      <c r="B132" s="36">
        <v>100000</v>
      </c>
      <c r="C132" s="107">
        <v>0</v>
      </c>
      <c r="D132" s="40">
        <f>IF(B132=0,"   ",C132/B132*100)</f>
        <v>0</v>
      </c>
      <c r="E132" s="41">
        <f t="shared" si="1"/>
        <v>-100000</v>
      </c>
    </row>
    <row r="133" spans="1:5" ht="13.5">
      <c r="A133" s="21" t="s">
        <v>68</v>
      </c>
      <c r="B133" s="36">
        <v>3892856.6</v>
      </c>
      <c r="C133" s="107">
        <v>3671093.33</v>
      </c>
      <c r="D133" s="40">
        <f>IF(B133=0,"   ",C133/B133*100)</f>
        <v>94.3033280496384</v>
      </c>
      <c r="E133" s="41">
        <f t="shared" si="1"/>
        <v>-221763.27000000002</v>
      </c>
    </row>
    <row r="134" spans="1:5" ht="18" customHeight="1">
      <c r="A134" s="17" t="s">
        <v>315</v>
      </c>
      <c r="B134" s="36">
        <v>0</v>
      </c>
      <c r="C134" s="107">
        <v>0</v>
      </c>
      <c r="D134" s="40" t="str">
        <f>IF(B134=0,"   ",C134/B134*100)</f>
        <v>   </v>
      </c>
      <c r="E134" s="41">
        <f t="shared" si="1"/>
        <v>0</v>
      </c>
    </row>
    <row r="135" spans="1:5" ht="16.5" customHeight="1">
      <c r="A135" s="17" t="s">
        <v>300</v>
      </c>
      <c r="B135" s="36">
        <v>0</v>
      </c>
      <c r="C135" s="107">
        <v>0</v>
      </c>
      <c r="D135" s="40" t="str">
        <f>IF(B135=0,"   ",C135/B135*100)</f>
        <v>   </v>
      </c>
      <c r="E135" s="41">
        <f t="shared" si="1"/>
        <v>0</v>
      </c>
    </row>
    <row r="136" spans="1:5" ht="18" customHeight="1">
      <c r="A136" s="17" t="s">
        <v>171</v>
      </c>
      <c r="B136" s="39">
        <f>B137+B139+B138</f>
        <v>5739532.75</v>
      </c>
      <c r="C136" s="39">
        <f>C137+C139+C138</f>
        <v>5739532.75</v>
      </c>
      <c r="D136" s="50">
        <f aca="true" t="shared" si="4" ref="D136:D150">IF(B136=0,"   ",C136/B136)</f>
        <v>1</v>
      </c>
      <c r="E136" s="51">
        <f aca="true" t="shared" si="5" ref="E136:E151">C136-B136</f>
        <v>0</v>
      </c>
    </row>
    <row r="137" spans="1:5" ht="13.5">
      <c r="A137" s="17" t="s">
        <v>169</v>
      </c>
      <c r="B137" s="39">
        <v>5682137.42</v>
      </c>
      <c r="C137" s="39">
        <v>5682137.42</v>
      </c>
      <c r="D137" s="50">
        <f t="shared" si="4"/>
        <v>1</v>
      </c>
      <c r="E137" s="51">
        <f t="shared" si="5"/>
        <v>0</v>
      </c>
    </row>
    <row r="138" spans="1:5" ht="13.5">
      <c r="A138" s="17" t="s">
        <v>170</v>
      </c>
      <c r="B138" s="39">
        <v>40176.73</v>
      </c>
      <c r="C138" s="39">
        <v>40176.73</v>
      </c>
      <c r="D138" s="50">
        <f t="shared" si="4"/>
        <v>1</v>
      </c>
      <c r="E138" s="51">
        <f t="shared" si="5"/>
        <v>0</v>
      </c>
    </row>
    <row r="139" spans="1:5" ht="13.5">
      <c r="A139" s="17" t="s">
        <v>178</v>
      </c>
      <c r="B139" s="39">
        <v>17218.6</v>
      </c>
      <c r="C139" s="39">
        <v>17218.6</v>
      </c>
      <c r="D139" s="50">
        <f t="shared" si="4"/>
        <v>1</v>
      </c>
      <c r="E139" s="51">
        <f t="shared" si="5"/>
        <v>0</v>
      </c>
    </row>
    <row r="140" spans="1:5" ht="14.25" customHeight="1">
      <c r="A140" s="62" t="s">
        <v>218</v>
      </c>
      <c r="B140" s="39">
        <v>276800</v>
      </c>
      <c r="C140" s="39">
        <v>266975.73</v>
      </c>
      <c r="D140" s="50">
        <f t="shared" si="4"/>
        <v>0.9645076950867051</v>
      </c>
      <c r="E140" s="51">
        <f t="shared" si="5"/>
        <v>-9824.270000000019</v>
      </c>
    </row>
    <row r="141" spans="1:5" ht="16.5" customHeight="1">
      <c r="A141" s="17" t="s">
        <v>341</v>
      </c>
      <c r="B141" s="39">
        <f>SUM(B142:B144)</f>
        <v>0</v>
      </c>
      <c r="C141" s="39">
        <f>SUM(C142:C144)</f>
        <v>0</v>
      </c>
      <c r="D141" s="40" t="str">
        <f>IF(B141=0,"   ",C141/B141*100)</f>
        <v>   </v>
      </c>
      <c r="E141" s="41">
        <f t="shared" si="5"/>
        <v>0</v>
      </c>
    </row>
    <row r="142" spans="1:5" ht="13.5">
      <c r="A142" s="17" t="s">
        <v>344</v>
      </c>
      <c r="B142" s="39">
        <v>0</v>
      </c>
      <c r="C142" s="39">
        <v>0</v>
      </c>
      <c r="D142" s="40" t="str">
        <f>IF(B142=0,"   ",C142/B142*100)</f>
        <v>   </v>
      </c>
      <c r="E142" s="41">
        <f t="shared" si="5"/>
        <v>0</v>
      </c>
    </row>
    <row r="143" spans="1:5" ht="13.5">
      <c r="A143" s="17" t="s">
        <v>342</v>
      </c>
      <c r="B143" s="39">
        <v>0</v>
      </c>
      <c r="C143" s="39">
        <v>0</v>
      </c>
      <c r="D143" s="40" t="str">
        <f>IF(B143=0,"   ",C143/B143*100)</f>
        <v>   </v>
      </c>
      <c r="E143" s="41">
        <f t="shared" si="5"/>
        <v>0</v>
      </c>
    </row>
    <row r="144" spans="1:5" ht="13.5">
      <c r="A144" s="17" t="s">
        <v>343</v>
      </c>
      <c r="B144" s="39">
        <v>0</v>
      </c>
      <c r="C144" s="39">
        <v>0</v>
      </c>
      <c r="D144" s="40" t="str">
        <f>IF(B144=0,"   ",C144/B144*100)</f>
        <v>   </v>
      </c>
      <c r="E144" s="41">
        <f t="shared" si="5"/>
        <v>0</v>
      </c>
    </row>
    <row r="145" spans="1:5" ht="13.5">
      <c r="A145" s="17" t="s">
        <v>224</v>
      </c>
      <c r="B145" s="39">
        <v>666675</v>
      </c>
      <c r="C145" s="39">
        <v>610000</v>
      </c>
      <c r="D145" s="50">
        <f t="shared" si="4"/>
        <v>0.914988562642967</v>
      </c>
      <c r="E145" s="51">
        <f t="shared" si="5"/>
        <v>-56675</v>
      </c>
    </row>
    <row r="146" spans="1:5" ht="13.5">
      <c r="A146" s="17" t="s">
        <v>274</v>
      </c>
      <c r="B146" s="39">
        <v>0</v>
      </c>
      <c r="C146" s="39">
        <v>0</v>
      </c>
      <c r="D146" s="50" t="str">
        <f t="shared" si="4"/>
        <v>   </v>
      </c>
      <c r="E146" s="51">
        <f t="shared" si="5"/>
        <v>0</v>
      </c>
    </row>
    <row r="147" spans="1:5" ht="17.25" customHeight="1">
      <c r="A147" s="17" t="s">
        <v>292</v>
      </c>
      <c r="B147" s="39">
        <f>SUM(B148:B150)</f>
        <v>16925945.84</v>
      </c>
      <c r="C147" s="39">
        <f>SUM(C148:C150)</f>
        <v>16776433.28</v>
      </c>
      <c r="D147" s="40">
        <f>IF(B147=0,"   ",C147/B147*100)</f>
        <v>99.11666643971726</v>
      </c>
      <c r="E147" s="41">
        <f>C147-B147</f>
        <v>-149512.56000000052</v>
      </c>
    </row>
    <row r="148" spans="1:5" ht="24.75" customHeight="1">
      <c r="A148" s="17" t="s">
        <v>293</v>
      </c>
      <c r="B148" s="107">
        <v>15891835.52</v>
      </c>
      <c r="C148" s="39">
        <v>15769847.28</v>
      </c>
      <c r="D148" s="40">
        <f>IF(B148=0,"   ",C148/B148*100)</f>
        <v>99.23238420227496</v>
      </c>
      <c r="E148" s="41">
        <f>C148-B148</f>
        <v>-121988.24000000022</v>
      </c>
    </row>
    <row r="149" spans="1:5" ht="15.75" customHeight="1">
      <c r="A149" s="17" t="s">
        <v>294</v>
      </c>
      <c r="B149" s="107">
        <v>1034110.32</v>
      </c>
      <c r="C149" s="39">
        <v>1006586</v>
      </c>
      <c r="D149" s="40">
        <f>IF(B149=0,"   ",C149/B149*100)</f>
        <v>97.33835747814605</v>
      </c>
      <c r="E149" s="41">
        <f>C149-B149</f>
        <v>-27524.31999999995</v>
      </c>
    </row>
    <row r="150" spans="1:5" ht="18" customHeight="1" thickBot="1">
      <c r="A150" s="17" t="s">
        <v>295</v>
      </c>
      <c r="B150" s="107">
        <v>0</v>
      </c>
      <c r="C150" s="39">
        <v>0</v>
      </c>
      <c r="D150" s="50" t="str">
        <f t="shared" si="4"/>
        <v>   </v>
      </c>
      <c r="E150" s="51">
        <f t="shared" si="5"/>
        <v>0</v>
      </c>
    </row>
    <row r="151" spans="1:5" ht="18" customHeight="1">
      <c r="A151" s="62" t="s">
        <v>290</v>
      </c>
      <c r="B151" s="165">
        <f>SUM(B152:B155)</f>
        <v>65278940</v>
      </c>
      <c r="C151" s="165">
        <f>SUM(C152:C155)</f>
        <v>38154422.4</v>
      </c>
      <c r="D151" s="40">
        <f aca="true" t="shared" si="6" ref="D151:D170">IF(B151=0,"   ",C151/B151*100)</f>
        <v>58.448287303684765</v>
      </c>
      <c r="E151" s="41">
        <f t="shared" si="5"/>
        <v>-27124517.6</v>
      </c>
    </row>
    <row r="152" spans="1:5" ht="29.25" customHeight="1">
      <c r="A152" s="62" t="s">
        <v>335</v>
      </c>
      <c r="B152" s="143">
        <v>55120000</v>
      </c>
      <c r="C152" s="143">
        <v>38154422.4</v>
      </c>
      <c r="D152" s="40">
        <f t="shared" si="6"/>
        <v>69.22065021770682</v>
      </c>
      <c r="E152" s="41">
        <f>C152-B152</f>
        <v>-16965577.6</v>
      </c>
    </row>
    <row r="153" spans="1:5" ht="29.25" customHeight="1">
      <c r="A153" s="62" t="s">
        <v>323</v>
      </c>
      <c r="B153" s="143">
        <v>9548369.6</v>
      </c>
      <c r="C153" s="143">
        <v>0</v>
      </c>
      <c r="D153" s="40">
        <f t="shared" si="6"/>
        <v>0</v>
      </c>
      <c r="E153" s="41">
        <f>C153-B153</f>
        <v>-9548369.6</v>
      </c>
    </row>
    <row r="154" spans="1:5" ht="29.25" customHeight="1">
      <c r="A154" s="62" t="s">
        <v>336</v>
      </c>
      <c r="B154" s="143">
        <v>609470.4</v>
      </c>
      <c r="C154" s="143">
        <v>0</v>
      </c>
      <c r="D154" s="40">
        <f t="shared" si="6"/>
        <v>0</v>
      </c>
      <c r="E154" s="41">
        <f>C154-B154</f>
        <v>-609470.4</v>
      </c>
    </row>
    <row r="155" spans="1:5" ht="18" customHeight="1">
      <c r="A155" s="62" t="s">
        <v>247</v>
      </c>
      <c r="B155" s="107">
        <v>1100</v>
      </c>
      <c r="C155" s="39">
        <v>0</v>
      </c>
      <c r="D155" s="40">
        <f t="shared" si="6"/>
        <v>0</v>
      </c>
      <c r="E155" s="41">
        <f>C155-B155</f>
        <v>-1100</v>
      </c>
    </row>
    <row r="156" spans="1:5" ht="15" customHeight="1">
      <c r="A156" s="21" t="s">
        <v>17</v>
      </c>
      <c r="B156" s="36">
        <v>0</v>
      </c>
      <c r="C156" s="36">
        <v>0</v>
      </c>
      <c r="D156" s="40" t="str">
        <f t="shared" si="6"/>
        <v>   </v>
      </c>
      <c r="E156" s="41">
        <f t="shared" si="1"/>
        <v>0</v>
      </c>
    </row>
    <row r="157" spans="1:5" ht="18.75" customHeight="1">
      <c r="A157" s="21" t="s">
        <v>41</v>
      </c>
      <c r="B157" s="143">
        <f>B158</f>
        <v>9526543.16</v>
      </c>
      <c r="C157" s="143">
        <f>C158</f>
        <v>6141934.62</v>
      </c>
      <c r="D157" s="40">
        <f t="shared" si="6"/>
        <v>64.4718080508859</v>
      </c>
      <c r="E157" s="41">
        <f t="shared" si="1"/>
        <v>-3384608.54</v>
      </c>
    </row>
    <row r="158" spans="1:5" ht="15.75" customHeight="1">
      <c r="A158" s="21" t="s">
        <v>42</v>
      </c>
      <c r="B158" s="158">
        <f>B159+B160+B161+B163+B162</f>
        <v>9526543.16</v>
      </c>
      <c r="C158" s="158">
        <f>C159+C160+C161+C163+C162</f>
        <v>6141934.62</v>
      </c>
      <c r="D158" s="40">
        <f t="shared" si="6"/>
        <v>64.4718080508859</v>
      </c>
      <c r="E158" s="41">
        <f t="shared" si="1"/>
        <v>-3384608.54</v>
      </c>
    </row>
    <row r="159" spans="1:5" ht="19.5" customHeight="1">
      <c r="A159" s="21" t="s">
        <v>133</v>
      </c>
      <c r="B159" s="36">
        <v>4600000</v>
      </c>
      <c r="C159" s="107">
        <v>1295691.46</v>
      </c>
      <c r="D159" s="40">
        <f t="shared" si="6"/>
        <v>28.16720565217391</v>
      </c>
      <c r="E159" s="41">
        <f t="shared" si="1"/>
        <v>-3304308.54</v>
      </c>
    </row>
    <row r="160" spans="1:5" ht="16.5" customHeight="1">
      <c r="A160" s="21" t="s">
        <v>179</v>
      </c>
      <c r="B160" s="36">
        <v>2903500</v>
      </c>
      <c r="C160" s="107">
        <v>2903500</v>
      </c>
      <c r="D160" s="40">
        <f t="shared" si="6"/>
        <v>100</v>
      </c>
      <c r="E160" s="41">
        <f t="shared" si="1"/>
        <v>0</v>
      </c>
    </row>
    <row r="161" spans="1:5" ht="18" customHeight="1">
      <c r="A161" s="21" t="s">
        <v>134</v>
      </c>
      <c r="B161" s="36">
        <v>1409400</v>
      </c>
      <c r="C161" s="107">
        <v>1329100</v>
      </c>
      <c r="D161" s="40">
        <f t="shared" si="6"/>
        <v>94.3025400879807</v>
      </c>
      <c r="E161" s="41">
        <f t="shared" si="1"/>
        <v>-80300</v>
      </c>
    </row>
    <row r="162" spans="1:5" ht="18" customHeight="1">
      <c r="A162" s="21" t="s">
        <v>253</v>
      </c>
      <c r="B162" s="36">
        <v>0</v>
      </c>
      <c r="C162" s="107">
        <v>0</v>
      </c>
      <c r="D162" s="40" t="str">
        <f t="shared" si="6"/>
        <v>   </v>
      </c>
      <c r="E162" s="41">
        <f t="shared" si="1"/>
        <v>0</v>
      </c>
    </row>
    <row r="163" spans="1:5" ht="18" customHeight="1">
      <c r="A163" s="21" t="s">
        <v>285</v>
      </c>
      <c r="B163" s="36">
        <f>SUM(B164:B165)</f>
        <v>613643.1599999999</v>
      </c>
      <c r="C163" s="36">
        <f>SUM(C164:C165)</f>
        <v>613643.1599999999</v>
      </c>
      <c r="D163" s="40">
        <f t="shared" si="6"/>
        <v>100</v>
      </c>
      <c r="E163" s="41">
        <f t="shared" si="1"/>
        <v>0</v>
      </c>
    </row>
    <row r="164" spans="1:5" ht="18" customHeight="1">
      <c r="A164" s="17" t="s">
        <v>286</v>
      </c>
      <c r="B164" s="36">
        <v>576824.57</v>
      </c>
      <c r="C164" s="107">
        <v>576824.57</v>
      </c>
      <c r="D164" s="40">
        <f t="shared" si="6"/>
        <v>100</v>
      </c>
      <c r="E164" s="41">
        <f>C164-B164</f>
        <v>0</v>
      </c>
    </row>
    <row r="165" spans="1:5" ht="18" customHeight="1">
      <c r="A165" s="17" t="s">
        <v>287</v>
      </c>
      <c r="B165" s="36">
        <v>36818.59</v>
      </c>
      <c r="C165" s="107">
        <v>36818.59</v>
      </c>
      <c r="D165" s="40">
        <f t="shared" si="6"/>
        <v>100</v>
      </c>
      <c r="E165" s="41">
        <f t="shared" si="1"/>
        <v>0</v>
      </c>
    </row>
    <row r="166" spans="1:5" ht="13.5">
      <c r="A166" s="21" t="s">
        <v>118</v>
      </c>
      <c r="B166" s="36">
        <f>SUM(B167,)</f>
        <v>105000</v>
      </c>
      <c r="C166" s="36">
        <f>SUM(C167,)</f>
        <v>12879</v>
      </c>
      <c r="D166" s="40">
        <f t="shared" si="6"/>
        <v>12.265714285714285</v>
      </c>
      <c r="E166" s="41">
        <f t="shared" si="1"/>
        <v>-92121</v>
      </c>
    </row>
    <row r="167" spans="1:5" ht="14.25" customHeight="1">
      <c r="A167" s="21" t="s">
        <v>43</v>
      </c>
      <c r="B167" s="36">
        <v>105000</v>
      </c>
      <c r="C167" s="99">
        <v>12879</v>
      </c>
      <c r="D167" s="40">
        <f t="shared" si="6"/>
        <v>12.265714285714285</v>
      </c>
      <c r="E167" s="41">
        <f t="shared" si="1"/>
        <v>-92121</v>
      </c>
    </row>
    <row r="168" spans="1:5" ht="19.5" customHeight="1">
      <c r="A168" s="21" t="s">
        <v>135</v>
      </c>
      <c r="B168" s="36">
        <f>SUM(B169:B169)</f>
        <v>0</v>
      </c>
      <c r="C168" s="36">
        <f>SUM(C169:C169)</f>
        <v>0</v>
      </c>
      <c r="D168" s="40" t="str">
        <f t="shared" si="6"/>
        <v>   </v>
      </c>
      <c r="E168" s="41">
        <f t="shared" si="1"/>
        <v>0</v>
      </c>
    </row>
    <row r="169" spans="1:5" ht="19.5" customHeight="1">
      <c r="A169" s="21" t="s">
        <v>136</v>
      </c>
      <c r="B169" s="36">
        <v>0</v>
      </c>
      <c r="C169" s="107">
        <v>0</v>
      </c>
      <c r="D169" s="40" t="str">
        <f t="shared" si="6"/>
        <v>   </v>
      </c>
      <c r="E169" s="41">
        <f t="shared" si="1"/>
        <v>0</v>
      </c>
    </row>
    <row r="170" spans="1:5" ht="20.25" customHeight="1">
      <c r="A170" s="44" t="s">
        <v>15</v>
      </c>
      <c r="B170" s="116">
        <f>B65+B75+B77+B82+B111+B156+B157+B166+B168</f>
        <v>139413340.45</v>
      </c>
      <c r="C170" s="116">
        <f>C65+C75+C77+C82+C111+C156+C157+C166+C168</f>
        <v>103583694.55000001</v>
      </c>
      <c r="D170" s="46">
        <f t="shared" si="6"/>
        <v>74.29970059941995</v>
      </c>
      <c r="E170" s="47">
        <f t="shared" si="1"/>
        <v>-35829645.899999976</v>
      </c>
    </row>
    <row r="171" spans="1:5" s="13" customFormat="1" ht="36.75" customHeight="1">
      <c r="A171" s="71" t="s">
        <v>276</v>
      </c>
      <c r="B171" s="71"/>
      <c r="C171" s="168"/>
      <c r="D171" s="168"/>
      <c r="E171" s="168"/>
    </row>
    <row r="172" spans="1:5" s="13" customFormat="1" ht="12" customHeight="1">
      <c r="A172" s="71" t="s">
        <v>144</v>
      </c>
      <c r="B172" s="71"/>
      <c r="C172" s="72" t="s">
        <v>277</v>
      </c>
      <c r="D172" s="73"/>
      <c r="E172" s="74"/>
    </row>
    <row r="173" spans="1:5" ht="13.5">
      <c r="A173" s="71"/>
      <c r="B173" s="71"/>
      <c r="C173" s="117"/>
      <c r="D173" s="71"/>
      <c r="E173" s="118"/>
    </row>
    <row r="174" spans="1:5" ht="15">
      <c r="A174" s="18"/>
      <c r="B174" s="18"/>
      <c r="C174" s="19"/>
      <c r="D174" s="18"/>
      <c r="E174" s="20"/>
    </row>
    <row r="175" spans="1:5" ht="12.75">
      <c r="A175" s="6"/>
      <c r="B175" s="6"/>
      <c r="C175" s="5"/>
      <c r="D175" s="6"/>
      <c r="E175" s="2"/>
    </row>
    <row r="176" spans="1:5" ht="12.75">
      <c r="A176" s="6"/>
      <c r="B176" s="6"/>
      <c r="C176" s="5"/>
      <c r="D176" s="6"/>
      <c r="E176" s="2"/>
    </row>
  </sheetData>
  <sheetProtection/>
  <mergeCells count="2">
    <mergeCell ref="A1:E1"/>
    <mergeCell ref="C171:E171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169" t="s">
        <v>369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319</v>
      </c>
      <c r="C4" s="26" t="s">
        <v>370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8" customHeight="1">
      <c r="A7" s="38" t="s">
        <v>45</v>
      </c>
      <c r="B7" s="143">
        <f>SUM(B8)</f>
        <v>34900</v>
      </c>
      <c r="C7" s="143">
        <f>SUM(C8)</f>
        <v>27057.56</v>
      </c>
      <c r="D7" s="40">
        <f aca="true" t="shared" si="0" ref="D7:D108">IF(B7=0,"   ",C7/B7*100)</f>
        <v>77.52882521489973</v>
      </c>
      <c r="E7" s="41">
        <f aca="true" t="shared" si="1" ref="E7:E109">C7-B7</f>
        <v>-7842.439999999999</v>
      </c>
    </row>
    <row r="8" spans="1:5" ht="13.5">
      <c r="A8" s="21" t="s">
        <v>44</v>
      </c>
      <c r="B8" s="36">
        <v>34900</v>
      </c>
      <c r="C8" s="86">
        <v>27057.56</v>
      </c>
      <c r="D8" s="40">
        <f t="shared" si="0"/>
        <v>77.52882521489973</v>
      </c>
      <c r="E8" s="41">
        <f t="shared" si="1"/>
        <v>-7842.439999999999</v>
      </c>
    </row>
    <row r="9" spans="1:5" ht="15" customHeight="1">
      <c r="A9" s="38" t="s">
        <v>128</v>
      </c>
      <c r="B9" s="143">
        <f>SUM(B10)</f>
        <v>715500</v>
      </c>
      <c r="C9" s="143">
        <f>SUM(C10)</f>
        <v>706577.84</v>
      </c>
      <c r="D9" s="40">
        <f t="shared" si="0"/>
        <v>98.75301747030049</v>
      </c>
      <c r="E9" s="41">
        <f t="shared" si="1"/>
        <v>-8922.160000000033</v>
      </c>
    </row>
    <row r="10" spans="1:5" ht="13.5">
      <c r="A10" s="21" t="s">
        <v>129</v>
      </c>
      <c r="B10" s="36">
        <v>715500</v>
      </c>
      <c r="C10" s="86">
        <v>706577.84</v>
      </c>
      <c r="D10" s="40">
        <f t="shared" si="0"/>
        <v>98.75301747030049</v>
      </c>
      <c r="E10" s="41">
        <f t="shared" si="1"/>
        <v>-8922.160000000033</v>
      </c>
    </row>
    <row r="11" spans="1:5" ht="18.75" customHeight="1">
      <c r="A11" s="21" t="s">
        <v>7</v>
      </c>
      <c r="B11" s="36">
        <f>SUM(B12:B12)</f>
        <v>1300</v>
      </c>
      <c r="C11" s="36">
        <f>SUM(C12:C12)</f>
        <v>2794.42</v>
      </c>
      <c r="D11" s="40">
        <f t="shared" si="0"/>
        <v>214.95538461538462</v>
      </c>
      <c r="E11" s="41">
        <f t="shared" si="1"/>
        <v>1494.42</v>
      </c>
    </row>
    <row r="12" spans="1:5" ht="21" customHeight="1">
      <c r="A12" s="21" t="s">
        <v>26</v>
      </c>
      <c r="B12" s="36">
        <v>1300</v>
      </c>
      <c r="C12" s="107">
        <v>2794.42</v>
      </c>
      <c r="D12" s="40">
        <f t="shared" si="0"/>
        <v>214.95538461538462</v>
      </c>
      <c r="E12" s="41">
        <f t="shared" si="1"/>
        <v>1494.42</v>
      </c>
    </row>
    <row r="13" spans="1:5" ht="21" customHeight="1">
      <c r="A13" s="21" t="s">
        <v>9</v>
      </c>
      <c r="B13" s="36">
        <f>SUM(B14:B15)</f>
        <v>223000</v>
      </c>
      <c r="C13" s="36">
        <f>SUM(C14:C15)</f>
        <v>103795.92000000001</v>
      </c>
      <c r="D13" s="40">
        <f t="shared" si="0"/>
        <v>46.54525560538117</v>
      </c>
      <c r="E13" s="41">
        <f t="shared" si="1"/>
        <v>-119204.07999999999</v>
      </c>
    </row>
    <row r="14" spans="1:5" ht="13.5">
      <c r="A14" s="21" t="s">
        <v>27</v>
      </c>
      <c r="B14" s="36">
        <v>73000</v>
      </c>
      <c r="C14" s="86">
        <v>22386.15</v>
      </c>
      <c r="D14" s="40">
        <f t="shared" si="0"/>
        <v>30.66595890410959</v>
      </c>
      <c r="E14" s="41">
        <f t="shared" si="1"/>
        <v>-50613.85</v>
      </c>
    </row>
    <row r="15" spans="1:5" ht="13.5">
      <c r="A15" s="21" t="s">
        <v>150</v>
      </c>
      <c r="B15" s="36">
        <f>SUM(B16:B17)</f>
        <v>150000</v>
      </c>
      <c r="C15" s="36">
        <f>SUM(C16:C17)</f>
        <v>81409.77</v>
      </c>
      <c r="D15" s="40">
        <f t="shared" si="0"/>
        <v>54.273179999999996</v>
      </c>
      <c r="E15" s="41">
        <f t="shared" si="1"/>
        <v>-68590.23</v>
      </c>
    </row>
    <row r="16" spans="1:5" ht="13.5">
      <c r="A16" s="21" t="s">
        <v>151</v>
      </c>
      <c r="B16" s="36">
        <v>9000</v>
      </c>
      <c r="C16" s="86">
        <v>8314.88</v>
      </c>
      <c r="D16" s="40">
        <f t="shared" si="0"/>
        <v>92.38755555555555</v>
      </c>
      <c r="E16" s="41">
        <f t="shared" si="1"/>
        <v>-685.1200000000008</v>
      </c>
    </row>
    <row r="17" spans="1:5" ht="13.5">
      <c r="A17" s="21" t="s">
        <v>152</v>
      </c>
      <c r="B17" s="36">
        <v>141000</v>
      </c>
      <c r="C17" s="86">
        <v>73094.89</v>
      </c>
      <c r="D17" s="40">
        <f t="shared" si="0"/>
        <v>51.8403475177305</v>
      </c>
      <c r="E17" s="41">
        <f t="shared" si="1"/>
        <v>-67905.11</v>
      </c>
    </row>
    <row r="18" spans="1:5" ht="18.75" customHeight="1">
      <c r="A18" s="21" t="s">
        <v>182</v>
      </c>
      <c r="B18" s="36">
        <v>0</v>
      </c>
      <c r="C18" s="86">
        <v>850</v>
      </c>
      <c r="D18" s="40" t="str">
        <f t="shared" si="0"/>
        <v>   </v>
      </c>
      <c r="E18" s="41">
        <f t="shared" si="1"/>
        <v>850</v>
      </c>
    </row>
    <row r="19" spans="1:5" ht="27" customHeight="1">
      <c r="A19" s="21" t="s">
        <v>85</v>
      </c>
      <c r="B19" s="36">
        <v>0</v>
      </c>
      <c r="C19" s="86">
        <v>0</v>
      </c>
      <c r="D19" s="40" t="str">
        <f t="shared" si="0"/>
        <v>   </v>
      </c>
      <c r="E19" s="41">
        <f t="shared" si="1"/>
        <v>0</v>
      </c>
    </row>
    <row r="20" spans="1:5" ht="30.75" customHeight="1">
      <c r="A20" s="21" t="s">
        <v>28</v>
      </c>
      <c r="B20" s="36">
        <f>SUM(B21:B23)</f>
        <v>172500</v>
      </c>
      <c r="C20" s="36">
        <f>SUM(C21:C23)</f>
        <v>20795.48</v>
      </c>
      <c r="D20" s="40">
        <f t="shared" si="0"/>
        <v>12.05535072463768</v>
      </c>
      <c r="E20" s="41">
        <f t="shared" si="1"/>
        <v>-151704.52</v>
      </c>
    </row>
    <row r="21" spans="1:5" ht="21.75" customHeight="1">
      <c r="A21" s="21" t="s">
        <v>142</v>
      </c>
      <c r="B21" s="36">
        <v>172500</v>
      </c>
      <c r="C21" s="107">
        <v>20795.48</v>
      </c>
      <c r="D21" s="40">
        <f t="shared" si="0"/>
        <v>12.05535072463768</v>
      </c>
      <c r="E21" s="41">
        <f t="shared" si="1"/>
        <v>-151704.52</v>
      </c>
    </row>
    <row r="22" spans="1:5" ht="21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21" customHeight="1">
      <c r="A23" s="21" t="s">
        <v>237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20.25" customHeight="1">
      <c r="A24" s="21" t="s">
        <v>82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7.25" customHeight="1">
      <c r="A25" s="21" t="s">
        <v>76</v>
      </c>
      <c r="B25" s="143">
        <f>B26</f>
        <v>0</v>
      </c>
      <c r="C25" s="143">
        <f>C26</f>
        <v>0</v>
      </c>
      <c r="D25" s="40" t="str">
        <f t="shared" si="0"/>
        <v>   </v>
      </c>
      <c r="E25" s="41">
        <f t="shared" si="1"/>
        <v>0</v>
      </c>
    </row>
    <row r="26" spans="1:5" ht="27.75" customHeight="1">
      <c r="A26" s="21" t="s">
        <v>289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36">
        <f>SUM(B28:B30)</f>
        <v>80620.8</v>
      </c>
      <c r="C27" s="36">
        <f>SUM(C28:C30)</f>
        <v>80620.8</v>
      </c>
      <c r="D27" s="40">
        <f t="shared" si="0"/>
        <v>100</v>
      </c>
      <c r="E27" s="41">
        <f t="shared" si="1"/>
        <v>0</v>
      </c>
    </row>
    <row r="28" spans="1:5" ht="13.5">
      <c r="A28" s="21" t="s">
        <v>46</v>
      </c>
      <c r="B28" s="36">
        <v>0</v>
      </c>
      <c r="C28" s="36">
        <v>0</v>
      </c>
      <c r="D28" s="40" t="str">
        <f t="shared" si="0"/>
        <v>   </v>
      </c>
      <c r="E28" s="41">
        <f t="shared" si="1"/>
        <v>0</v>
      </c>
    </row>
    <row r="29" spans="1:5" ht="13.5">
      <c r="A29" s="21" t="s">
        <v>301</v>
      </c>
      <c r="B29" s="36">
        <v>80620.8</v>
      </c>
      <c r="C29" s="36">
        <v>80620.8</v>
      </c>
      <c r="D29" s="40">
        <f t="shared" si="0"/>
        <v>100</v>
      </c>
      <c r="E29" s="41">
        <f t="shared" si="1"/>
        <v>0</v>
      </c>
    </row>
    <row r="30" spans="1:5" ht="13.5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16.5" customHeight="1">
      <c r="A32" s="44" t="s">
        <v>10</v>
      </c>
      <c r="B32" s="116">
        <f>SUM(B7,B9,B11,B13,B20,B24,B25,B27,B31,B19,B18)</f>
        <v>1227820.8</v>
      </c>
      <c r="C32" s="116">
        <f>SUM(C7,C9,C11,C13,C20,C24,C25,C27,C31,C19,C18)</f>
        <v>942492.0200000001</v>
      </c>
      <c r="D32" s="46">
        <f t="shared" si="0"/>
        <v>76.76136615375795</v>
      </c>
      <c r="E32" s="47">
        <f t="shared" si="1"/>
        <v>-285328.7799999999</v>
      </c>
    </row>
    <row r="33" spans="1:5" ht="13.5" customHeight="1">
      <c r="A33" s="62" t="s">
        <v>131</v>
      </c>
      <c r="B33" s="145">
        <f>SUM(B34:B37,B40:B43,B49)</f>
        <v>6090555.03</v>
      </c>
      <c r="C33" s="145">
        <f>SUM(C34:C37,C40:C43,C49)</f>
        <v>5543080.23</v>
      </c>
      <c r="D33" s="46">
        <f t="shared" si="0"/>
        <v>91.0110852409456</v>
      </c>
      <c r="E33" s="47">
        <f t="shared" si="1"/>
        <v>-547474.7999999998</v>
      </c>
    </row>
    <row r="34" spans="1:5" ht="19.5" customHeight="1">
      <c r="A34" s="38" t="s">
        <v>34</v>
      </c>
      <c r="B34" s="143">
        <v>2547000</v>
      </c>
      <c r="C34" s="86">
        <v>2123700</v>
      </c>
      <c r="D34" s="40">
        <f t="shared" si="0"/>
        <v>83.38044758539458</v>
      </c>
      <c r="E34" s="41">
        <f t="shared" si="1"/>
        <v>-423300</v>
      </c>
    </row>
    <row r="35" spans="1:5" ht="19.5" customHeight="1">
      <c r="A35" s="38" t="s">
        <v>207</v>
      </c>
      <c r="B35" s="143">
        <v>0</v>
      </c>
      <c r="C35" s="86">
        <v>0</v>
      </c>
      <c r="D35" s="40" t="str">
        <f t="shared" si="0"/>
        <v>   </v>
      </c>
      <c r="E35" s="41">
        <f t="shared" si="1"/>
        <v>0</v>
      </c>
    </row>
    <row r="36" spans="1:5" ht="30.75" customHeight="1">
      <c r="A36" s="52" t="s">
        <v>51</v>
      </c>
      <c r="B36" s="85">
        <v>99900</v>
      </c>
      <c r="C36" s="86">
        <v>94600</v>
      </c>
      <c r="D36" s="54">
        <f t="shared" si="0"/>
        <v>94.69469469469469</v>
      </c>
      <c r="E36" s="55">
        <f t="shared" si="1"/>
        <v>-5300</v>
      </c>
    </row>
    <row r="37" spans="1:5" ht="24.75" customHeight="1">
      <c r="A37" s="52" t="s">
        <v>138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6.5" customHeight="1">
      <c r="A38" s="52" t="s">
        <v>153</v>
      </c>
      <c r="B38" s="85">
        <v>100</v>
      </c>
      <c r="C38" s="153">
        <v>100</v>
      </c>
      <c r="D38" s="54">
        <f t="shared" si="0"/>
        <v>100</v>
      </c>
      <c r="E38" s="55">
        <f t="shared" si="1"/>
        <v>0</v>
      </c>
    </row>
    <row r="39" spans="1:5" ht="25.5" customHeight="1">
      <c r="A39" s="52" t="s">
        <v>154</v>
      </c>
      <c r="B39" s="85">
        <v>0</v>
      </c>
      <c r="C39" s="153">
        <v>0</v>
      </c>
      <c r="D39" s="54" t="str">
        <f t="shared" si="0"/>
        <v>   </v>
      </c>
      <c r="E39" s="55">
        <f t="shared" si="1"/>
        <v>0</v>
      </c>
    </row>
    <row r="40" spans="1:5" ht="40.5" customHeight="1">
      <c r="A40" s="159" t="s">
        <v>124</v>
      </c>
      <c r="B40" s="85">
        <v>0</v>
      </c>
      <c r="C40" s="85">
        <v>0</v>
      </c>
      <c r="D40" s="54" t="str">
        <f t="shared" si="0"/>
        <v>   </v>
      </c>
      <c r="E40" s="55">
        <f t="shared" si="1"/>
        <v>0</v>
      </c>
    </row>
    <row r="41" spans="1:5" ht="27.75" customHeight="1">
      <c r="A41" s="159" t="s">
        <v>310</v>
      </c>
      <c r="B41" s="85">
        <v>52600</v>
      </c>
      <c r="C41" s="85">
        <v>52600</v>
      </c>
      <c r="D41" s="54">
        <f t="shared" si="0"/>
        <v>100</v>
      </c>
      <c r="E41" s="55">
        <f t="shared" si="1"/>
        <v>0</v>
      </c>
    </row>
    <row r="42" spans="1:5" ht="61.5" customHeight="1">
      <c r="A42" s="21" t="s">
        <v>214</v>
      </c>
      <c r="B42" s="85">
        <v>1005900</v>
      </c>
      <c r="C42" s="85">
        <v>1005900</v>
      </c>
      <c r="D42" s="54">
        <f t="shared" si="0"/>
        <v>100</v>
      </c>
      <c r="E42" s="55">
        <f t="shared" si="1"/>
        <v>0</v>
      </c>
    </row>
    <row r="43" spans="1:5" ht="15.75" customHeight="1">
      <c r="A43" s="21" t="s">
        <v>55</v>
      </c>
      <c r="B43" s="36">
        <f>SUM(B44:B48)</f>
        <v>2385055.0300000003</v>
      </c>
      <c r="C43" s="36">
        <f>SUM(C44:C48)</f>
        <v>2266180.23</v>
      </c>
      <c r="D43" s="40">
        <f t="shared" si="0"/>
        <v>95.0158466574249</v>
      </c>
      <c r="E43" s="41">
        <f t="shared" si="1"/>
        <v>-118874.80000000028</v>
      </c>
    </row>
    <row r="44" spans="1:5" ht="17.25" customHeight="1">
      <c r="A44" s="21" t="s">
        <v>337</v>
      </c>
      <c r="B44" s="36">
        <v>120931.2</v>
      </c>
      <c r="C44" s="36">
        <v>120931.2</v>
      </c>
      <c r="D44" s="40">
        <f>IF(B44=0,"   ",C44/B44*100)</f>
        <v>100</v>
      </c>
      <c r="E44" s="41">
        <f>C44-B44</f>
        <v>0</v>
      </c>
    </row>
    <row r="45" spans="1:5" ht="17.25" customHeight="1">
      <c r="A45" s="21" t="s">
        <v>337</v>
      </c>
      <c r="B45" s="36">
        <v>120931.2</v>
      </c>
      <c r="C45" s="36">
        <v>120931.2</v>
      </c>
      <c r="D45" s="40">
        <f>IF(B45=0,"   ",C45/B45*100)</f>
        <v>100</v>
      </c>
      <c r="E45" s="41">
        <f>C45-B45</f>
        <v>0</v>
      </c>
    </row>
    <row r="46" spans="1:5" ht="15" customHeight="1">
      <c r="A46" s="21" t="s">
        <v>278</v>
      </c>
      <c r="B46" s="36">
        <v>559642.63</v>
      </c>
      <c r="C46" s="36">
        <v>559642.63</v>
      </c>
      <c r="D46" s="40">
        <f>IF(B46=0,"   ",C46/B46*100)</f>
        <v>100</v>
      </c>
      <c r="E46" s="41">
        <f>C46-B46</f>
        <v>0</v>
      </c>
    </row>
    <row r="47" spans="1:5" ht="15" customHeight="1">
      <c r="A47" s="21" t="s">
        <v>255</v>
      </c>
      <c r="B47" s="36">
        <v>1192450</v>
      </c>
      <c r="C47" s="36">
        <v>1167470</v>
      </c>
      <c r="D47" s="40">
        <f>IF(B47=0,"   ",C47/B47*100)</f>
        <v>97.90515325590171</v>
      </c>
      <c r="E47" s="41">
        <f>C47-B47</f>
        <v>-24980</v>
      </c>
    </row>
    <row r="48" spans="1:5" s="6" customFormat="1" ht="16.5" customHeight="1">
      <c r="A48" s="21" t="s">
        <v>103</v>
      </c>
      <c r="B48" s="36">
        <v>391100</v>
      </c>
      <c r="C48" s="36">
        <v>297205.2</v>
      </c>
      <c r="D48" s="36">
        <f t="shared" si="0"/>
        <v>75.99212477627205</v>
      </c>
      <c r="E48" s="41">
        <f t="shared" si="1"/>
        <v>-93894.79999999999</v>
      </c>
    </row>
    <row r="49" spans="1:5" s="6" customFormat="1" ht="23.25" customHeight="1">
      <c r="A49" s="21" t="s">
        <v>184</v>
      </c>
      <c r="B49" s="36">
        <v>0</v>
      </c>
      <c r="C49" s="36">
        <v>0</v>
      </c>
      <c r="D49" s="36" t="str">
        <f>IF(B49=0,"   ",C49/B49*100)</f>
        <v>   </v>
      </c>
      <c r="E49" s="41">
        <f>C49-B49</f>
        <v>0</v>
      </c>
    </row>
    <row r="50" spans="1:5" ht="40.5" customHeight="1">
      <c r="A50" s="44" t="s">
        <v>11</v>
      </c>
      <c r="B50" s="116">
        <f>SUM(B32,B33,)</f>
        <v>7318375.83</v>
      </c>
      <c r="C50" s="116">
        <f>SUM(C32,C33,)</f>
        <v>6485572.250000001</v>
      </c>
      <c r="D50" s="46">
        <f t="shared" si="0"/>
        <v>88.620376988756</v>
      </c>
      <c r="E50" s="47">
        <f t="shared" si="1"/>
        <v>-832803.5799999991</v>
      </c>
    </row>
    <row r="51" spans="1:5" ht="41.25" customHeight="1">
      <c r="A51" s="33" t="s">
        <v>12</v>
      </c>
      <c r="B51" s="154"/>
      <c r="C51" s="155"/>
      <c r="D51" s="40" t="str">
        <f t="shared" si="0"/>
        <v>   </v>
      </c>
      <c r="E51" s="41">
        <f t="shared" si="1"/>
        <v>0</v>
      </c>
    </row>
    <row r="52" spans="1:5" ht="21" customHeight="1">
      <c r="A52" s="21" t="s">
        <v>35</v>
      </c>
      <c r="B52" s="36">
        <f>SUM(B53,B56,B57)</f>
        <v>1486061.5</v>
      </c>
      <c r="C52" s="36">
        <f>SUM(C53,C56,C57)</f>
        <v>1110749.25</v>
      </c>
      <c r="D52" s="40">
        <f t="shared" si="0"/>
        <v>74.74450081641977</v>
      </c>
      <c r="E52" s="41">
        <f t="shared" si="1"/>
        <v>-375312.25</v>
      </c>
    </row>
    <row r="53" spans="1:5" ht="14.25" customHeight="1">
      <c r="A53" s="21" t="s">
        <v>36</v>
      </c>
      <c r="B53" s="36">
        <v>1484061.5</v>
      </c>
      <c r="C53" s="36">
        <v>1109249.25</v>
      </c>
      <c r="D53" s="40">
        <f t="shared" si="0"/>
        <v>74.74415649216694</v>
      </c>
      <c r="E53" s="41">
        <f t="shared" si="1"/>
        <v>-374812.25</v>
      </c>
    </row>
    <row r="54" spans="1:5" ht="13.5">
      <c r="A54" s="21" t="s">
        <v>115</v>
      </c>
      <c r="B54" s="36">
        <v>840229</v>
      </c>
      <c r="C54" s="99">
        <v>622852.91</v>
      </c>
      <c r="D54" s="40">
        <f t="shared" si="0"/>
        <v>74.12894698945169</v>
      </c>
      <c r="E54" s="41">
        <f t="shared" si="1"/>
        <v>-217376.08999999997</v>
      </c>
    </row>
    <row r="55" spans="1:5" ht="13.5">
      <c r="A55" s="21" t="s">
        <v>312</v>
      </c>
      <c r="B55" s="36">
        <v>52600</v>
      </c>
      <c r="C55" s="99">
        <v>52600</v>
      </c>
      <c r="D55" s="40">
        <f>IF(B55=0,"   ",C55/B55*100)</f>
        <v>100</v>
      </c>
      <c r="E55" s="41">
        <f>C55-B55</f>
        <v>0</v>
      </c>
    </row>
    <row r="56" spans="1:5" ht="13.5">
      <c r="A56" s="21" t="s">
        <v>90</v>
      </c>
      <c r="B56" s="36">
        <v>500</v>
      </c>
      <c r="C56" s="107">
        <v>0</v>
      </c>
      <c r="D56" s="40">
        <f t="shared" si="0"/>
        <v>0</v>
      </c>
      <c r="E56" s="41">
        <f t="shared" si="1"/>
        <v>-500</v>
      </c>
    </row>
    <row r="57" spans="1:5" ht="13.5">
      <c r="A57" s="21" t="s">
        <v>52</v>
      </c>
      <c r="B57" s="36">
        <f>B58+B59</f>
        <v>1500</v>
      </c>
      <c r="C57" s="36">
        <f>C58</f>
        <v>1500</v>
      </c>
      <c r="D57" s="40">
        <f t="shared" si="0"/>
        <v>100</v>
      </c>
      <c r="E57" s="41">
        <f t="shared" si="1"/>
        <v>0</v>
      </c>
    </row>
    <row r="58" spans="1:5" ht="27">
      <c r="A58" s="17" t="s">
        <v>220</v>
      </c>
      <c r="B58" s="36">
        <v>1500</v>
      </c>
      <c r="C58" s="107">
        <v>1500</v>
      </c>
      <c r="D58" s="40">
        <f t="shared" si="0"/>
        <v>100</v>
      </c>
      <c r="E58" s="41">
        <f t="shared" si="1"/>
        <v>0</v>
      </c>
    </row>
    <row r="59" spans="1:5" ht="13.5">
      <c r="A59" s="17" t="s">
        <v>219</v>
      </c>
      <c r="B59" s="36">
        <v>0</v>
      </c>
      <c r="C59" s="107">
        <v>0</v>
      </c>
      <c r="D59" s="40" t="str">
        <f t="shared" si="0"/>
        <v>   </v>
      </c>
      <c r="E59" s="41">
        <f t="shared" si="1"/>
        <v>0</v>
      </c>
    </row>
    <row r="60" spans="1:5" ht="19.5" customHeight="1">
      <c r="A60" s="21" t="s">
        <v>49</v>
      </c>
      <c r="B60" s="107">
        <f>SUM(B61)</f>
        <v>99900</v>
      </c>
      <c r="C60" s="107">
        <f>SUM(C61)</f>
        <v>74901.21</v>
      </c>
      <c r="D60" s="40">
        <f t="shared" si="0"/>
        <v>74.97618618618618</v>
      </c>
      <c r="E60" s="41">
        <f t="shared" si="1"/>
        <v>-24998.789999999994</v>
      </c>
    </row>
    <row r="61" spans="1:5" ht="15.75" customHeight="1">
      <c r="A61" s="21" t="s">
        <v>101</v>
      </c>
      <c r="B61" s="36">
        <v>99900</v>
      </c>
      <c r="C61" s="107">
        <v>74901.21</v>
      </c>
      <c r="D61" s="40">
        <f t="shared" si="0"/>
        <v>74.97618618618618</v>
      </c>
      <c r="E61" s="41">
        <f t="shared" si="1"/>
        <v>-24998.789999999994</v>
      </c>
    </row>
    <row r="62" spans="1:5" ht="21" customHeight="1">
      <c r="A62" s="21" t="s">
        <v>37</v>
      </c>
      <c r="B62" s="36">
        <f>SUM(B63)</f>
        <v>0</v>
      </c>
      <c r="C62" s="107">
        <f>SUM(C63)</f>
        <v>0</v>
      </c>
      <c r="D62" s="40" t="str">
        <f t="shared" si="0"/>
        <v>   </v>
      </c>
      <c r="E62" s="41">
        <f t="shared" si="1"/>
        <v>0</v>
      </c>
    </row>
    <row r="63" spans="1:5" ht="15" customHeight="1">
      <c r="A63" s="60" t="s">
        <v>303</v>
      </c>
      <c r="B63" s="36">
        <v>0</v>
      </c>
      <c r="C63" s="107">
        <v>0</v>
      </c>
      <c r="D63" s="40" t="str">
        <f t="shared" si="0"/>
        <v>   </v>
      </c>
      <c r="E63" s="41">
        <f t="shared" si="1"/>
        <v>0</v>
      </c>
    </row>
    <row r="64" spans="1:5" ht="19.5" customHeight="1">
      <c r="A64" s="21" t="s">
        <v>38</v>
      </c>
      <c r="B64" s="36">
        <f>SUM(B72+B65+B70+B80)</f>
        <v>2770264.5</v>
      </c>
      <c r="C64" s="36">
        <f>SUM(C72+C65+C70+C80)</f>
        <v>2111093.5</v>
      </c>
      <c r="D64" s="40">
        <f t="shared" si="0"/>
        <v>76.2054850719128</v>
      </c>
      <c r="E64" s="41">
        <f t="shared" si="1"/>
        <v>-659171</v>
      </c>
    </row>
    <row r="65" spans="1:5" ht="15" customHeight="1">
      <c r="A65" s="62" t="s">
        <v>155</v>
      </c>
      <c r="B65" s="36">
        <f>SUM(B66:B69)</f>
        <v>595364.5</v>
      </c>
      <c r="C65" s="36">
        <f>SUM(C66:C69)</f>
        <v>595364.5</v>
      </c>
      <c r="D65" s="40">
        <f aca="true" t="shared" si="2" ref="D65:D71">IF(B65=0,"   ",C65/B65*100)</f>
        <v>100</v>
      </c>
      <c r="E65" s="41">
        <f aca="true" t="shared" si="3" ref="E65:E71">C65-B65</f>
        <v>0</v>
      </c>
    </row>
    <row r="66" spans="1:5" ht="15.75" customHeight="1">
      <c r="A66" s="62" t="s">
        <v>156</v>
      </c>
      <c r="B66" s="36">
        <v>0</v>
      </c>
      <c r="C66" s="36">
        <v>0</v>
      </c>
      <c r="D66" s="40" t="str">
        <f t="shared" si="2"/>
        <v>   </v>
      </c>
      <c r="E66" s="41">
        <f t="shared" si="3"/>
        <v>0</v>
      </c>
    </row>
    <row r="67" spans="1:5" ht="19.5" customHeight="1">
      <c r="A67" s="62" t="s">
        <v>159</v>
      </c>
      <c r="B67" s="36">
        <v>0</v>
      </c>
      <c r="C67" s="36">
        <v>0</v>
      </c>
      <c r="D67" s="40" t="str">
        <f t="shared" si="2"/>
        <v>   </v>
      </c>
      <c r="E67" s="41">
        <f t="shared" si="3"/>
        <v>0</v>
      </c>
    </row>
    <row r="68" spans="1:5" ht="19.5" customHeight="1">
      <c r="A68" s="62" t="s">
        <v>279</v>
      </c>
      <c r="B68" s="36">
        <v>559642.63</v>
      </c>
      <c r="C68" s="36">
        <v>559642.63</v>
      </c>
      <c r="D68" s="40">
        <f t="shared" si="2"/>
        <v>100</v>
      </c>
      <c r="E68" s="41">
        <f t="shared" si="3"/>
        <v>0</v>
      </c>
    </row>
    <row r="69" spans="1:5" ht="19.5" customHeight="1">
      <c r="A69" s="62" t="s">
        <v>280</v>
      </c>
      <c r="B69" s="36">
        <v>35721.87</v>
      </c>
      <c r="C69" s="36">
        <v>35721.87</v>
      </c>
      <c r="D69" s="40">
        <f t="shared" si="2"/>
        <v>100</v>
      </c>
      <c r="E69" s="41">
        <f t="shared" si="3"/>
        <v>0</v>
      </c>
    </row>
    <row r="70" spans="1:5" ht="19.5" customHeight="1">
      <c r="A70" s="62" t="s">
        <v>208</v>
      </c>
      <c r="B70" s="36">
        <f>SUM(B71)</f>
        <v>0</v>
      </c>
      <c r="C70" s="36">
        <f>SUM(C71)</f>
        <v>0</v>
      </c>
      <c r="D70" s="40" t="str">
        <f t="shared" si="2"/>
        <v>   </v>
      </c>
      <c r="E70" s="41">
        <f t="shared" si="3"/>
        <v>0</v>
      </c>
    </row>
    <row r="71" spans="1:5" ht="19.5" customHeight="1">
      <c r="A71" s="62" t="s">
        <v>209</v>
      </c>
      <c r="B71" s="36">
        <v>0</v>
      </c>
      <c r="C71" s="36">
        <v>0</v>
      </c>
      <c r="D71" s="40" t="str">
        <f t="shared" si="2"/>
        <v>   </v>
      </c>
      <c r="E71" s="41">
        <f t="shared" si="3"/>
        <v>0</v>
      </c>
    </row>
    <row r="72" spans="1:5" ht="18" customHeight="1">
      <c r="A72" s="62" t="s">
        <v>123</v>
      </c>
      <c r="B72" s="36">
        <f>SUM(B73:B79)</f>
        <v>2174900</v>
      </c>
      <c r="C72" s="36">
        <f>SUM(C73:C79)</f>
        <v>1515729</v>
      </c>
      <c r="D72" s="40">
        <f t="shared" si="0"/>
        <v>69.6918938801784</v>
      </c>
      <c r="E72" s="41">
        <f t="shared" si="1"/>
        <v>-659171</v>
      </c>
    </row>
    <row r="73" spans="1:5" ht="24.75" customHeight="1">
      <c r="A73" s="60" t="s">
        <v>139</v>
      </c>
      <c r="B73" s="36">
        <v>0</v>
      </c>
      <c r="C73" s="36">
        <v>0</v>
      </c>
      <c r="D73" s="40" t="str">
        <f t="shared" si="0"/>
        <v>   </v>
      </c>
      <c r="E73" s="55">
        <f t="shared" si="1"/>
        <v>0</v>
      </c>
    </row>
    <row r="74" spans="1:5" ht="33.75" customHeight="1">
      <c r="A74" s="17" t="s">
        <v>225</v>
      </c>
      <c r="B74" s="36">
        <v>572600</v>
      </c>
      <c r="C74" s="36">
        <v>17801</v>
      </c>
      <c r="D74" s="40">
        <f t="shared" si="0"/>
        <v>3.10880195599022</v>
      </c>
      <c r="E74" s="55">
        <f t="shared" si="1"/>
        <v>-554799</v>
      </c>
    </row>
    <row r="75" spans="1:5" ht="26.25" customHeight="1">
      <c r="A75" s="17" t="s">
        <v>226</v>
      </c>
      <c r="B75" s="36">
        <v>50000</v>
      </c>
      <c r="C75" s="36">
        <v>50000</v>
      </c>
      <c r="D75" s="40">
        <f t="shared" si="0"/>
        <v>100</v>
      </c>
      <c r="E75" s="41">
        <f t="shared" si="1"/>
        <v>0</v>
      </c>
    </row>
    <row r="76" spans="1:5" ht="26.25" customHeight="1">
      <c r="A76" s="17" t="s">
        <v>227</v>
      </c>
      <c r="B76" s="36">
        <v>1005900</v>
      </c>
      <c r="C76" s="36">
        <v>1005900</v>
      </c>
      <c r="D76" s="40">
        <f t="shared" si="0"/>
        <v>100</v>
      </c>
      <c r="E76" s="41">
        <f t="shared" si="1"/>
        <v>0</v>
      </c>
    </row>
    <row r="77" spans="1:5" ht="26.25" customHeight="1">
      <c r="A77" s="17" t="s">
        <v>228</v>
      </c>
      <c r="B77" s="36">
        <v>111800</v>
      </c>
      <c r="C77" s="36">
        <v>111800</v>
      </c>
      <c r="D77" s="40">
        <f>IF(B77=0,"   ",C77/B77*100)</f>
        <v>100</v>
      </c>
      <c r="E77" s="41">
        <f>C77-B77</f>
        <v>0</v>
      </c>
    </row>
    <row r="78" spans="1:5" ht="26.25" customHeight="1">
      <c r="A78" s="17" t="s">
        <v>229</v>
      </c>
      <c r="B78" s="36">
        <v>391100</v>
      </c>
      <c r="C78" s="36">
        <v>297205.2</v>
      </c>
      <c r="D78" s="40">
        <f>IF(B78=0,"   ",C78/B78*100)</f>
        <v>75.99212477627205</v>
      </c>
      <c r="E78" s="41">
        <f>C78-B78</f>
        <v>-93894.79999999999</v>
      </c>
    </row>
    <row r="79" spans="1:5" ht="25.5" customHeight="1">
      <c r="A79" s="17" t="s">
        <v>230</v>
      </c>
      <c r="B79" s="36">
        <v>43500</v>
      </c>
      <c r="C79" s="36">
        <v>33022.8</v>
      </c>
      <c r="D79" s="40">
        <f t="shared" si="0"/>
        <v>75.9144827586207</v>
      </c>
      <c r="E79" s="41">
        <f t="shared" si="1"/>
        <v>-10477.199999999997</v>
      </c>
    </row>
    <row r="80" spans="1:5" ht="18.75" customHeight="1">
      <c r="A80" s="68" t="s">
        <v>166</v>
      </c>
      <c r="B80" s="36">
        <f>SUM(B81+B82)</f>
        <v>0</v>
      </c>
      <c r="C80" s="36">
        <f>SUM(C81+C82)</f>
        <v>0</v>
      </c>
      <c r="D80" s="40" t="str">
        <f>IF(B80=0,"   ",C80/B80*100)</f>
        <v>   </v>
      </c>
      <c r="E80" s="41">
        <f>C80-B80</f>
        <v>0</v>
      </c>
    </row>
    <row r="81" spans="1:5" ht="31.5" customHeight="1">
      <c r="A81" s="17" t="s">
        <v>145</v>
      </c>
      <c r="B81" s="36">
        <v>0</v>
      </c>
      <c r="C81" s="36">
        <v>0</v>
      </c>
      <c r="D81" s="40" t="str">
        <f>IF(B81=0,"   ",C81/B81*100)</f>
        <v>   </v>
      </c>
      <c r="E81" s="41">
        <f>C81-B81</f>
        <v>0</v>
      </c>
    </row>
    <row r="82" spans="1:5" ht="23.25" customHeight="1">
      <c r="A82" s="60" t="s">
        <v>167</v>
      </c>
      <c r="B82" s="36">
        <v>0</v>
      </c>
      <c r="C82" s="36">
        <v>0</v>
      </c>
      <c r="D82" s="40" t="str">
        <f>IF(B82=0,"   ",C82/B82*100)</f>
        <v>   </v>
      </c>
      <c r="E82" s="41">
        <f>C82-B82</f>
        <v>0</v>
      </c>
    </row>
    <row r="83" spans="1:5" ht="18.75" customHeight="1">
      <c r="A83" s="21" t="s">
        <v>13</v>
      </c>
      <c r="B83" s="36">
        <f>SUM(B92+B84+B86+B100)</f>
        <v>1851774</v>
      </c>
      <c r="C83" s="36">
        <f>SUM(C92+C84+C86)</f>
        <v>1697933.43</v>
      </c>
      <c r="D83" s="40">
        <f t="shared" si="0"/>
        <v>91.69225996260883</v>
      </c>
      <c r="E83" s="41">
        <f t="shared" si="1"/>
        <v>-153840.57000000007</v>
      </c>
    </row>
    <row r="84" spans="1:5" ht="12.75" customHeight="1">
      <c r="A84" s="128" t="s">
        <v>14</v>
      </c>
      <c r="B84" s="36">
        <f>B85</f>
        <v>0</v>
      </c>
      <c r="C84" s="36">
        <f>C85</f>
        <v>0</v>
      </c>
      <c r="D84" s="40" t="str">
        <f aca="true" t="shared" si="4" ref="D84:D91">IF(B84=0,"   ",C84/B84*100)</f>
        <v>   </v>
      </c>
      <c r="E84" s="41">
        <f aca="true" t="shared" si="5" ref="E84:E91">C84-B84</f>
        <v>0</v>
      </c>
    </row>
    <row r="85" spans="1:5" ht="12.75" customHeight="1">
      <c r="A85" s="21" t="s">
        <v>161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3.5" customHeight="1">
      <c r="A86" s="128" t="s">
        <v>64</v>
      </c>
      <c r="B86" s="36">
        <f>SUM(B87:B91)</f>
        <v>1268570</v>
      </c>
      <c r="C86" s="36">
        <f>SUM(C87:C91)</f>
        <v>1241990</v>
      </c>
      <c r="D86" s="40">
        <f t="shared" si="4"/>
        <v>97.90472737018848</v>
      </c>
      <c r="E86" s="41">
        <f t="shared" si="5"/>
        <v>-26580</v>
      </c>
    </row>
    <row r="87" spans="1:5" ht="30" customHeight="1">
      <c r="A87" s="21" t="s">
        <v>181</v>
      </c>
      <c r="B87" s="36">
        <v>0</v>
      </c>
      <c r="C87" s="36">
        <v>0</v>
      </c>
      <c r="D87" s="40" t="str">
        <f t="shared" si="4"/>
        <v>   </v>
      </c>
      <c r="E87" s="41">
        <f t="shared" si="5"/>
        <v>0</v>
      </c>
    </row>
    <row r="88" spans="1:5" ht="14.25" customHeight="1">
      <c r="A88" s="38" t="s">
        <v>251</v>
      </c>
      <c r="B88" s="36">
        <v>0</v>
      </c>
      <c r="C88" s="36">
        <v>0</v>
      </c>
      <c r="D88" s="40" t="str">
        <f t="shared" si="4"/>
        <v>   </v>
      </c>
      <c r="E88" s="41">
        <f t="shared" si="5"/>
        <v>0</v>
      </c>
    </row>
    <row r="89" spans="1:5" ht="14.25" customHeight="1">
      <c r="A89" s="21" t="s">
        <v>304</v>
      </c>
      <c r="B89" s="36">
        <v>0</v>
      </c>
      <c r="C89" s="36">
        <v>0</v>
      </c>
      <c r="D89" s="40" t="str">
        <f t="shared" si="4"/>
        <v>   </v>
      </c>
      <c r="E89" s="41">
        <f t="shared" si="5"/>
        <v>0</v>
      </c>
    </row>
    <row r="90" spans="1:5" ht="14.25" customHeight="1">
      <c r="A90" s="21" t="s">
        <v>258</v>
      </c>
      <c r="B90" s="36">
        <v>1192450</v>
      </c>
      <c r="C90" s="36">
        <v>1167470</v>
      </c>
      <c r="D90" s="40">
        <f t="shared" si="4"/>
        <v>97.90515325590171</v>
      </c>
      <c r="E90" s="41">
        <f t="shared" si="5"/>
        <v>-24980</v>
      </c>
    </row>
    <row r="91" spans="1:5" ht="14.25" customHeight="1">
      <c r="A91" s="21" t="s">
        <v>267</v>
      </c>
      <c r="B91" s="36">
        <v>76120</v>
      </c>
      <c r="C91" s="36">
        <v>74520</v>
      </c>
      <c r="D91" s="40">
        <f t="shared" si="4"/>
        <v>97.89805570152392</v>
      </c>
      <c r="E91" s="41">
        <f t="shared" si="5"/>
        <v>-1600</v>
      </c>
    </row>
    <row r="92" spans="1:5" ht="13.5">
      <c r="A92" s="21" t="s">
        <v>58</v>
      </c>
      <c r="B92" s="36">
        <f>B93+B95+B94+B96</f>
        <v>583104</v>
      </c>
      <c r="C92" s="36">
        <f>C93+C95+C94+C100+C96</f>
        <v>455943.43</v>
      </c>
      <c r="D92" s="40">
        <f t="shared" si="0"/>
        <v>78.19247166886181</v>
      </c>
      <c r="E92" s="41">
        <f t="shared" si="1"/>
        <v>-127160.57</v>
      </c>
    </row>
    <row r="93" spans="1:5" ht="13.5">
      <c r="A93" s="21" t="s">
        <v>56</v>
      </c>
      <c r="B93" s="36">
        <v>180000</v>
      </c>
      <c r="C93" s="107">
        <v>52739.43</v>
      </c>
      <c r="D93" s="40">
        <f t="shared" si="0"/>
        <v>29.29968333333333</v>
      </c>
      <c r="E93" s="41">
        <f t="shared" si="1"/>
        <v>-127260.57</v>
      </c>
    </row>
    <row r="94" spans="1:5" ht="27">
      <c r="A94" s="17" t="s">
        <v>259</v>
      </c>
      <c r="B94" s="36">
        <v>0</v>
      </c>
      <c r="C94" s="107">
        <v>0</v>
      </c>
      <c r="D94" s="40" t="str">
        <f t="shared" si="0"/>
        <v>   </v>
      </c>
      <c r="E94" s="41">
        <f t="shared" si="1"/>
        <v>0</v>
      </c>
    </row>
    <row r="95" spans="1:5" ht="13.5">
      <c r="A95" s="21" t="s">
        <v>59</v>
      </c>
      <c r="B95" s="36">
        <v>0</v>
      </c>
      <c r="C95" s="107">
        <v>0</v>
      </c>
      <c r="D95" s="40" t="str">
        <f t="shared" si="0"/>
        <v>   </v>
      </c>
      <c r="E95" s="41">
        <f t="shared" si="1"/>
        <v>0</v>
      </c>
    </row>
    <row r="96" spans="1:5" ht="13.5" customHeight="1">
      <c r="A96" s="17" t="s">
        <v>325</v>
      </c>
      <c r="B96" s="36">
        <f>SUM(B97:B99)</f>
        <v>403104</v>
      </c>
      <c r="C96" s="36">
        <f>SUM(C97:C99)</f>
        <v>403104</v>
      </c>
      <c r="D96" s="40">
        <f>IF(B96=0,"   ",C96/B96*100)</f>
        <v>100</v>
      </c>
      <c r="E96" s="41">
        <f>C96-B96</f>
        <v>0</v>
      </c>
    </row>
    <row r="97" spans="1:5" ht="13.5">
      <c r="A97" s="17" t="s">
        <v>328</v>
      </c>
      <c r="B97" s="36">
        <v>241862.4</v>
      </c>
      <c r="C97" s="107">
        <v>241862.4</v>
      </c>
      <c r="D97" s="40">
        <f t="shared" si="0"/>
        <v>100</v>
      </c>
      <c r="E97" s="41">
        <f t="shared" si="1"/>
        <v>0</v>
      </c>
    </row>
    <row r="98" spans="1:5" ht="13.5">
      <c r="A98" s="17" t="s">
        <v>329</v>
      </c>
      <c r="B98" s="36">
        <v>80620.8</v>
      </c>
      <c r="C98" s="107">
        <v>80620.8</v>
      </c>
      <c r="D98" s="40">
        <f t="shared" si="0"/>
        <v>100</v>
      </c>
      <c r="E98" s="41">
        <f t="shared" si="1"/>
        <v>0</v>
      </c>
    </row>
    <row r="99" spans="1:5" ht="14.25" thickBot="1">
      <c r="A99" s="17" t="s">
        <v>330</v>
      </c>
      <c r="B99" s="36">
        <v>80620.8</v>
      </c>
      <c r="C99" s="107">
        <v>80620.8</v>
      </c>
      <c r="D99" s="40">
        <f t="shared" si="0"/>
        <v>100</v>
      </c>
      <c r="E99" s="41">
        <f t="shared" si="1"/>
        <v>0</v>
      </c>
    </row>
    <row r="100" spans="1:5" ht="14.25" thickBot="1">
      <c r="A100" s="62" t="s">
        <v>290</v>
      </c>
      <c r="B100" s="111">
        <f>SUM(B101)</f>
        <v>100</v>
      </c>
      <c r="C100" s="111">
        <f>SUM(C101)</f>
        <v>100</v>
      </c>
      <c r="D100" s="40">
        <f t="shared" si="0"/>
        <v>100</v>
      </c>
      <c r="E100" s="41">
        <f t="shared" si="1"/>
        <v>0</v>
      </c>
    </row>
    <row r="101" spans="1:5" ht="13.5">
      <c r="A101" s="62" t="s">
        <v>247</v>
      </c>
      <c r="B101" s="36">
        <v>100</v>
      </c>
      <c r="C101" s="99">
        <v>100</v>
      </c>
      <c r="D101" s="40">
        <f>IF(B101=0,"   ",C101/B101*100)</f>
        <v>100</v>
      </c>
      <c r="E101" s="41">
        <f>C101-B101</f>
        <v>0</v>
      </c>
    </row>
    <row r="102" spans="1:5" ht="14.25" customHeight="1">
      <c r="A102" s="21" t="s">
        <v>17</v>
      </c>
      <c r="B102" s="36">
        <v>0</v>
      </c>
      <c r="C102" s="36">
        <v>0</v>
      </c>
      <c r="D102" s="40" t="str">
        <f t="shared" si="0"/>
        <v>   </v>
      </c>
      <c r="E102" s="41">
        <f t="shared" si="1"/>
        <v>0</v>
      </c>
    </row>
    <row r="103" spans="1:5" ht="13.5" customHeight="1">
      <c r="A103" s="21" t="s">
        <v>41</v>
      </c>
      <c r="B103" s="143">
        <f>B104</f>
        <v>1241268.5</v>
      </c>
      <c r="C103" s="143">
        <f>C104</f>
        <v>900517.33</v>
      </c>
      <c r="D103" s="40">
        <f t="shared" si="0"/>
        <v>72.54814973553265</v>
      </c>
      <c r="E103" s="41">
        <f t="shared" si="1"/>
        <v>-340751.17000000004</v>
      </c>
    </row>
    <row r="104" spans="1:5" ht="13.5">
      <c r="A104" s="21" t="s">
        <v>42</v>
      </c>
      <c r="B104" s="36">
        <f>SUM(B105:B106)</f>
        <v>1241268.5</v>
      </c>
      <c r="C104" s="36">
        <f>SUM(C105:C106)</f>
        <v>900517.33</v>
      </c>
      <c r="D104" s="40">
        <f t="shared" si="0"/>
        <v>72.54814973553265</v>
      </c>
      <c r="E104" s="41">
        <f t="shared" si="1"/>
        <v>-340751.17000000004</v>
      </c>
    </row>
    <row r="105" spans="1:5" ht="13.5">
      <c r="A105" s="21" t="s">
        <v>133</v>
      </c>
      <c r="B105" s="36">
        <v>1207000</v>
      </c>
      <c r="C105" s="107">
        <v>870517.33</v>
      </c>
      <c r="D105" s="40">
        <f t="shared" si="0"/>
        <v>72.12239685169843</v>
      </c>
      <c r="E105" s="41">
        <f t="shared" si="1"/>
        <v>-336482.67000000004</v>
      </c>
    </row>
    <row r="106" spans="1:5" ht="13.5">
      <c r="A106" s="68" t="s">
        <v>189</v>
      </c>
      <c r="B106" s="36">
        <v>34268.5</v>
      </c>
      <c r="C106" s="107">
        <v>30000</v>
      </c>
      <c r="D106" s="40">
        <f t="shared" si="0"/>
        <v>87.54395436041847</v>
      </c>
      <c r="E106" s="41">
        <f t="shared" si="1"/>
        <v>-4268.5</v>
      </c>
    </row>
    <row r="107" spans="1:5" ht="18.75" customHeight="1">
      <c r="A107" s="21" t="s">
        <v>118</v>
      </c>
      <c r="B107" s="36">
        <f>SUM(B108,)</f>
        <v>0</v>
      </c>
      <c r="C107" s="36">
        <f>SUM(C108,)</f>
        <v>0</v>
      </c>
      <c r="D107" s="40" t="str">
        <f t="shared" si="0"/>
        <v>   </v>
      </c>
      <c r="E107" s="41">
        <f t="shared" si="1"/>
        <v>0</v>
      </c>
    </row>
    <row r="108" spans="1:5" ht="13.5">
      <c r="A108" s="21" t="s">
        <v>43</v>
      </c>
      <c r="B108" s="36">
        <v>0</v>
      </c>
      <c r="C108" s="99">
        <v>0</v>
      </c>
      <c r="D108" s="40" t="str">
        <f t="shared" si="0"/>
        <v>   </v>
      </c>
      <c r="E108" s="41">
        <f t="shared" si="1"/>
        <v>0</v>
      </c>
    </row>
    <row r="109" spans="1:5" ht="22.5" customHeight="1">
      <c r="A109" s="44" t="s">
        <v>15</v>
      </c>
      <c r="B109" s="116">
        <f>B52+B60+B62+B64+B83+B102+B103+B107</f>
        <v>7449268.5</v>
      </c>
      <c r="C109" s="116">
        <f>C52+C60+C62+C64+C83+C102+C103+C107</f>
        <v>5895194.72</v>
      </c>
      <c r="D109" s="46">
        <f>IF(B109=0,"   ",C109/B109*100)</f>
        <v>79.13790085563434</v>
      </c>
      <c r="E109" s="47">
        <f t="shared" si="1"/>
        <v>-1554073.7800000003</v>
      </c>
    </row>
    <row r="110" spans="1:5" s="13" customFormat="1" ht="33" customHeight="1">
      <c r="A110" s="71" t="s">
        <v>276</v>
      </c>
      <c r="B110" s="71"/>
      <c r="C110" s="168"/>
      <c r="D110" s="168"/>
      <c r="E110" s="168"/>
    </row>
    <row r="111" spans="1:5" s="13" customFormat="1" ht="12" customHeight="1">
      <c r="A111" s="71" t="s">
        <v>144</v>
      </c>
      <c r="B111" s="71"/>
      <c r="C111" s="72" t="s">
        <v>277</v>
      </c>
      <c r="D111" s="73"/>
      <c r="E111" s="74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3.5">
      <c r="A115" s="71"/>
      <c r="B115" s="71"/>
      <c r="C115" s="117"/>
      <c r="D115" s="71"/>
      <c r="E115" s="118"/>
    </row>
    <row r="116" spans="1:5" ht="13.5">
      <c r="A116" s="22"/>
      <c r="B116" s="160"/>
      <c r="C116" s="160"/>
      <c r="D116" s="160"/>
      <c r="E116" s="160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</sheetData>
  <sheetProtection/>
  <mergeCells count="2">
    <mergeCell ref="A1:E1"/>
    <mergeCell ref="C110:E110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zoomScalePageLayoutView="0" workbookViewId="0" topLeftCell="A43">
      <selection activeCell="C39" sqref="C39"/>
    </sheetView>
  </sheetViews>
  <sheetFormatPr defaultColWidth="9.00390625" defaultRowHeight="12.75"/>
  <cols>
    <col min="1" max="1" width="114.1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3.5">
      <c r="A1" s="169" t="s">
        <v>371</v>
      </c>
      <c r="B1" s="169"/>
      <c r="C1" s="169"/>
      <c r="D1" s="169"/>
      <c r="E1" s="169"/>
    </row>
    <row r="2" spans="1:5" ht="12.75" customHeight="1" thickBot="1">
      <c r="A2" s="22"/>
      <c r="B2" s="22"/>
      <c r="C2" s="148"/>
      <c r="D2" s="148"/>
      <c r="E2" s="148"/>
    </row>
    <row r="3" spans="1:5" ht="5.25" customHeight="1" hidden="1" thickBot="1">
      <c r="A3" s="22"/>
      <c r="B3" s="22"/>
      <c r="C3" s="23"/>
      <c r="D3" s="22"/>
      <c r="E3" s="22" t="s">
        <v>0</v>
      </c>
    </row>
    <row r="4" spans="1:5" ht="72.75" customHeight="1">
      <c r="A4" s="24" t="s">
        <v>1</v>
      </c>
      <c r="B4" s="25" t="s">
        <v>319</v>
      </c>
      <c r="C4" s="26" t="s">
        <v>370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6.5" customHeight="1">
      <c r="A7" s="38" t="s">
        <v>45</v>
      </c>
      <c r="B7" s="143">
        <f>SUM(B8)</f>
        <v>406500</v>
      </c>
      <c r="C7" s="143">
        <f>SUM(C8)</f>
        <v>310568.03</v>
      </c>
      <c r="D7" s="40">
        <f aca="true" t="shared" si="0" ref="D7:D115">IF(B7=0,"   ",C7/B7*100)</f>
        <v>76.40049938499386</v>
      </c>
      <c r="E7" s="41">
        <f aca="true" t="shared" si="1" ref="E7:E116">C7-B7</f>
        <v>-95931.96999999997</v>
      </c>
    </row>
    <row r="8" spans="1:5" ht="13.5">
      <c r="A8" s="21" t="s">
        <v>44</v>
      </c>
      <c r="B8" s="36">
        <v>406500</v>
      </c>
      <c r="C8" s="86">
        <v>310568.03</v>
      </c>
      <c r="D8" s="40">
        <f t="shared" si="0"/>
        <v>76.40049938499386</v>
      </c>
      <c r="E8" s="41">
        <f t="shared" si="1"/>
        <v>-95931.96999999997</v>
      </c>
    </row>
    <row r="9" spans="1:5" ht="18" customHeight="1">
      <c r="A9" s="38" t="s">
        <v>128</v>
      </c>
      <c r="B9" s="143">
        <f>SUM(B10)</f>
        <v>999400</v>
      </c>
      <c r="C9" s="143">
        <f>SUM(C10)</f>
        <v>986965.9</v>
      </c>
      <c r="D9" s="40">
        <f t="shared" si="0"/>
        <v>98.75584350610367</v>
      </c>
      <c r="E9" s="41">
        <f t="shared" si="1"/>
        <v>-12434.099999999977</v>
      </c>
    </row>
    <row r="10" spans="1:5" ht="13.5">
      <c r="A10" s="21" t="s">
        <v>129</v>
      </c>
      <c r="B10" s="36">
        <v>999400</v>
      </c>
      <c r="C10" s="86">
        <v>986965.9</v>
      </c>
      <c r="D10" s="40">
        <f t="shared" si="0"/>
        <v>98.75584350610367</v>
      </c>
      <c r="E10" s="41">
        <f t="shared" si="1"/>
        <v>-12434.099999999977</v>
      </c>
    </row>
    <row r="11" spans="1:5" ht="16.5" customHeight="1">
      <c r="A11" s="21" t="s">
        <v>7</v>
      </c>
      <c r="B11" s="36">
        <f>SUM(B12:B12)</f>
        <v>46300</v>
      </c>
      <c r="C11" s="36">
        <f>C12</f>
        <v>86344.92</v>
      </c>
      <c r="D11" s="40">
        <f t="shared" si="0"/>
        <v>186.49010799136067</v>
      </c>
      <c r="E11" s="41">
        <f t="shared" si="1"/>
        <v>40044.92</v>
      </c>
    </row>
    <row r="12" spans="1:5" ht="13.5">
      <c r="A12" s="21" t="s">
        <v>26</v>
      </c>
      <c r="B12" s="36">
        <v>46300</v>
      </c>
      <c r="C12" s="86">
        <v>86344.92</v>
      </c>
      <c r="D12" s="40">
        <f t="shared" si="0"/>
        <v>186.49010799136067</v>
      </c>
      <c r="E12" s="41">
        <f t="shared" si="1"/>
        <v>40044.92</v>
      </c>
    </row>
    <row r="13" spans="1:5" ht="18" customHeight="1">
      <c r="A13" s="21" t="s">
        <v>9</v>
      </c>
      <c r="B13" s="36">
        <f>SUM(B14:B15)</f>
        <v>1098000</v>
      </c>
      <c r="C13" s="36">
        <f>SUM(C14:C15)</f>
        <v>559596.6799999999</v>
      </c>
      <c r="D13" s="40">
        <f t="shared" si="0"/>
        <v>50.965089253187614</v>
      </c>
      <c r="E13" s="41">
        <f t="shared" si="1"/>
        <v>-538403.3200000001</v>
      </c>
    </row>
    <row r="14" spans="1:5" ht="13.5">
      <c r="A14" s="21" t="s">
        <v>27</v>
      </c>
      <c r="B14" s="36">
        <v>512000</v>
      </c>
      <c r="C14" s="86">
        <v>239760.47</v>
      </c>
      <c r="D14" s="40">
        <f t="shared" si="0"/>
        <v>46.828216796875</v>
      </c>
      <c r="E14" s="41">
        <f t="shared" si="1"/>
        <v>-272239.53</v>
      </c>
    </row>
    <row r="15" spans="1:5" ht="13.5">
      <c r="A15" s="21" t="s">
        <v>150</v>
      </c>
      <c r="B15" s="36">
        <f>SUM(B16:B17)</f>
        <v>586000</v>
      </c>
      <c r="C15" s="36">
        <f>SUM(C16:C17)</f>
        <v>319836.20999999996</v>
      </c>
      <c r="D15" s="40">
        <f t="shared" si="0"/>
        <v>54.57955802047781</v>
      </c>
      <c r="E15" s="41">
        <f t="shared" si="1"/>
        <v>-266163.79000000004</v>
      </c>
    </row>
    <row r="16" spans="1:5" ht="13.5">
      <c r="A16" s="21" t="s">
        <v>151</v>
      </c>
      <c r="B16" s="36">
        <v>336000</v>
      </c>
      <c r="C16" s="86">
        <v>187876.05</v>
      </c>
      <c r="D16" s="40">
        <f t="shared" si="0"/>
        <v>55.91549107142857</v>
      </c>
      <c r="E16" s="41">
        <f t="shared" si="1"/>
        <v>-148123.95</v>
      </c>
    </row>
    <row r="17" spans="1:5" ht="13.5">
      <c r="A17" s="21" t="s">
        <v>152</v>
      </c>
      <c r="B17" s="36">
        <v>250000</v>
      </c>
      <c r="C17" s="86">
        <v>131960.16</v>
      </c>
      <c r="D17" s="40">
        <f t="shared" si="0"/>
        <v>52.784064</v>
      </c>
      <c r="E17" s="41">
        <f t="shared" si="1"/>
        <v>-118039.84</v>
      </c>
    </row>
    <row r="18" spans="1:5" ht="13.5">
      <c r="A18" s="21" t="s">
        <v>182</v>
      </c>
      <c r="B18" s="36">
        <v>0</v>
      </c>
      <c r="C18" s="86">
        <v>1100</v>
      </c>
      <c r="D18" s="40" t="str">
        <f t="shared" si="0"/>
        <v>   </v>
      </c>
      <c r="E18" s="41">
        <f t="shared" si="1"/>
        <v>1100</v>
      </c>
    </row>
    <row r="19" spans="1:5" ht="18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36" customHeight="1">
      <c r="A20" s="21" t="s">
        <v>28</v>
      </c>
      <c r="B20" s="36">
        <f>SUM(B21:B24)</f>
        <v>144500</v>
      </c>
      <c r="C20" s="36">
        <f>SUM(C21:C24)</f>
        <v>145758.69999999998</v>
      </c>
      <c r="D20" s="40">
        <f t="shared" si="0"/>
        <v>100.87107266435984</v>
      </c>
      <c r="E20" s="41">
        <f t="shared" si="1"/>
        <v>1258.6999999999825</v>
      </c>
    </row>
    <row r="21" spans="1:5" ht="13.5">
      <c r="A21" s="21" t="s">
        <v>29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3.5">
      <c r="A22" s="21" t="s">
        <v>142</v>
      </c>
      <c r="B22" s="36">
        <v>67500</v>
      </c>
      <c r="C22" s="107">
        <v>86026.84</v>
      </c>
      <c r="D22" s="40">
        <f t="shared" si="0"/>
        <v>127.44717037037037</v>
      </c>
      <c r="E22" s="41">
        <f t="shared" si="1"/>
        <v>18526.839999999997</v>
      </c>
    </row>
    <row r="23" spans="1:5" ht="15.75" customHeight="1">
      <c r="A23" s="21" t="s">
        <v>30</v>
      </c>
      <c r="B23" s="36">
        <v>57000</v>
      </c>
      <c r="C23" s="36">
        <v>23743.26</v>
      </c>
      <c r="D23" s="40">
        <f t="shared" si="0"/>
        <v>41.65484210526316</v>
      </c>
      <c r="E23" s="41">
        <f t="shared" si="1"/>
        <v>-33256.740000000005</v>
      </c>
    </row>
    <row r="24" spans="1:5" ht="42" customHeight="1">
      <c r="A24" s="21" t="s">
        <v>204</v>
      </c>
      <c r="B24" s="36">
        <v>20000</v>
      </c>
      <c r="C24" s="86">
        <v>35988.6</v>
      </c>
      <c r="D24" s="40">
        <f t="shared" si="0"/>
        <v>179.94299999999998</v>
      </c>
      <c r="E24" s="41">
        <f t="shared" si="1"/>
        <v>15988.599999999999</v>
      </c>
    </row>
    <row r="25" spans="1:5" ht="15.75" customHeight="1">
      <c r="A25" s="21" t="s">
        <v>87</v>
      </c>
      <c r="B25" s="36">
        <v>68000</v>
      </c>
      <c r="C25" s="86">
        <v>3318.54</v>
      </c>
      <c r="D25" s="40">
        <f t="shared" si="0"/>
        <v>4.880205882352941</v>
      </c>
      <c r="E25" s="41">
        <f t="shared" si="1"/>
        <v>-64681.46</v>
      </c>
    </row>
    <row r="26" spans="1:5" ht="15" customHeight="1">
      <c r="A26" s="21" t="s">
        <v>78</v>
      </c>
      <c r="B26" s="36">
        <f>SUM(B27:B28)</f>
        <v>797160</v>
      </c>
      <c r="C26" s="36">
        <f>SUM(C27:C28)</f>
        <v>797160</v>
      </c>
      <c r="D26" s="40">
        <f t="shared" si="0"/>
        <v>100</v>
      </c>
      <c r="E26" s="41">
        <f t="shared" si="1"/>
        <v>0</v>
      </c>
    </row>
    <row r="27" spans="1:5" ht="13.5" customHeight="1">
      <c r="A27" s="21" t="s">
        <v>126</v>
      </c>
      <c r="B27" s="36">
        <v>0</v>
      </c>
      <c r="C27" s="86">
        <v>0</v>
      </c>
      <c r="D27" s="40" t="str">
        <f t="shared" si="0"/>
        <v>   </v>
      </c>
      <c r="E27" s="41">
        <f t="shared" si="1"/>
        <v>0</v>
      </c>
    </row>
    <row r="28" spans="1:5" ht="26.25" customHeight="1">
      <c r="A28" s="21" t="s">
        <v>356</v>
      </c>
      <c r="B28" s="36">
        <v>797160</v>
      </c>
      <c r="C28" s="86">
        <v>797160</v>
      </c>
      <c r="D28" s="40">
        <f t="shared" si="0"/>
        <v>100</v>
      </c>
      <c r="E28" s="41">
        <f t="shared" si="1"/>
        <v>0</v>
      </c>
    </row>
    <row r="29" spans="1:5" ht="16.5" customHeight="1">
      <c r="A29" s="21" t="s">
        <v>31</v>
      </c>
      <c r="B29" s="36">
        <v>0</v>
      </c>
      <c r="C29" s="36">
        <v>0</v>
      </c>
      <c r="D29" s="40"/>
      <c r="E29" s="41">
        <f t="shared" si="1"/>
        <v>0</v>
      </c>
    </row>
    <row r="30" spans="1:5" ht="18.75" customHeight="1">
      <c r="A30" s="21" t="s">
        <v>32</v>
      </c>
      <c r="B30" s="36">
        <f>B31+B33+B32</f>
        <v>0</v>
      </c>
      <c r="C30" s="36">
        <f>C31+C33+C32</f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120</v>
      </c>
      <c r="B31" s="36">
        <v>0</v>
      </c>
      <c r="C31" s="107">
        <v>0</v>
      </c>
      <c r="D31" s="40" t="str">
        <f t="shared" si="0"/>
        <v>   </v>
      </c>
      <c r="E31" s="41">
        <f t="shared" si="1"/>
        <v>0</v>
      </c>
    </row>
    <row r="32" spans="1:5" ht="13.5" customHeight="1">
      <c r="A32" s="21" t="s">
        <v>301</v>
      </c>
      <c r="B32" s="36">
        <v>0</v>
      </c>
      <c r="C32" s="107">
        <v>0</v>
      </c>
      <c r="D32" s="40"/>
      <c r="E32" s="41"/>
    </row>
    <row r="33" spans="1:5" ht="13.5" customHeight="1">
      <c r="A33" s="21" t="s">
        <v>121</v>
      </c>
      <c r="B33" s="36">
        <v>0</v>
      </c>
      <c r="C33" s="107">
        <v>0</v>
      </c>
      <c r="D33" s="40"/>
      <c r="E33" s="41">
        <f t="shared" si="1"/>
        <v>0</v>
      </c>
    </row>
    <row r="34" spans="1:5" ht="25.5" customHeight="1">
      <c r="A34" s="44" t="s">
        <v>10</v>
      </c>
      <c r="B34" s="156">
        <f>SUM(B7,B9,B11,B13,B19,B20,B25,B26,B29,B30,B18)</f>
        <v>3559860</v>
      </c>
      <c r="C34" s="156">
        <f>SUM(C7,C9,C11,C13,C19,C20,C25,C26,C29,C30,C18)</f>
        <v>2890812.77</v>
      </c>
      <c r="D34" s="46">
        <f t="shared" si="0"/>
        <v>81.20579938536909</v>
      </c>
      <c r="E34" s="47">
        <f t="shared" si="1"/>
        <v>-669047.23</v>
      </c>
    </row>
    <row r="35" spans="1:5" ht="18.75" customHeight="1">
      <c r="A35" s="62" t="s">
        <v>131</v>
      </c>
      <c r="B35" s="145">
        <f>SUM(B36:B39,B43:B44,B49,B50,B51,B42)</f>
        <v>6441200</v>
      </c>
      <c r="C35" s="145">
        <f>SUM(C36:C39,C44:C44,C49,C50,C51,C42)</f>
        <v>5606330</v>
      </c>
      <c r="D35" s="46">
        <f t="shared" si="0"/>
        <v>87.03859529280258</v>
      </c>
      <c r="E35" s="47">
        <f t="shared" si="1"/>
        <v>-834870</v>
      </c>
    </row>
    <row r="36" spans="1:5" ht="16.5" customHeight="1">
      <c r="A36" s="38" t="s">
        <v>34</v>
      </c>
      <c r="B36" s="143">
        <v>4271600</v>
      </c>
      <c r="C36" s="86">
        <v>3561460</v>
      </c>
      <c r="D36" s="40">
        <f t="shared" si="0"/>
        <v>83.3753160408278</v>
      </c>
      <c r="E36" s="41">
        <f t="shared" si="1"/>
        <v>-710140</v>
      </c>
    </row>
    <row r="37" spans="1:5" ht="16.5" customHeight="1">
      <c r="A37" s="38" t="s">
        <v>207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24.75" customHeight="1">
      <c r="A38" s="52" t="s">
        <v>51</v>
      </c>
      <c r="B38" s="85">
        <v>249600</v>
      </c>
      <c r="C38" s="86">
        <v>187800</v>
      </c>
      <c r="D38" s="54">
        <f t="shared" si="0"/>
        <v>75.24038461538461</v>
      </c>
      <c r="E38" s="55">
        <f t="shared" si="1"/>
        <v>-61800</v>
      </c>
    </row>
    <row r="39" spans="1:5" ht="24.75" customHeight="1">
      <c r="A39" s="52" t="s">
        <v>138</v>
      </c>
      <c r="B39" s="85">
        <f>SUM(B40:B41)</f>
        <v>300</v>
      </c>
      <c r="C39" s="85">
        <f>SUM(C40:C41)</f>
        <v>300</v>
      </c>
      <c r="D39" s="54">
        <f t="shared" si="0"/>
        <v>100</v>
      </c>
      <c r="E39" s="55">
        <f t="shared" si="1"/>
        <v>0</v>
      </c>
    </row>
    <row r="40" spans="1:5" ht="12.75" customHeight="1">
      <c r="A40" s="52" t="s">
        <v>153</v>
      </c>
      <c r="B40" s="85">
        <v>300</v>
      </c>
      <c r="C40" s="85">
        <v>300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154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41.25" customHeight="1">
      <c r="A42" s="21" t="s">
        <v>214</v>
      </c>
      <c r="B42" s="85">
        <v>1324900</v>
      </c>
      <c r="C42" s="85">
        <v>1324900</v>
      </c>
      <c r="D42" s="54">
        <f>IF(B42=0,"   ",C42/B42*100)</f>
        <v>100</v>
      </c>
      <c r="E42" s="55">
        <f>C42-B42</f>
        <v>0</v>
      </c>
    </row>
    <row r="43" spans="1:5" ht="30" customHeight="1">
      <c r="A43" s="21" t="s">
        <v>239</v>
      </c>
      <c r="B43" s="85">
        <v>0</v>
      </c>
      <c r="C43" s="85">
        <v>0</v>
      </c>
      <c r="D43" s="54" t="str">
        <f>IF(B43=0,"   ",C43/B43*100)</f>
        <v>   </v>
      </c>
      <c r="E43" s="55">
        <f>C43-B43</f>
        <v>0</v>
      </c>
    </row>
    <row r="44" spans="1:5" ht="18" customHeight="1">
      <c r="A44" s="21" t="s">
        <v>55</v>
      </c>
      <c r="B44" s="36">
        <f>SUM(B45:B48)</f>
        <v>544700</v>
      </c>
      <c r="C44" s="36">
        <f>SUM(C45:C48)</f>
        <v>481770</v>
      </c>
      <c r="D44" s="40">
        <f t="shared" si="0"/>
        <v>88.44685147787773</v>
      </c>
      <c r="E44" s="41">
        <f t="shared" si="1"/>
        <v>-62930</v>
      </c>
    </row>
    <row r="45" spans="1:5" ht="18" customHeight="1">
      <c r="A45" s="21" t="s">
        <v>337</v>
      </c>
      <c r="B45" s="36">
        <v>0</v>
      </c>
      <c r="C45" s="36">
        <v>0</v>
      </c>
      <c r="D45" s="40" t="str">
        <f t="shared" si="0"/>
        <v>   </v>
      </c>
      <c r="E45" s="41">
        <f t="shared" si="1"/>
        <v>0</v>
      </c>
    </row>
    <row r="46" spans="1:5" ht="16.5" customHeight="1">
      <c r="A46" s="21" t="s">
        <v>278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8" customHeight="1">
      <c r="A47" s="21" t="s">
        <v>255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15.75" customHeight="1">
      <c r="A48" s="21" t="s">
        <v>103</v>
      </c>
      <c r="B48" s="36">
        <v>544700</v>
      </c>
      <c r="C48" s="36">
        <v>481770</v>
      </c>
      <c r="D48" s="36">
        <f t="shared" si="0"/>
        <v>88.44685147787773</v>
      </c>
      <c r="E48" s="41">
        <f t="shared" si="1"/>
        <v>-62930</v>
      </c>
    </row>
    <row r="49" spans="1:5" ht="27.75" customHeight="1">
      <c r="A49" s="21" t="s">
        <v>260</v>
      </c>
      <c r="B49" s="36">
        <v>0</v>
      </c>
      <c r="C49" s="36">
        <v>0</v>
      </c>
      <c r="D49" s="40" t="str">
        <f t="shared" si="0"/>
        <v>   </v>
      </c>
      <c r="E49" s="41">
        <f t="shared" si="1"/>
        <v>0</v>
      </c>
    </row>
    <row r="50" spans="1:5" ht="30" customHeight="1">
      <c r="A50" s="159" t="s">
        <v>310</v>
      </c>
      <c r="B50" s="36">
        <v>50100</v>
      </c>
      <c r="C50" s="36">
        <v>50100</v>
      </c>
      <c r="D50" s="40">
        <f t="shared" si="0"/>
        <v>100</v>
      </c>
      <c r="E50" s="41">
        <f t="shared" si="1"/>
        <v>0</v>
      </c>
    </row>
    <row r="51" spans="1:5" ht="15" customHeight="1">
      <c r="A51" s="21" t="s">
        <v>184</v>
      </c>
      <c r="B51" s="36">
        <v>0</v>
      </c>
      <c r="C51" s="36">
        <v>0</v>
      </c>
      <c r="D51" s="40" t="str">
        <f t="shared" si="0"/>
        <v>   </v>
      </c>
      <c r="E51" s="41">
        <f t="shared" si="1"/>
        <v>0</v>
      </c>
    </row>
    <row r="52" spans="1:5" ht="33" customHeight="1">
      <c r="A52" s="44" t="s">
        <v>11</v>
      </c>
      <c r="B52" s="116">
        <f>SUM(B34,B35,)</f>
        <v>10001060</v>
      </c>
      <c r="C52" s="116">
        <f>SUM(C34,C35,)</f>
        <v>8497142.77</v>
      </c>
      <c r="D52" s="46">
        <f t="shared" si="0"/>
        <v>84.96242168330157</v>
      </c>
      <c r="E52" s="47">
        <f t="shared" si="1"/>
        <v>-1503917.2300000004</v>
      </c>
    </row>
    <row r="53" spans="1:5" ht="12.75" customHeight="1">
      <c r="A53" s="33" t="s">
        <v>12</v>
      </c>
      <c r="B53" s="154"/>
      <c r="C53" s="155"/>
      <c r="D53" s="40" t="str">
        <f t="shared" si="0"/>
        <v>   </v>
      </c>
      <c r="E53" s="41"/>
    </row>
    <row r="54" spans="1:5" ht="24" customHeight="1">
      <c r="A54" s="21" t="s">
        <v>35</v>
      </c>
      <c r="B54" s="36">
        <f>SUM(B55,B58,B59)</f>
        <v>1868898.1</v>
      </c>
      <c r="C54" s="36">
        <f>SUM(C55,C58,C59)</f>
        <v>1340940.98</v>
      </c>
      <c r="D54" s="40">
        <f t="shared" si="0"/>
        <v>71.75035278809474</v>
      </c>
      <c r="E54" s="41">
        <f t="shared" si="1"/>
        <v>-527957.1200000001</v>
      </c>
    </row>
    <row r="55" spans="1:5" ht="12.75" customHeight="1">
      <c r="A55" s="21" t="s">
        <v>36</v>
      </c>
      <c r="B55" s="36">
        <v>1764690</v>
      </c>
      <c r="C55" s="36">
        <v>1331076.38</v>
      </c>
      <c r="D55" s="40">
        <f t="shared" si="0"/>
        <v>75.42834038839682</v>
      </c>
      <c r="E55" s="41">
        <f t="shared" si="1"/>
        <v>-433613.6200000001</v>
      </c>
    </row>
    <row r="56" spans="1:5" ht="13.5">
      <c r="A56" s="21" t="s">
        <v>115</v>
      </c>
      <c r="B56" s="36">
        <v>1042386</v>
      </c>
      <c r="C56" s="99">
        <v>811619.73</v>
      </c>
      <c r="D56" s="40">
        <f t="shared" si="0"/>
        <v>77.86172588657176</v>
      </c>
      <c r="E56" s="41">
        <f t="shared" si="1"/>
        <v>-230766.27000000002</v>
      </c>
    </row>
    <row r="57" spans="1:5" ht="13.5">
      <c r="A57" s="21" t="s">
        <v>312</v>
      </c>
      <c r="B57" s="36">
        <v>50100</v>
      </c>
      <c r="C57" s="99">
        <v>50100</v>
      </c>
      <c r="D57" s="40">
        <f>IF(B57=0,"   ",C57/B57*100)</f>
        <v>100</v>
      </c>
      <c r="E57" s="41">
        <f>C57-B57</f>
        <v>0</v>
      </c>
    </row>
    <row r="58" spans="1:5" ht="13.5">
      <c r="A58" s="21" t="s">
        <v>90</v>
      </c>
      <c r="B58" s="36">
        <v>500</v>
      </c>
      <c r="C58" s="107">
        <v>0</v>
      </c>
      <c r="D58" s="40">
        <f t="shared" si="0"/>
        <v>0</v>
      </c>
      <c r="E58" s="41">
        <f t="shared" si="1"/>
        <v>-500</v>
      </c>
    </row>
    <row r="59" spans="1:5" ht="13.5">
      <c r="A59" s="21" t="s">
        <v>52</v>
      </c>
      <c r="B59" s="107">
        <f>SUM(B60,B61)</f>
        <v>103708.1</v>
      </c>
      <c r="C59" s="107">
        <f>SUM(C60,C61)</f>
        <v>9864.6</v>
      </c>
      <c r="D59" s="40">
        <f t="shared" si="0"/>
        <v>9.511889620964997</v>
      </c>
      <c r="E59" s="41">
        <f t="shared" si="1"/>
        <v>-93843.5</v>
      </c>
    </row>
    <row r="60" spans="1:5" ht="25.5" customHeight="1">
      <c r="A60" s="17" t="s">
        <v>220</v>
      </c>
      <c r="B60" s="36">
        <v>10000</v>
      </c>
      <c r="C60" s="107">
        <v>7000</v>
      </c>
      <c r="D60" s="40">
        <f t="shared" si="0"/>
        <v>70</v>
      </c>
      <c r="E60" s="41">
        <f t="shared" si="1"/>
        <v>-3000</v>
      </c>
    </row>
    <row r="61" spans="1:5" ht="25.5" customHeight="1">
      <c r="A61" s="17" t="s">
        <v>201</v>
      </c>
      <c r="B61" s="36">
        <v>93708.1</v>
      </c>
      <c r="C61" s="107">
        <v>2864.6</v>
      </c>
      <c r="D61" s="40">
        <f t="shared" si="0"/>
        <v>3.056939581530305</v>
      </c>
      <c r="E61" s="41">
        <f t="shared" si="1"/>
        <v>-90843.5</v>
      </c>
    </row>
    <row r="62" spans="1:5" ht="15" customHeight="1">
      <c r="A62" s="21" t="s">
        <v>49</v>
      </c>
      <c r="B62" s="107">
        <f>SUM(B63)</f>
        <v>249600</v>
      </c>
      <c r="C62" s="107">
        <f>SUM(C63)</f>
        <v>154717.17</v>
      </c>
      <c r="D62" s="40">
        <f t="shared" si="0"/>
        <v>61.98604567307693</v>
      </c>
      <c r="E62" s="41">
        <f t="shared" si="1"/>
        <v>-94882.82999999999</v>
      </c>
    </row>
    <row r="63" spans="1:5" ht="12" customHeight="1">
      <c r="A63" s="21" t="s">
        <v>101</v>
      </c>
      <c r="B63" s="36">
        <v>249600</v>
      </c>
      <c r="C63" s="107">
        <v>154717.17</v>
      </c>
      <c r="D63" s="40">
        <f t="shared" si="0"/>
        <v>61.98604567307693</v>
      </c>
      <c r="E63" s="41">
        <f t="shared" si="1"/>
        <v>-94882.82999999999</v>
      </c>
    </row>
    <row r="64" spans="1:5" ht="16.5" customHeight="1">
      <c r="A64" s="21" t="s">
        <v>37</v>
      </c>
      <c r="B64" s="36">
        <f>SUM(B65)</f>
        <v>30000</v>
      </c>
      <c r="C64" s="107">
        <f>SUM(C65)</f>
        <v>1900</v>
      </c>
      <c r="D64" s="40">
        <f t="shared" si="0"/>
        <v>6.333333333333334</v>
      </c>
      <c r="E64" s="41">
        <f t="shared" si="1"/>
        <v>-28100</v>
      </c>
    </row>
    <row r="65" spans="1:5" ht="18" customHeight="1">
      <c r="A65" s="60" t="s">
        <v>303</v>
      </c>
      <c r="B65" s="36">
        <v>30000</v>
      </c>
      <c r="C65" s="107">
        <v>1900</v>
      </c>
      <c r="D65" s="40">
        <f t="shared" si="0"/>
        <v>6.333333333333334</v>
      </c>
      <c r="E65" s="41">
        <f t="shared" si="1"/>
        <v>-28100</v>
      </c>
    </row>
    <row r="66" spans="1:5" ht="18" customHeight="1">
      <c r="A66" s="21" t="s">
        <v>305</v>
      </c>
      <c r="B66" s="36">
        <v>5000</v>
      </c>
      <c r="C66" s="107">
        <v>1900</v>
      </c>
      <c r="D66" s="40">
        <f t="shared" si="0"/>
        <v>38</v>
      </c>
      <c r="E66" s="41">
        <f t="shared" si="1"/>
        <v>-3100</v>
      </c>
    </row>
    <row r="67" spans="1:5" ht="18" customHeight="1">
      <c r="A67" s="21" t="s">
        <v>351</v>
      </c>
      <c r="B67" s="36">
        <v>25000</v>
      </c>
      <c r="C67" s="107">
        <v>0</v>
      </c>
      <c r="D67" s="40">
        <f t="shared" si="0"/>
        <v>0</v>
      </c>
      <c r="E67" s="41">
        <f t="shared" si="1"/>
        <v>-25000</v>
      </c>
    </row>
    <row r="68" spans="1:5" ht="21.75" customHeight="1">
      <c r="A68" s="21" t="s">
        <v>38</v>
      </c>
      <c r="B68" s="107">
        <f>B74+B69+B82</f>
        <v>2965500</v>
      </c>
      <c r="C68" s="107">
        <f>C74+C69+C82</f>
        <v>2057073</v>
      </c>
      <c r="D68" s="40">
        <f t="shared" si="0"/>
        <v>69.36681841173495</v>
      </c>
      <c r="E68" s="41">
        <f t="shared" si="1"/>
        <v>-908427</v>
      </c>
    </row>
    <row r="69" spans="1:5" ht="21.75" customHeight="1">
      <c r="A69" s="60" t="s">
        <v>155</v>
      </c>
      <c r="B69" s="36">
        <f>SUM(B70:B73)</f>
        <v>0</v>
      </c>
      <c r="C69" s="36">
        <f>SUM(C70:C73)</f>
        <v>0</v>
      </c>
      <c r="D69" s="40" t="str">
        <f>IF(B69=0,"   ",C69/B69*100)</f>
        <v>   </v>
      </c>
      <c r="E69" s="41">
        <f>C69-B69</f>
        <v>0</v>
      </c>
    </row>
    <row r="70" spans="1:5" ht="11.25" customHeight="1">
      <c r="A70" s="60" t="s">
        <v>156</v>
      </c>
      <c r="B70" s="36">
        <v>0</v>
      </c>
      <c r="C70" s="114">
        <v>0</v>
      </c>
      <c r="D70" s="40" t="str">
        <f>IF(B70=0,"   ",C70/B70*100)</f>
        <v>   </v>
      </c>
      <c r="E70" s="41">
        <f>C70-B70</f>
        <v>0</v>
      </c>
    </row>
    <row r="71" spans="1:5" ht="12" customHeight="1">
      <c r="A71" s="60" t="s">
        <v>159</v>
      </c>
      <c r="B71" s="96">
        <v>0</v>
      </c>
      <c r="C71" s="114">
        <v>0</v>
      </c>
      <c r="D71" s="40" t="str">
        <f>IF(B71=0,"   ",C71/B71*100)</f>
        <v>   </v>
      </c>
      <c r="E71" s="41">
        <f>C71-B71</f>
        <v>0</v>
      </c>
    </row>
    <row r="72" spans="1:5" ht="15.75" customHeight="1">
      <c r="A72" s="60" t="s">
        <v>279</v>
      </c>
      <c r="B72" s="96">
        <v>0</v>
      </c>
      <c r="C72" s="114">
        <v>0</v>
      </c>
      <c r="D72" s="40" t="str">
        <f>IF(B72=0,"   ",C72/B72*100)</f>
        <v>   </v>
      </c>
      <c r="E72" s="41">
        <f>C72-B72</f>
        <v>0</v>
      </c>
    </row>
    <row r="73" spans="1:5" ht="12" customHeight="1">
      <c r="A73" s="60" t="s">
        <v>280</v>
      </c>
      <c r="B73" s="96">
        <v>0</v>
      </c>
      <c r="C73" s="114">
        <v>0</v>
      </c>
      <c r="D73" s="40" t="str">
        <f>IF(B73=0,"   ",C73/B73*100)</f>
        <v>   </v>
      </c>
      <c r="E73" s="41">
        <f>C73-B73</f>
        <v>0</v>
      </c>
    </row>
    <row r="74" spans="1:5" ht="15.75" customHeight="1">
      <c r="A74" s="68" t="s">
        <v>123</v>
      </c>
      <c r="B74" s="96">
        <f>SUM(B75:B81)</f>
        <v>2955500</v>
      </c>
      <c r="C74" s="96">
        <f>SUM(C75:C81)</f>
        <v>2047073</v>
      </c>
      <c r="D74" s="40">
        <f t="shared" si="0"/>
        <v>69.26317036034511</v>
      </c>
      <c r="E74" s="41">
        <f t="shared" si="1"/>
        <v>-908427</v>
      </c>
    </row>
    <row r="75" spans="1:5" ht="18" customHeight="1">
      <c r="A75" s="60" t="s">
        <v>139</v>
      </c>
      <c r="B75" s="36">
        <v>0</v>
      </c>
      <c r="C75" s="107">
        <v>0</v>
      </c>
      <c r="D75" s="40" t="str">
        <f t="shared" si="0"/>
        <v>   </v>
      </c>
      <c r="E75" s="41">
        <f t="shared" si="1"/>
        <v>0</v>
      </c>
    </row>
    <row r="76" spans="1:5" ht="30.75" customHeight="1">
      <c r="A76" s="17" t="s">
        <v>225</v>
      </c>
      <c r="B76" s="36">
        <v>778000</v>
      </c>
      <c r="C76" s="107">
        <v>39573</v>
      </c>
      <c r="D76" s="40">
        <f t="shared" si="0"/>
        <v>5.086503856041131</v>
      </c>
      <c r="E76" s="41">
        <f t="shared" si="1"/>
        <v>-738427</v>
      </c>
    </row>
    <row r="77" spans="1:5" ht="29.25" customHeight="1">
      <c r="A77" s="17" t="s">
        <v>226</v>
      </c>
      <c r="B77" s="36">
        <v>100000</v>
      </c>
      <c r="C77" s="107">
        <v>0</v>
      </c>
      <c r="D77" s="40">
        <f t="shared" si="0"/>
        <v>0</v>
      </c>
      <c r="E77" s="41">
        <f t="shared" si="1"/>
        <v>-100000</v>
      </c>
    </row>
    <row r="78" spans="1:5" ht="27" customHeight="1">
      <c r="A78" s="17" t="s">
        <v>227</v>
      </c>
      <c r="B78" s="36">
        <v>1324900</v>
      </c>
      <c r="C78" s="107">
        <v>1324900</v>
      </c>
      <c r="D78" s="40">
        <f t="shared" si="0"/>
        <v>100</v>
      </c>
      <c r="E78" s="41">
        <f t="shared" si="1"/>
        <v>0</v>
      </c>
    </row>
    <row r="79" spans="1:5" ht="27" customHeight="1">
      <c r="A79" s="17" t="s">
        <v>228</v>
      </c>
      <c r="B79" s="108">
        <v>147300</v>
      </c>
      <c r="C79" s="107">
        <v>147300</v>
      </c>
      <c r="D79" s="40">
        <f t="shared" si="0"/>
        <v>100</v>
      </c>
      <c r="E79" s="41">
        <f t="shared" si="1"/>
        <v>0</v>
      </c>
    </row>
    <row r="80" spans="1:5" ht="27" customHeight="1">
      <c r="A80" s="17" t="s">
        <v>229</v>
      </c>
      <c r="B80" s="108">
        <v>544700</v>
      </c>
      <c r="C80" s="107">
        <v>481770</v>
      </c>
      <c r="D80" s="40">
        <f t="shared" si="0"/>
        <v>88.44685147787773</v>
      </c>
      <c r="E80" s="41">
        <f t="shared" si="1"/>
        <v>-62930</v>
      </c>
    </row>
    <row r="81" spans="1:5" ht="27" customHeight="1">
      <c r="A81" s="62" t="s">
        <v>230</v>
      </c>
      <c r="B81" s="108">
        <v>60600</v>
      </c>
      <c r="C81" s="107">
        <v>53530</v>
      </c>
      <c r="D81" s="40">
        <f t="shared" si="0"/>
        <v>88.33333333333333</v>
      </c>
      <c r="E81" s="41">
        <f t="shared" si="1"/>
        <v>-7070</v>
      </c>
    </row>
    <row r="82" spans="1:5" ht="17.25" customHeight="1">
      <c r="A82" s="62" t="s">
        <v>166</v>
      </c>
      <c r="B82" s="108">
        <f>SUM(B83:B84)</f>
        <v>10000</v>
      </c>
      <c r="C82" s="108">
        <f>SUM(C83:C84)</f>
        <v>10000</v>
      </c>
      <c r="D82" s="40">
        <f>IF(B82=0,"   ",C82/B82*100)</f>
        <v>100</v>
      </c>
      <c r="E82" s="41">
        <f>C82-B82</f>
        <v>0</v>
      </c>
    </row>
    <row r="83" spans="1:5" ht="33" customHeight="1">
      <c r="A83" s="62" t="s">
        <v>145</v>
      </c>
      <c r="B83" s="108">
        <v>10000</v>
      </c>
      <c r="C83" s="107">
        <v>10000</v>
      </c>
      <c r="D83" s="40">
        <f>IF(B83=0,"   ",C83/B83*100)</f>
        <v>100</v>
      </c>
      <c r="E83" s="41">
        <f>C83-B83</f>
        <v>0</v>
      </c>
    </row>
    <row r="84" spans="1:5" ht="27" customHeight="1">
      <c r="A84" s="62" t="s">
        <v>167</v>
      </c>
      <c r="B84" s="108">
        <v>0</v>
      </c>
      <c r="C84" s="107">
        <v>0</v>
      </c>
      <c r="D84" s="40" t="str">
        <f>IF(B84=0,"   ",C84/B84*100)</f>
        <v>   </v>
      </c>
      <c r="E84" s="41">
        <f>C84-B84</f>
        <v>0</v>
      </c>
    </row>
    <row r="85" spans="1:5" ht="20.25" customHeight="1">
      <c r="A85" s="21" t="s">
        <v>13</v>
      </c>
      <c r="B85" s="36">
        <f>SUM(B86,B88,B100,B109)</f>
        <v>2882661.9</v>
      </c>
      <c r="C85" s="36">
        <f>SUM(C86,C88,C100,C109)</f>
        <v>1394883.77</v>
      </c>
      <c r="D85" s="40">
        <f t="shared" si="0"/>
        <v>48.388739935127326</v>
      </c>
      <c r="E85" s="41">
        <f t="shared" si="1"/>
        <v>-1487778.13</v>
      </c>
    </row>
    <row r="86" spans="1:5" ht="13.5">
      <c r="A86" s="21" t="s">
        <v>14</v>
      </c>
      <c r="B86" s="36">
        <f>SUM(B87:B87)</f>
        <v>20000</v>
      </c>
      <c r="C86" s="36">
        <f>SUM(C87:C87)</f>
        <v>5885.46</v>
      </c>
      <c r="D86" s="40">
        <f t="shared" si="0"/>
        <v>29.427300000000002</v>
      </c>
      <c r="E86" s="41">
        <f t="shared" si="1"/>
        <v>-14114.54</v>
      </c>
    </row>
    <row r="87" spans="1:5" ht="15.75" customHeight="1">
      <c r="A87" s="21" t="s">
        <v>92</v>
      </c>
      <c r="B87" s="36">
        <v>20000</v>
      </c>
      <c r="C87" s="107">
        <v>5885.46</v>
      </c>
      <c r="D87" s="40">
        <f t="shared" si="0"/>
        <v>29.427300000000002</v>
      </c>
      <c r="E87" s="41">
        <f t="shared" si="1"/>
        <v>-14114.54</v>
      </c>
    </row>
    <row r="88" spans="1:5" ht="13.5">
      <c r="A88" s="21" t="s">
        <v>86</v>
      </c>
      <c r="B88" s="36">
        <f>SUM(B89:B96)</f>
        <v>1685654</v>
      </c>
      <c r="C88" s="36">
        <f>SUM(C89:C96)</f>
        <v>632662.44</v>
      </c>
      <c r="D88" s="40">
        <f t="shared" si="0"/>
        <v>37.532164963865654</v>
      </c>
      <c r="E88" s="41">
        <f t="shared" si="1"/>
        <v>-1052991.56</v>
      </c>
    </row>
    <row r="89" spans="1:5" ht="13.5">
      <c r="A89" s="21" t="s">
        <v>258</v>
      </c>
      <c r="B89" s="36">
        <v>0</v>
      </c>
      <c r="C89" s="36">
        <v>0</v>
      </c>
      <c r="D89" s="40" t="str">
        <f aca="true" t="shared" si="2" ref="D89:D98">IF(B89=0,"   ",C89/B89*100)</f>
        <v>   </v>
      </c>
      <c r="E89" s="41">
        <f aca="true" t="shared" si="3" ref="E89:E98">C89-B89</f>
        <v>0</v>
      </c>
    </row>
    <row r="90" spans="1:5" ht="13.5">
      <c r="A90" s="21" t="s">
        <v>267</v>
      </c>
      <c r="B90" s="36">
        <v>0</v>
      </c>
      <c r="C90" s="36">
        <v>0</v>
      </c>
      <c r="D90" s="40" t="str">
        <f t="shared" si="2"/>
        <v>   </v>
      </c>
      <c r="E90" s="41">
        <f t="shared" si="3"/>
        <v>0</v>
      </c>
    </row>
    <row r="91" spans="1:5" ht="27">
      <c r="A91" s="21" t="s">
        <v>181</v>
      </c>
      <c r="B91" s="36">
        <v>888000</v>
      </c>
      <c r="C91" s="36">
        <v>45554.1</v>
      </c>
      <c r="D91" s="40">
        <f t="shared" si="2"/>
        <v>5.129966216216216</v>
      </c>
      <c r="E91" s="41">
        <f t="shared" si="3"/>
        <v>-842445.9</v>
      </c>
    </row>
    <row r="92" spans="1:5" ht="13.5">
      <c r="A92" s="38" t="s">
        <v>149</v>
      </c>
      <c r="B92" s="36">
        <v>107710</v>
      </c>
      <c r="C92" s="36">
        <v>0</v>
      </c>
      <c r="D92" s="40">
        <f t="shared" si="2"/>
        <v>0</v>
      </c>
      <c r="E92" s="41">
        <f t="shared" si="3"/>
        <v>-107710</v>
      </c>
    </row>
    <row r="93" spans="1:5" ht="13.5">
      <c r="A93" s="38" t="s">
        <v>306</v>
      </c>
      <c r="B93" s="36">
        <v>0</v>
      </c>
      <c r="C93" s="36">
        <v>0</v>
      </c>
      <c r="D93" s="40" t="str">
        <f t="shared" si="2"/>
        <v>   </v>
      </c>
      <c r="E93" s="41">
        <f t="shared" si="3"/>
        <v>0</v>
      </c>
    </row>
    <row r="94" spans="1:5" ht="13.5">
      <c r="A94" s="21" t="s">
        <v>304</v>
      </c>
      <c r="B94" s="36">
        <v>689944</v>
      </c>
      <c r="C94" s="36">
        <v>587108.34</v>
      </c>
      <c r="D94" s="40">
        <f t="shared" si="2"/>
        <v>85.09507148406247</v>
      </c>
      <c r="E94" s="41">
        <f t="shared" si="3"/>
        <v>-102835.66000000003</v>
      </c>
    </row>
    <row r="95" spans="1:5" ht="14.25" customHeight="1">
      <c r="A95" s="38" t="s">
        <v>307</v>
      </c>
      <c r="B95" s="36">
        <v>0</v>
      </c>
      <c r="C95" s="36">
        <v>0</v>
      </c>
      <c r="D95" s="40" t="str">
        <f t="shared" si="2"/>
        <v>   </v>
      </c>
      <c r="E95" s="41">
        <f t="shared" si="3"/>
        <v>0</v>
      </c>
    </row>
    <row r="96" spans="1:5" ht="16.5" customHeight="1">
      <c r="A96" s="17" t="s">
        <v>341</v>
      </c>
      <c r="B96" s="36">
        <f>SUM(B97:B99)</f>
        <v>0</v>
      </c>
      <c r="C96" s="36">
        <f>SUM(C97:C99)</f>
        <v>0</v>
      </c>
      <c r="D96" s="40" t="str">
        <f t="shared" si="2"/>
        <v>   </v>
      </c>
      <c r="E96" s="41">
        <f t="shared" si="3"/>
        <v>0</v>
      </c>
    </row>
    <row r="97" spans="1:5" ht="13.5">
      <c r="A97" s="17" t="s">
        <v>344</v>
      </c>
      <c r="B97" s="36">
        <v>0</v>
      </c>
      <c r="C97" s="36">
        <v>0</v>
      </c>
      <c r="D97" s="40" t="str">
        <f t="shared" si="2"/>
        <v>   </v>
      </c>
      <c r="E97" s="41">
        <f t="shared" si="3"/>
        <v>0</v>
      </c>
    </row>
    <row r="98" spans="1:5" ht="13.5">
      <c r="A98" s="17" t="s">
        <v>342</v>
      </c>
      <c r="B98" s="36">
        <v>0</v>
      </c>
      <c r="C98" s="36">
        <v>0</v>
      </c>
      <c r="D98" s="40" t="str">
        <f t="shared" si="2"/>
        <v>   </v>
      </c>
      <c r="E98" s="41">
        <f t="shared" si="3"/>
        <v>0</v>
      </c>
    </row>
    <row r="99" spans="1:5" ht="13.5">
      <c r="A99" s="17" t="s">
        <v>343</v>
      </c>
      <c r="B99" s="36">
        <v>0</v>
      </c>
      <c r="C99" s="107">
        <v>0</v>
      </c>
      <c r="D99" s="40" t="str">
        <f t="shared" si="0"/>
        <v>   </v>
      </c>
      <c r="E99" s="41">
        <f t="shared" si="1"/>
        <v>0</v>
      </c>
    </row>
    <row r="100" spans="1:5" ht="13.5">
      <c r="A100" s="21" t="s">
        <v>69</v>
      </c>
      <c r="B100" s="36">
        <f>B101+B102+B103+B105+B104</f>
        <v>1176707.9</v>
      </c>
      <c r="C100" s="36">
        <f>C101+C102+C103+C105+C104</f>
        <v>756335.87</v>
      </c>
      <c r="D100" s="40">
        <f t="shared" si="0"/>
        <v>64.275583600654</v>
      </c>
      <c r="E100" s="41">
        <f t="shared" si="1"/>
        <v>-420372.0299999999</v>
      </c>
    </row>
    <row r="101" spans="1:5" ht="13.5">
      <c r="A101" s="21" t="s">
        <v>56</v>
      </c>
      <c r="B101" s="36">
        <v>1120000</v>
      </c>
      <c r="C101" s="107">
        <v>699709.87</v>
      </c>
      <c r="D101" s="40">
        <f t="shared" si="0"/>
        <v>62.474095535714284</v>
      </c>
      <c r="E101" s="41">
        <f t="shared" si="1"/>
        <v>-420290.13</v>
      </c>
    </row>
    <row r="102" spans="1:5" ht="13.5">
      <c r="A102" s="21" t="s">
        <v>57</v>
      </c>
      <c r="B102" s="36">
        <v>56707.9</v>
      </c>
      <c r="C102" s="107">
        <v>56626</v>
      </c>
      <c r="D102" s="40">
        <f t="shared" si="0"/>
        <v>99.8555756781683</v>
      </c>
      <c r="E102" s="41">
        <f t="shared" si="1"/>
        <v>-81.90000000000146</v>
      </c>
    </row>
    <row r="103" spans="1:5" ht="27">
      <c r="A103" s="21" t="s">
        <v>308</v>
      </c>
      <c r="B103" s="36">
        <v>0</v>
      </c>
      <c r="C103" s="107">
        <v>0</v>
      </c>
      <c r="D103" s="40" t="str">
        <f t="shared" si="0"/>
        <v>   </v>
      </c>
      <c r="E103" s="41">
        <f t="shared" si="1"/>
        <v>0</v>
      </c>
    </row>
    <row r="104" spans="1:5" ht="13.5">
      <c r="A104" s="17" t="s">
        <v>350</v>
      </c>
      <c r="B104" s="36">
        <v>0</v>
      </c>
      <c r="C104" s="107">
        <v>0</v>
      </c>
      <c r="D104" s="40" t="str">
        <f t="shared" si="0"/>
        <v>   </v>
      </c>
      <c r="E104" s="41">
        <f t="shared" si="1"/>
        <v>0</v>
      </c>
    </row>
    <row r="105" spans="1:5" ht="15.75" customHeight="1">
      <c r="A105" s="17" t="s">
        <v>191</v>
      </c>
      <c r="B105" s="36">
        <f>SUM(B106:B108)</f>
        <v>0</v>
      </c>
      <c r="C105" s="36">
        <f>SUM(C106:C108)</f>
        <v>0</v>
      </c>
      <c r="D105" s="40" t="str">
        <f aca="true" t="shared" si="4" ref="D105:D110">IF(B105=0,"   ",C105/B105*100)</f>
        <v>   </v>
      </c>
      <c r="E105" s="41">
        <f aca="true" t="shared" si="5" ref="E105:E110">C105-B105</f>
        <v>0</v>
      </c>
    </row>
    <row r="106" spans="1:5" ht="27">
      <c r="A106" s="17" t="s">
        <v>194</v>
      </c>
      <c r="B106" s="36">
        <v>0</v>
      </c>
      <c r="C106" s="107">
        <v>0</v>
      </c>
      <c r="D106" s="40" t="str">
        <f t="shared" si="4"/>
        <v>   </v>
      </c>
      <c r="E106" s="41">
        <f t="shared" si="5"/>
        <v>0</v>
      </c>
    </row>
    <row r="107" spans="1:5" ht="27">
      <c r="A107" s="17" t="s">
        <v>195</v>
      </c>
      <c r="B107" s="36">
        <v>0</v>
      </c>
      <c r="C107" s="107">
        <v>0</v>
      </c>
      <c r="D107" s="40" t="str">
        <f t="shared" si="4"/>
        <v>   </v>
      </c>
      <c r="E107" s="41">
        <f t="shared" si="5"/>
        <v>0</v>
      </c>
    </row>
    <row r="108" spans="1:5" ht="27.75" thickBot="1">
      <c r="A108" s="17" t="s">
        <v>196</v>
      </c>
      <c r="B108" s="36">
        <v>0</v>
      </c>
      <c r="C108" s="107">
        <v>0</v>
      </c>
      <c r="D108" s="40" t="str">
        <f t="shared" si="4"/>
        <v>   </v>
      </c>
      <c r="E108" s="41">
        <f t="shared" si="5"/>
        <v>0</v>
      </c>
    </row>
    <row r="109" spans="1:5" ht="14.25" thickBot="1">
      <c r="A109" s="62" t="s">
        <v>290</v>
      </c>
      <c r="B109" s="111">
        <f>SUM(B110)</f>
        <v>300</v>
      </c>
      <c r="C109" s="111">
        <f>SUM(C110)</f>
        <v>0</v>
      </c>
      <c r="D109" s="40">
        <f t="shared" si="4"/>
        <v>0</v>
      </c>
      <c r="E109" s="41">
        <f t="shared" si="5"/>
        <v>-300</v>
      </c>
    </row>
    <row r="110" spans="1:5" ht="13.5">
      <c r="A110" s="62" t="s">
        <v>247</v>
      </c>
      <c r="B110" s="36">
        <v>300</v>
      </c>
      <c r="C110" s="99">
        <v>0</v>
      </c>
      <c r="D110" s="40">
        <f t="shared" si="4"/>
        <v>0</v>
      </c>
      <c r="E110" s="41">
        <f t="shared" si="5"/>
        <v>-300</v>
      </c>
    </row>
    <row r="111" spans="1:5" ht="20.25" customHeight="1">
      <c r="A111" s="21" t="s">
        <v>17</v>
      </c>
      <c r="B111" s="36">
        <v>0</v>
      </c>
      <c r="C111" s="36">
        <v>0</v>
      </c>
      <c r="D111" s="40" t="str">
        <f t="shared" si="0"/>
        <v>   </v>
      </c>
      <c r="E111" s="41">
        <f t="shared" si="1"/>
        <v>0</v>
      </c>
    </row>
    <row r="112" spans="1:5" ht="18" customHeight="1">
      <c r="A112" s="21" t="s">
        <v>41</v>
      </c>
      <c r="B112" s="143">
        <f>SUM(B113,)</f>
        <v>2658500</v>
      </c>
      <c r="C112" s="143">
        <f>SUM(C113,)</f>
        <v>1951320</v>
      </c>
      <c r="D112" s="40">
        <f t="shared" si="0"/>
        <v>73.39928531126574</v>
      </c>
      <c r="E112" s="41">
        <f t="shared" si="1"/>
        <v>-707180</v>
      </c>
    </row>
    <row r="113" spans="1:5" ht="14.25" customHeight="1">
      <c r="A113" s="21" t="s">
        <v>42</v>
      </c>
      <c r="B113" s="36">
        <v>2658500</v>
      </c>
      <c r="C113" s="107">
        <v>1951320</v>
      </c>
      <c r="D113" s="40">
        <f t="shared" si="0"/>
        <v>73.39928531126574</v>
      </c>
      <c r="E113" s="41">
        <f t="shared" si="1"/>
        <v>-707180</v>
      </c>
    </row>
    <row r="114" spans="1:5" ht="18.75" customHeight="1">
      <c r="A114" s="21" t="s">
        <v>118</v>
      </c>
      <c r="B114" s="36">
        <f>SUM(B115,)</f>
        <v>20000</v>
      </c>
      <c r="C114" s="36">
        <f>C115</f>
        <v>20000</v>
      </c>
      <c r="D114" s="40">
        <f t="shared" si="0"/>
        <v>100</v>
      </c>
      <c r="E114" s="41">
        <f t="shared" si="1"/>
        <v>0</v>
      </c>
    </row>
    <row r="115" spans="1:5" ht="12.75" customHeight="1">
      <c r="A115" s="21" t="s">
        <v>43</v>
      </c>
      <c r="B115" s="36">
        <v>20000</v>
      </c>
      <c r="C115" s="99">
        <v>20000</v>
      </c>
      <c r="D115" s="40">
        <f t="shared" si="0"/>
        <v>100</v>
      </c>
      <c r="E115" s="41">
        <f t="shared" si="1"/>
        <v>0</v>
      </c>
    </row>
    <row r="116" spans="1:5" ht="30.75" customHeight="1">
      <c r="A116" s="44" t="s">
        <v>15</v>
      </c>
      <c r="B116" s="116">
        <f>SUM(B54,B62,B64,B68,B85,B111,B112,B114,)</f>
        <v>10675160</v>
      </c>
      <c r="C116" s="116">
        <f>SUM(C54,C62,C64,C68,C85,C111,C112,C114,)</f>
        <v>6920834.92</v>
      </c>
      <c r="D116" s="46">
        <f>IF(B116=0,"   ",C116/B116*100)</f>
        <v>64.83120552759864</v>
      </c>
      <c r="E116" s="47">
        <f t="shared" si="1"/>
        <v>-3754325.08</v>
      </c>
    </row>
    <row r="117" spans="1:5" s="13" customFormat="1" ht="30.75" customHeight="1">
      <c r="A117" s="71" t="s">
        <v>276</v>
      </c>
      <c r="B117" s="71"/>
      <c r="C117" s="168"/>
      <c r="D117" s="168"/>
      <c r="E117" s="168"/>
    </row>
    <row r="118" spans="1:5" s="13" customFormat="1" ht="12" customHeight="1">
      <c r="A118" s="71" t="s">
        <v>144</v>
      </c>
      <c r="B118" s="71"/>
      <c r="C118" s="72" t="s">
        <v>277</v>
      </c>
      <c r="D118" s="73"/>
      <c r="E118" s="74"/>
    </row>
    <row r="119" spans="1:5" ht="15" customHeight="1">
      <c r="A119" s="71"/>
      <c r="B119" s="71"/>
      <c r="C119" s="117"/>
      <c r="D119" s="71"/>
      <c r="E119" s="118"/>
    </row>
    <row r="120" spans="1:5" ht="12" customHeight="1">
      <c r="A120" s="71"/>
      <c r="B120" s="71"/>
      <c r="C120" s="72"/>
      <c r="D120" s="73"/>
      <c r="E120" s="74"/>
    </row>
    <row r="121" spans="1:5" ht="12.75">
      <c r="A121" s="6"/>
      <c r="B121" s="6"/>
      <c r="C121" s="5"/>
      <c r="D121" s="6"/>
      <c r="E121" s="2"/>
    </row>
    <row r="122" spans="1:5" ht="12.75">
      <c r="A122" s="6"/>
      <c r="B122" s="6"/>
      <c r="C122" s="5"/>
      <c r="D122" s="6"/>
      <c r="E122" s="2"/>
    </row>
    <row r="123" spans="1:5" ht="12.75">
      <c r="A123" s="6"/>
      <c r="B123" s="6"/>
      <c r="C123" s="5"/>
      <c r="D123" s="6"/>
      <c r="E123" s="2"/>
    </row>
    <row r="124" spans="1:5" ht="12.75">
      <c r="A124" s="6"/>
      <c r="B124" s="6"/>
      <c r="C124" s="5"/>
      <c r="D124" s="6"/>
      <c r="E124" s="2"/>
    </row>
  </sheetData>
  <sheetProtection/>
  <mergeCells count="2">
    <mergeCell ref="A1:E1"/>
    <mergeCell ref="C117:E117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2022-09-06T11:32:22Z</cp:lastPrinted>
  <dcterms:created xsi:type="dcterms:W3CDTF">2001-03-21T05:21:19Z</dcterms:created>
  <dcterms:modified xsi:type="dcterms:W3CDTF">2022-11-02T11:53:59Z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