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435"/>
  </bookViews>
  <sheets>
    <sheet name="18.08.2022 " sheetId="6" r:id="rId1"/>
    <sheet name="СБР" sheetId="7" r:id="rId2"/>
  </sheets>
  <externalReferences>
    <externalReference r:id="rId3"/>
  </externalReferences>
  <definedNames>
    <definedName name="_xlnm.Print_Titles" localSheetId="0">'18.08.2022 '!$16:$16</definedName>
    <definedName name="_xlnm.Print_Area" localSheetId="0">'18.08.2022 '!$B$1:$AF$91</definedName>
  </definedNames>
  <calcPr calcId="145621"/>
  <fileRecoveryPr autoRecover="0"/>
</workbook>
</file>

<file path=xl/calcChain.xml><?xml version="1.0" encoding="utf-8"?>
<calcChain xmlns="http://schemas.openxmlformats.org/spreadsheetml/2006/main">
  <c r="T59" i="6" l="1"/>
  <c r="R59" i="6"/>
  <c r="T28" i="6"/>
  <c r="R28" i="6"/>
  <c r="Z40" i="6"/>
  <c r="Z58" i="6"/>
  <c r="Z24" i="6"/>
  <c r="X24" i="6"/>
  <c r="T52" i="6"/>
  <c r="T42" i="6"/>
  <c r="Z90" i="6" l="1"/>
  <c r="X90" i="6"/>
  <c r="W90" i="6"/>
  <c r="T90" i="6"/>
  <c r="R90" i="6"/>
  <c r="Q90" i="6"/>
  <c r="X85" i="6"/>
  <c r="Z85" i="6"/>
  <c r="E35" i="7"/>
  <c r="C35" i="7"/>
  <c r="I35" i="7" s="1"/>
  <c r="E34" i="7"/>
  <c r="E33" i="7"/>
  <c r="E31" i="7" s="1"/>
  <c r="E30" i="7" s="1"/>
  <c r="G31" i="7"/>
  <c r="G30" i="7" s="1"/>
  <c r="F31" i="7"/>
  <c r="F30" i="7"/>
  <c r="E23" i="7"/>
  <c r="C23" i="7"/>
  <c r="I23" i="7" s="1"/>
  <c r="G22" i="7"/>
  <c r="E22" i="7"/>
  <c r="G21" i="7"/>
  <c r="E21" i="7" s="1"/>
  <c r="E19" i="7" s="1"/>
  <c r="E18" i="7" s="1"/>
  <c r="F19" i="7"/>
  <c r="F18" i="7" s="1"/>
  <c r="S11" i="7"/>
  <c r="R11" i="7"/>
  <c r="N11" i="7"/>
  <c r="Q11" i="7" s="1"/>
  <c r="E11" i="7"/>
  <c r="C11" i="7"/>
  <c r="I11" i="7" s="1"/>
  <c r="N10" i="7"/>
  <c r="M10" i="7"/>
  <c r="S10" i="7" s="1"/>
  <c r="L10" i="7"/>
  <c r="R10" i="7" s="1"/>
  <c r="K10" i="7"/>
  <c r="G10" i="7"/>
  <c r="F10" i="7"/>
  <c r="N9" i="7"/>
  <c r="M9" i="7"/>
  <c r="S9" i="7" s="1"/>
  <c r="L9" i="7"/>
  <c r="R9" i="7" s="1"/>
  <c r="K9" i="7"/>
  <c r="K7" i="7" s="1"/>
  <c r="K6" i="7" s="1"/>
  <c r="G9" i="7"/>
  <c r="F9" i="7"/>
  <c r="P7" i="7"/>
  <c r="P6" i="7" s="1"/>
  <c r="O7" i="7"/>
  <c r="O6" i="7" s="1"/>
  <c r="N7" i="7" l="1"/>
  <c r="N6" i="7" s="1"/>
  <c r="G19" i="7"/>
  <c r="G18" i="7" s="1"/>
  <c r="E10" i="7"/>
  <c r="M7" i="7"/>
  <c r="M6" i="7" s="1"/>
  <c r="F7" i="7"/>
  <c r="F6" i="7" s="1"/>
  <c r="G7" i="7"/>
  <c r="G6" i="7" s="1"/>
  <c r="S7" i="7"/>
  <c r="S6" i="7" s="1"/>
  <c r="Q9" i="7"/>
  <c r="Q7" i="7" s="1"/>
  <c r="Q6" i="7" s="1"/>
  <c r="Q10" i="7"/>
  <c r="R7" i="7"/>
  <c r="R6" i="7" s="1"/>
  <c r="E9" i="7"/>
  <c r="L7" i="7"/>
  <c r="L6" i="7" s="1"/>
  <c r="E7" i="7" l="1"/>
  <c r="E6" i="7" s="1"/>
  <c r="Z64" i="6" l="1"/>
  <c r="T64" i="6"/>
  <c r="AF23" i="6" l="1"/>
  <c r="AF40" i="6"/>
  <c r="AF43" i="6"/>
  <c r="Z43" i="6" l="1"/>
  <c r="Z38" i="6"/>
  <c r="AC23" i="6"/>
  <c r="Z23" i="6" l="1"/>
  <c r="T24" i="6"/>
  <c r="AF70" i="6" l="1"/>
  <c r="AD70" i="6"/>
  <c r="AC70" i="6"/>
  <c r="AB70" i="6"/>
  <c r="AA70" i="6"/>
  <c r="AC67" i="6"/>
  <c r="AF66" i="6"/>
  <c r="AC66" i="6" s="1"/>
  <c r="AF64" i="6"/>
  <c r="AC64" i="6" s="1"/>
  <c r="AF60" i="6"/>
  <c r="AC60" i="6" s="1"/>
  <c r="AF53" i="6"/>
  <c r="AD53" i="6"/>
  <c r="AB53" i="6"/>
  <c r="AA53" i="6"/>
  <c r="AF48" i="6"/>
  <c r="D34" i="7" s="1"/>
  <c r="J34" i="7" s="1"/>
  <c r="AD48" i="6"/>
  <c r="AB48" i="6"/>
  <c r="AA48" i="6"/>
  <c r="AF46" i="6"/>
  <c r="AD46" i="6"/>
  <c r="AC46" i="6"/>
  <c r="AB46" i="6"/>
  <c r="AA46" i="6"/>
  <c r="AC45" i="6"/>
  <c r="AC44" i="6"/>
  <c r="AC43" i="6"/>
  <c r="AC40" i="6"/>
  <c r="AC38" i="6"/>
  <c r="AC33" i="6"/>
  <c r="AC31" i="6"/>
  <c r="AD21" i="6"/>
  <c r="AB21" i="6"/>
  <c r="AA21" i="6"/>
  <c r="AE46" i="6" l="1"/>
  <c r="C34" i="7"/>
  <c r="C33" i="7"/>
  <c r="AE70" i="6"/>
  <c r="AA19" i="6"/>
  <c r="AA17" i="6" s="1"/>
  <c r="AC53" i="6"/>
  <c r="AE53" i="6" s="1"/>
  <c r="AC62" i="6"/>
  <c r="AE62" i="6" s="1"/>
  <c r="AB19" i="6"/>
  <c r="AB17" i="6" s="1"/>
  <c r="AD19" i="6"/>
  <c r="AC48" i="6"/>
  <c r="AE48" i="6" s="1"/>
  <c r="AC21" i="6"/>
  <c r="AE21" i="6" s="1"/>
  <c r="AF21" i="6"/>
  <c r="AF62" i="6"/>
  <c r="D35" i="7" s="1"/>
  <c r="C31" i="7" l="1"/>
  <c r="C30" i="7" s="1"/>
  <c r="I33" i="7"/>
  <c r="J35" i="7"/>
  <c r="B35" i="7"/>
  <c r="H35" i="7" s="1"/>
  <c r="AF19" i="6"/>
  <c r="D33" i="7"/>
  <c r="B34" i="7"/>
  <c r="H34" i="7" s="1"/>
  <c r="I34" i="7"/>
  <c r="AD17" i="6"/>
  <c r="AC19" i="6"/>
  <c r="AC17" i="6" s="1"/>
  <c r="AF17" i="6"/>
  <c r="AF12" i="6" s="1"/>
  <c r="T37" i="6"/>
  <c r="T25" i="6"/>
  <c r="R25" i="6"/>
  <c r="T47" i="6"/>
  <c r="R47" i="6"/>
  <c r="I31" i="7" l="1"/>
  <c r="I30" i="7" s="1"/>
  <c r="J33" i="7"/>
  <c r="J31" i="7" s="1"/>
  <c r="J30" i="7" s="1"/>
  <c r="D31" i="7"/>
  <c r="D30" i="7" s="1"/>
  <c r="B33" i="7"/>
  <c r="AE19" i="6"/>
  <c r="AE17" i="6"/>
  <c r="T55" i="6"/>
  <c r="R55" i="6"/>
  <c r="T54" i="6"/>
  <c r="R54" i="6"/>
  <c r="T85" i="6" l="1"/>
  <c r="H33" i="7"/>
  <c r="H31" i="7" s="1"/>
  <c r="H30" i="7" s="1"/>
  <c r="B31" i="7"/>
  <c r="B30" i="7" s="1"/>
  <c r="R85" i="6"/>
  <c r="N67" i="6"/>
  <c r="L64" i="6" l="1"/>
  <c r="Q25" i="6" l="1"/>
  <c r="S25" i="6" s="1"/>
  <c r="N29" i="6" l="1"/>
  <c r="N39" i="6" l="1"/>
  <c r="N37" i="6"/>
  <c r="M37" i="6"/>
  <c r="N60" i="6"/>
  <c r="N42" i="6" l="1"/>
  <c r="N41" i="6"/>
  <c r="M35" i="6" l="1"/>
  <c r="N35" i="6"/>
  <c r="N34" i="6"/>
  <c r="R34" i="6"/>
  <c r="T34" i="6"/>
  <c r="M34" i="6"/>
  <c r="N32" i="6"/>
  <c r="T30" i="6"/>
  <c r="T84" i="6" s="1"/>
  <c r="T86" i="6" s="1"/>
  <c r="R30" i="6"/>
  <c r="R84" i="6" l="1"/>
  <c r="R86" i="6" s="1"/>
  <c r="T41" i="6"/>
  <c r="Q59" i="6" l="1"/>
  <c r="Q41" i="6"/>
  <c r="Q37" i="6"/>
  <c r="Q29" i="6"/>
  <c r="S59" i="6" l="1"/>
  <c r="Q39" i="6"/>
  <c r="N48" i="6" l="1"/>
  <c r="Q74" i="6"/>
  <c r="Q73" i="6"/>
  <c r="Q72" i="6"/>
  <c r="Z70" i="6"/>
  <c r="X70" i="6"/>
  <c r="W70" i="6"/>
  <c r="V70" i="6"/>
  <c r="U70" i="6"/>
  <c r="T70" i="6"/>
  <c r="R70" i="6"/>
  <c r="P70" i="6"/>
  <c r="O70" i="6"/>
  <c r="N70" i="6"/>
  <c r="K70" i="6"/>
  <c r="J70" i="6"/>
  <c r="W67" i="6"/>
  <c r="T67" i="6"/>
  <c r="Q67" i="6" s="1"/>
  <c r="L67" i="6"/>
  <c r="Z66" i="6"/>
  <c r="W66" i="6" s="1"/>
  <c r="T66" i="6"/>
  <c r="Q66" i="6" s="1"/>
  <c r="L66" i="6"/>
  <c r="W64" i="6"/>
  <c r="Q64" i="6"/>
  <c r="Z60" i="6"/>
  <c r="W60" i="6" s="1"/>
  <c r="T60" i="6"/>
  <c r="Q60" i="6" s="1"/>
  <c r="L60" i="6"/>
  <c r="Q58" i="6"/>
  <c r="S58" i="6" s="1"/>
  <c r="W57" i="6"/>
  <c r="Y57" i="6" s="1"/>
  <c r="Q57" i="6"/>
  <c r="S57" i="6" s="1"/>
  <c r="W56" i="6"/>
  <c r="Y56" i="6" s="1"/>
  <c r="Q56" i="6"/>
  <c r="S56" i="6" s="1"/>
  <c r="Q54" i="6"/>
  <c r="S54" i="6" s="1"/>
  <c r="L54" i="6"/>
  <c r="V53" i="6"/>
  <c r="U53" i="6"/>
  <c r="P53" i="6"/>
  <c r="O53" i="6"/>
  <c r="K53" i="6"/>
  <c r="J53" i="6"/>
  <c r="Q52" i="6"/>
  <c r="W50" i="6"/>
  <c r="Q50" i="6"/>
  <c r="S50" i="6" s="1"/>
  <c r="Q49" i="6"/>
  <c r="X48" i="6"/>
  <c r="V48" i="6"/>
  <c r="U48" i="6"/>
  <c r="T48" i="6"/>
  <c r="R48" i="6"/>
  <c r="P48" i="6"/>
  <c r="O48" i="6"/>
  <c r="K48" i="6"/>
  <c r="J48" i="6"/>
  <c r="I48" i="6"/>
  <c r="H48" i="6"/>
  <c r="G48" i="6"/>
  <c r="F48" i="6"/>
  <c r="E48" i="6"/>
  <c r="D48" i="6"/>
  <c r="Q47" i="6"/>
  <c r="L47" i="6"/>
  <c r="Z46" i="6"/>
  <c r="X46" i="6"/>
  <c r="W46" i="6"/>
  <c r="V46" i="6"/>
  <c r="U46" i="6"/>
  <c r="T46" i="6"/>
  <c r="R46" i="6"/>
  <c r="P46" i="6"/>
  <c r="O46" i="6"/>
  <c r="N46" i="6"/>
  <c r="M46" i="6"/>
  <c r="K46" i="6"/>
  <c r="J46" i="6"/>
  <c r="W45" i="6"/>
  <c r="W44" i="6"/>
  <c r="W43" i="6"/>
  <c r="Q42" i="6"/>
  <c r="L42" i="6"/>
  <c r="L41" i="6"/>
  <c r="L39" i="6"/>
  <c r="W38" i="6"/>
  <c r="L37" i="6"/>
  <c r="W36" i="6"/>
  <c r="Y36" i="6" s="1"/>
  <c r="Q35" i="6"/>
  <c r="S35" i="6" s="1"/>
  <c r="L35" i="6"/>
  <c r="Q34" i="6"/>
  <c r="S34" i="6" s="1"/>
  <c r="M21" i="6"/>
  <c r="L34" i="6"/>
  <c r="W33" i="6"/>
  <c r="Z32" i="6"/>
  <c r="X32" i="6"/>
  <c r="Q32" i="6"/>
  <c r="S32" i="6" s="1"/>
  <c r="L32" i="6"/>
  <c r="W31" i="6"/>
  <c r="Y31" i="6" s="1"/>
  <c r="Z30" i="6"/>
  <c r="X30" i="6"/>
  <c r="Q30" i="6"/>
  <c r="S30" i="6" s="1"/>
  <c r="N30" i="6"/>
  <c r="L30" i="6" s="1"/>
  <c r="L29" i="6"/>
  <c r="W28" i="6"/>
  <c r="Q28" i="6"/>
  <c r="W27" i="6"/>
  <c r="Y27" i="6" s="1"/>
  <c r="Z26" i="6"/>
  <c r="W26" i="6" s="1"/>
  <c r="W24" i="6"/>
  <c r="Q24" i="6"/>
  <c r="N24" i="6"/>
  <c r="L24" i="6" s="1"/>
  <c r="W23" i="6"/>
  <c r="Z22" i="6"/>
  <c r="W22" i="6" s="1"/>
  <c r="V21" i="6"/>
  <c r="U21" i="6"/>
  <c r="P21" i="6"/>
  <c r="O21" i="6"/>
  <c r="K21" i="6"/>
  <c r="J21" i="6"/>
  <c r="I19" i="6"/>
  <c r="I17" i="6" s="1"/>
  <c r="H19" i="6"/>
  <c r="H17" i="6" s="1"/>
  <c r="G19" i="6"/>
  <c r="F19" i="6"/>
  <c r="F17" i="6" s="1"/>
  <c r="E19" i="6"/>
  <c r="E17" i="6" s="1"/>
  <c r="D19" i="6"/>
  <c r="D17" i="6" s="1"/>
  <c r="G17" i="6"/>
  <c r="Z48" i="6"/>
  <c r="Q55" i="6"/>
  <c r="S55" i="6" s="1"/>
  <c r="Z53" i="6"/>
  <c r="N62" i="6"/>
  <c r="M70" i="6"/>
  <c r="W49" i="6"/>
  <c r="Y49" i="6" s="1"/>
  <c r="T53" i="6"/>
  <c r="W58" i="6"/>
  <c r="Y46" i="6" l="1"/>
  <c r="D10" i="7"/>
  <c r="Y70" i="6"/>
  <c r="X84" i="6"/>
  <c r="X86" i="6" s="1"/>
  <c r="D22" i="7"/>
  <c r="Z84" i="6"/>
  <c r="Z86" i="6" s="1"/>
  <c r="Q46" i="6"/>
  <c r="S46" i="6" s="1"/>
  <c r="S47" i="6"/>
  <c r="S49" i="6"/>
  <c r="S85" i="6" s="1"/>
  <c r="Q85" i="6"/>
  <c r="J22" i="7"/>
  <c r="W85" i="6"/>
  <c r="Y58" i="6"/>
  <c r="Y85" i="6" s="1"/>
  <c r="Y24" i="6"/>
  <c r="J10" i="7"/>
  <c r="S28" i="6"/>
  <c r="S84" i="6" s="1"/>
  <c r="Q84" i="6"/>
  <c r="Q86" i="6" s="1"/>
  <c r="T62" i="6"/>
  <c r="D11" i="7" s="1"/>
  <c r="Q62" i="6"/>
  <c r="S62" i="6" s="1"/>
  <c r="Z62" i="6"/>
  <c r="D23" i="7" s="1"/>
  <c r="W40" i="6"/>
  <c r="U19" i="6"/>
  <c r="U17" i="6" s="1"/>
  <c r="Q48" i="6"/>
  <c r="S48" i="6" s="1"/>
  <c r="X21" i="6"/>
  <c r="Q70" i="6"/>
  <c r="S70" i="6" s="1"/>
  <c r="W30" i="6"/>
  <c r="W48" i="6"/>
  <c r="Y48" i="6" s="1"/>
  <c r="L46" i="6"/>
  <c r="K19" i="6"/>
  <c r="K17" i="6" s="1"/>
  <c r="V19" i="6"/>
  <c r="V17" i="6" s="1"/>
  <c r="Q21" i="6"/>
  <c r="J19" i="6"/>
  <c r="J17" i="6" s="1"/>
  <c r="P19" i="6"/>
  <c r="P17" i="6" s="1"/>
  <c r="Q53" i="6"/>
  <c r="O19" i="6"/>
  <c r="O17" i="6" s="1"/>
  <c r="M53" i="6"/>
  <c r="L55" i="6"/>
  <c r="L53" i="6" s="1"/>
  <c r="Z21" i="6"/>
  <c r="W32" i="6"/>
  <c r="Y32" i="6" s="1"/>
  <c r="R21" i="6"/>
  <c r="C9" i="7" s="1"/>
  <c r="L70" i="6"/>
  <c r="W62" i="6"/>
  <c r="Y62" i="6" s="1"/>
  <c r="W53" i="6"/>
  <c r="L21" i="6"/>
  <c r="L48" i="6"/>
  <c r="L62" i="6"/>
  <c r="N21" i="6"/>
  <c r="M48" i="6"/>
  <c r="R53" i="6"/>
  <c r="C10" i="7" s="1"/>
  <c r="I10" i="7" s="1"/>
  <c r="N53" i="6"/>
  <c r="X53" i="6"/>
  <c r="C22" i="7" s="1"/>
  <c r="T21" i="6"/>
  <c r="W84" i="6" l="1"/>
  <c r="I22" i="7"/>
  <c r="B22" i="7"/>
  <c r="H22" i="7" s="1"/>
  <c r="J11" i="7"/>
  <c r="B11" i="7"/>
  <c r="H11" i="7" s="1"/>
  <c r="Y30" i="6"/>
  <c r="Y84" i="6" s="1"/>
  <c r="J23" i="7"/>
  <c r="B23" i="7"/>
  <c r="H23" i="7" s="1"/>
  <c r="Y53" i="6"/>
  <c r="S53" i="6"/>
  <c r="B10" i="7"/>
  <c r="H10" i="7" s="1"/>
  <c r="I9" i="7"/>
  <c r="I7" i="7" s="1"/>
  <c r="I6" i="7" s="1"/>
  <c r="C7" i="7"/>
  <c r="C6" i="7" s="1"/>
  <c r="S21" i="6"/>
  <c r="W86" i="6"/>
  <c r="Z19" i="6"/>
  <c r="Z17" i="6" s="1"/>
  <c r="Z12" i="6" s="1"/>
  <c r="D21" i="7"/>
  <c r="C21" i="7"/>
  <c r="T19" i="6"/>
  <c r="T17" i="6" s="1"/>
  <c r="T12" i="6" s="1"/>
  <c r="D9" i="7"/>
  <c r="W21" i="6"/>
  <c r="W19" i="6" s="1"/>
  <c r="W17" i="6" s="1"/>
  <c r="X19" i="6"/>
  <c r="N19" i="6"/>
  <c r="N17" i="6" s="1"/>
  <c r="N12" i="6" s="1"/>
  <c r="Q19" i="6"/>
  <c r="Q17" i="6" s="1"/>
  <c r="R19" i="6"/>
  <c r="M19" i="6"/>
  <c r="M17" i="6" s="1"/>
  <c r="L19" i="6"/>
  <c r="L17" i="6" s="1"/>
  <c r="J21" i="7" l="1"/>
  <c r="J19" i="7" s="1"/>
  <c r="J18" i="7" s="1"/>
  <c r="D19" i="7"/>
  <c r="D18" i="7" s="1"/>
  <c r="C19" i="7"/>
  <c r="C18" i="7" s="1"/>
  <c r="B21" i="7"/>
  <c r="I21" i="7"/>
  <c r="I19" i="7" s="1"/>
  <c r="I18" i="7" s="1"/>
  <c r="Y21" i="6"/>
  <c r="B9" i="7"/>
  <c r="J9" i="7"/>
  <c r="J7" i="7" s="1"/>
  <c r="J6" i="7" s="1"/>
  <c r="D7" i="7"/>
  <c r="D6" i="7" s="1"/>
  <c r="X17" i="6"/>
  <c r="Y17" i="6" s="1"/>
  <c r="Y19" i="6"/>
  <c r="R17" i="6"/>
  <c r="S17" i="6" s="1"/>
  <c r="S19" i="6"/>
  <c r="H21" i="7" l="1"/>
  <c r="H19" i="7" s="1"/>
  <c r="H18" i="7" s="1"/>
  <c r="B19" i="7"/>
  <c r="B18" i="7" s="1"/>
  <c r="B7" i="7"/>
  <c r="B6" i="7" s="1"/>
  <c r="H9" i="7"/>
  <c r="H7" i="7" s="1"/>
  <c r="H6" i="7" s="1"/>
</calcChain>
</file>

<file path=xl/sharedStrings.xml><?xml version="1.0" encoding="utf-8"?>
<sst xmlns="http://schemas.openxmlformats.org/spreadsheetml/2006/main" count="228" uniqueCount="117">
  <si>
    <t>№ 
пп</t>
  </si>
  <si>
    <t>км</t>
  </si>
  <si>
    <t>тыс. рублей</t>
  </si>
  <si>
    <t>I.</t>
  </si>
  <si>
    <t xml:space="preserve">   в том числе:</t>
  </si>
  <si>
    <t>Проектные и изыскательские работы, строительный контроль, авторский надзор</t>
  </si>
  <si>
    <t>III.</t>
  </si>
  <si>
    <r>
      <t xml:space="preserve">Планируемые объемы работ по капитальному ремонту, ремонту и содержанию автомобильных дорог по выделенным на </t>
    </r>
    <r>
      <rPr>
        <b/>
        <sz val="13"/>
        <rFont val="Times New Roman"/>
        <family val="1"/>
      </rPr>
      <t>2015 год</t>
    </r>
    <r>
      <rPr>
        <sz val="13"/>
        <rFont val="Times New Roman"/>
        <family val="1"/>
      </rPr>
      <t xml:space="preserve"> лимитам после уточнения
</t>
    </r>
  </si>
  <si>
    <r>
      <t xml:space="preserve">Планируемые объемы работ по капитальному ремонту, ремонту и содержанию автомобильных дорог по выделенным на </t>
    </r>
    <r>
      <rPr>
        <b/>
        <sz val="13"/>
        <rFont val="Times New Roman"/>
        <family val="1"/>
      </rPr>
      <t>2016 год</t>
    </r>
    <r>
      <rPr>
        <sz val="13"/>
        <rFont val="Times New Roman"/>
        <family val="1"/>
      </rPr>
      <t xml:space="preserve"> лимитам 
</t>
    </r>
  </si>
  <si>
    <t>пог. м</t>
  </si>
  <si>
    <t>УТВЕРЖДЕНО</t>
  </si>
  <si>
    <t xml:space="preserve">постановлением Кабинета Министров </t>
  </si>
  <si>
    <t>1.</t>
  </si>
  <si>
    <t>2.</t>
  </si>
  <si>
    <t>3.</t>
  </si>
  <si>
    <t>4.</t>
  </si>
  <si>
    <t>5.</t>
  </si>
  <si>
    <t>7.</t>
  </si>
  <si>
    <t>8.</t>
  </si>
  <si>
    <t>9.</t>
  </si>
  <si>
    <t>11.</t>
  </si>
  <si>
    <t>12.</t>
  </si>
  <si>
    <t>13.</t>
  </si>
  <si>
    <t>Р А С П Р Е Д Е Л Е Н И Е
средств республиканского бюджета Чувашской Республики на капитальный ремонт, ремонт 
и содержание автомобильных дорог общего пользования регионального и межмуниципального значения 
и искусственных сооружений на них на 2018 год и на плановый период 2019 и 2020 годов</t>
  </si>
  <si>
    <t>в том числе</t>
  </si>
  <si>
    <t>из республи-
канского 
бюджета 
Чувашской 
Республики</t>
  </si>
  <si>
    <t>10.</t>
  </si>
  <si>
    <t xml:space="preserve">Капитальный ремонт автомобильных дорог </t>
  </si>
  <si>
    <t xml:space="preserve">Содержание автомобильных дорог </t>
  </si>
  <si>
    <t>Ремонт автомобильных дорог</t>
  </si>
  <si>
    <t>Нанесение дорожной разметки</t>
  </si>
  <si>
    <t>Финансирование объемов дорожных работ по разделу I ‒ всего</t>
  </si>
  <si>
    <t>Финансирование объемов дорожных работ по разделу II ‒ всего</t>
  </si>
  <si>
    <t>Проведение диагностики после капитального ремонта и ремонта автомобильных дорог</t>
  </si>
  <si>
    <t>II. Содержание, проведение диагностики и проектирование по капитальному ремонту и ремонту автомобильных дорог общего пользования регионального или межмуниципального значения</t>
  </si>
  <si>
    <t>14.</t>
  </si>
  <si>
    <t>15.</t>
  </si>
  <si>
    <t>Чувашской Республики
от</t>
  </si>
  <si>
    <t>Обеспечение транспортной безопасности</t>
  </si>
  <si>
    <t>16.</t>
  </si>
  <si>
    <t>всего,
тыс. рублей</t>
  </si>
  <si>
    <t>18.</t>
  </si>
  <si>
    <t>19.</t>
  </si>
  <si>
    <t>20.</t>
  </si>
  <si>
    <t>Капитальный ремонт автомобильной дороги Калинино – Батырево – Яльчики, км 42+680 – км 50+060 в Ибресинском районе Чувашской Республики (кадастровый номер а.д. 21:09:000000:2355)</t>
  </si>
  <si>
    <t xml:space="preserve">Капитальный ремонт автомобильной дороги Никольское – Ядрин – Калинино, км 21+372 – км 31+660 в Ядринском районе Чувашской Республики (кадастровый номер а.д. 21:24:000000:2333)  </t>
  </si>
  <si>
    <t>Наименование автомобильных дорог,             объектов</t>
  </si>
  <si>
    <t xml:space="preserve">Капитальный ремонт автомобильной дороги Комсомольское – Яльчики – Буинск (до границы Республики Татарстан) на участке км 9+060 – км 18+800 в Яльчикском районе Чувашской Республики  (кадастровый номер а.д. 21:13:000000:659)  </t>
  </si>
  <si>
    <t xml:space="preserve">Ремонт автомобильной дороги 
Чебоксары – Сурское (до границы Ульяновской области) на участке 
км 198+850 – км 200+015, км 200+715 − км 204+740 в Алатырском районе Чувашской Республики (кадастровый номер а.д. 21:00:000000:262)  </t>
  </si>
  <si>
    <t>6.</t>
  </si>
  <si>
    <t>17.</t>
  </si>
  <si>
    <t>Капитальный ремонт автомобильной дороги «Цивильск – Ульяновск» – Яманчурино, км 22+245 − км 28+430 в Яльчикском районе Чувашской Республики (кадастровый номер а.д. 21:08:000000:3656)</t>
  </si>
  <si>
    <t>Ремонт искусственных дорожных сооружений</t>
  </si>
  <si>
    <t>Капитальный ремонт искусственных дорожных сооружений</t>
  </si>
  <si>
    <t>Ремонт путепровода через ж.д. на км 77+987 автомобильной дороги «Сура» в Шумерлинском районе Чувашской Республики (кадастровый номер а.д. 21:17:000000:2682)</t>
  </si>
  <si>
    <t>21.</t>
  </si>
  <si>
    <t>22.</t>
  </si>
  <si>
    <t>Финансирование объемов дорожных работ по разделу III ‒ всего</t>
  </si>
  <si>
    <t xml:space="preserve"> </t>
  </si>
  <si>
    <t>24.</t>
  </si>
  <si>
    <t>III. Капитальный ремонт и ремонт автомобильных дорог общего пользования регионального и межмуниципального значения в рамках федерального проекта «Содействие развитию автомобильных дорог регионального, межмуниципального и местного значения» государственной программы Российской Федерации «Развитие транспортной системы» на 2022 и 2023 годы</t>
  </si>
  <si>
    <t>из федерального бюджета</t>
  </si>
  <si>
    <t>Капитальный ремонт автомобильной дороги Вурнары − Убеево − Красноармейское на участке км 11+967 − км 20+377 в Вурнарском районе Чувашской Республики (1 этап ПК0+00 − ПК40+00) (кадастровый номер а.д. 21:09:000000:402)</t>
  </si>
  <si>
    <t xml:space="preserve">Капитальный ремонт автомобильной дороги Канаш –Тюлькой – Словаши – а.д. «Волга» на участке км 22+000 – км 28+364 в Канашском районе Чувашской Республики (2 этап ПК0+00 − ПК35+80) (кадастровый номер а.д. 21:04:000000:674) </t>
  </si>
  <si>
    <t xml:space="preserve">Капитальный ремонт автомобильной дороги «Аниш» на участке км 83+285 – км 96+600 в Ибресинском районе Чувашской Республики  (кадастровый номер а.д. 21:19:000000:123)  </t>
  </si>
  <si>
    <t xml:space="preserve">Ремонт автомобильной дороги Канаш − Тюлькой − Словаши − а.д. «Волга» на участке км 12+000 − км 16+000 в Канашском районе Чувашской Республики (кадастровый номер а.д. 21:04:000000:674) </t>
  </si>
  <si>
    <t xml:space="preserve">Ремонт моста через р. Шатьма на км 48+015 автомобильной дороги 
Чебоксары – Сурское (до границы Ульяновской области) в Красноармейском районе Чувашской Республики (кадастровый номер а.д.  21:00:000000:262) </t>
  </si>
  <si>
    <t>Ремонт моста через р. Сура на км 163+568 автомобильной дороги «Аниш» 
(а.д. «Волга» – Урмары – Канаш – 
Ибреси – Алатырь) в Алатырском районе Чувашской Республики (кадастровый номер а.д. 21:19:000000:123)</t>
  </si>
  <si>
    <t xml:space="preserve">Ремонт моста через р. Киря на км 122+799 автомобильной дороги «Аниш»  
(а.д. «Волга» – Урмары – Канаш – 
Ибреси – Алатырь) в Ибресинском районе Чувашской Республики (кадастровый номер а.д. 21:19:000000:123) </t>
  </si>
  <si>
    <t xml:space="preserve">Ремонт (восстановление слоев износа) автомобильной дороги «Волга» − Вурманкасы − ГРУ «Реабилитационный центр для ветеранов и инвалидов» на участке км 0+000 – км 3+224 в Чебоксарском районе Чувашской Республики (кадастровый номер а.д. 21:21:000000:1239)  </t>
  </si>
  <si>
    <t>23.</t>
  </si>
  <si>
    <t xml:space="preserve">Капитальный ремонт автомобильной дороги «Чебоксары – Сурское» – Мишуково – Ардатов (до границы Мордовской Республики), км 12+150 – км 20+000 в Порецком районе Чувашской Республики (кадастровый номер а.д. 21:18:000000:4709)  </t>
  </si>
  <si>
    <t>Капитальный ремонт автомобильной дороги Шихазаны – Калинино, км 15+624 – км 28+000 в Вурнарском районе Чувашской Республики (кадастровый номер а.д. 21:11:000000:1267)</t>
  </si>
  <si>
    <t xml:space="preserve">Капитальный ремонт автомобильной дороги Канаш –Тюлькой – Словаши – а.д. «Волга» на участке км 22+000 – км 28+364 в Канашском районе Чувашской Республики (1 этап ПК35+80 − ПК63+64) (кадастровый номер а.д. 21:04:000000:674) </t>
  </si>
  <si>
    <t>Капитальный ремонт автомобильной доро-ги «Цивильск – Ульяновск» – Ачакасы – Янгорчино – «Вурнары – Убеево – Красноармейское» на участке км 5+000 – км 21+315 в Канашском районе Чувашской Республики (2 этап ПК0+00 − ПК108+00) (кадастровый номер а.д. 21:11:000000:1266)</t>
  </si>
  <si>
    <t>Капитальный ремонт автомобильной дороги Вурнары − Убеево − Красноармейское на участке км 11+967 − км 20+377 в Вурнарском районе Чувашской Республики (2А этап ПК40+00 − ПК76+83) (кадастровый номер а.д. 21:09:000000:402)</t>
  </si>
  <si>
    <t>Капитальный ремонт автомобильной дороги Вурнары − Убеево − Красноармейское на участке км 11+967 − км 20+377 в Вурнарском районе Чувашской Республики (2Б этап ПК76+83 − ПК84+00) (кадастровый номер а.д. 21:09:000000:402)</t>
  </si>
  <si>
    <t xml:space="preserve">Ремонт моста через р. Сорма на км 47+795 автомобильной дороги Никольское – 
Ядрин – Калинино в Аликовском районе Чувашской Республики (кадастровый номер а.д. 21:24:000000:2333) </t>
  </si>
  <si>
    <t>Капитальный ремонт автомобильной дороги Чебоксары – Сурское (до границы Ульяновской области), км 41+330 – км 53+120 в Красноармейском районе Чувашской Республики (2А этап, 
км 41+330 – км 44+000) (кадастровый номер а.д. 21:00:000000:262)</t>
  </si>
  <si>
    <r>
      <t>Планируемые объемы работ по капитальному ремонту, 
ремонту и содержанию автомобильных дорог по выделенным на 2022 год</t>
    </r>
    <r>
      <rPr>
        <sz val="13"/>
        <rFont val="Times New Roman"/>
        <family val="1"/>
      </rPr>
      <t xml:space="preserve"> лимитам </t>
    </r>
  </si>
  <si>
    <r>
      <t>Планируемые объемы работ по капитальному ремонту, 
ремонту и содержанию автомобильных дорог по выделенным на 2023 год</t>
    </r>
    <r>
      <rPr>
        <sz val="13"/>
        <rFont val="Times New Roman"/>
        <family val="1"/>
      </rPr>
      <t xml:space="preserve"> лимитам </t>
    </r>
  </si>
  <si>
    <r>
      <t>Планируемые объемы работ по капитальному ремонту, 
ремонту и содержанию автомобильных дорог по выделенным на 2024 год</t>
    </r>
    <r>
      <rPr>
        <sz val="13"/>
        <rFont val="Times New Roman"/>
        <family val="1"/>
      </rPr>
      <t xml:space="preserve"> лимитам </t>
    </r>
  </si>
  <si>
    <r>
      <t>Финансирование объемов дорожных работ по разделам I, II, III ‒</t>
    </r>
    <r>
      <rPr>
        <b/>
        <sz val="13"/>
        <rFont val="Times New Roman"/>
        <family val="1"/>
      </rPr>
      <t xml:space="preserve"> всего</t>
    </r>
  </si>
  <si>
    <t>Капитальный ремонт автомобильной дороги Чебоксары – Сурское (до границы Ульяновской области) на участке 
км 200+015 – км 200+715  в Алатырском районе Чувашской Республики (кадастровый номер а.д. 21:00:000000:262)</t>
  </si>
  <si>
    <t>Капитальный ремонт автомобильной дороги «Цивильск – Ульяновск» – Ачакасы – Янгорчино – «Вурнары – Убеево – Красноармейское» на участке км 5+000 – км 21+315 в Канашском районе Чувашской Республики, 1 этап, км 15+843 − км 21+315 (кадастровый номер а.д. 21:11:000000:1266)</t>
  </si>
  <si>
    <t xml:space="preserve">Капитальный ремонт автомобильной дороги «Волга» – Марпосад – Октябрьское – Козловка, км 8+500 – км 18+500 в Мариинско-Посадском районе Чувашской Республики (кадастровый номер а.д. 21:16:000000:7615)  </t>
  </si>
  <si>
    <t xml:space="preserve"> Капитальный ремонт автомобильной дороги Моргауши – Тораево – а.д. «Сура», 
км 16+800 – км 24+020 в Моргаушском и Ядринском районах Чувашской Республики, 
3 этап, км 20+420 − км 24+020 (кадастровый номер а.д. 21:17:000000:2382)</t>
  </si>
  <si>
    <t xml:space="preserve">Капитальный ремонт автомобильной дороги «Волга» − Марпосад − Октябрьское − Козловка на участке км 40+100 – км 49+400 в Козловском районе Чувашской Республики  (кадастровый номер а.д. 21:16:000000:7615)  </t>
  </si>
  <si>
    <t xml:space="preserve">Капитальный ремонт моста через реку 
Б. Аниш на км 11+954 автомобильной дороги «Волга» – Марпосад – Октябрьское – Козловка  в Мариинско-Посадском районе Чувашской Республики (кадастровый номер а.д. 21:16:000000:7615)  </t>
  </si>
  <si>
    <t xml:space="preserve">Ремонт автомобильной дороги Калинино – Батырево – Яльчики (в том числе подъезд к 
с. Яльчики), км 56+794 – км 63+300 в Комсомольском районе Чувашской Республики (кадастровый номер а.д. 21:09:000000:2355)  </t>
  </si>
  <si>
    <t xml:space="preserve">Ремонт (восстановление слоев износа) автомобильной дороги Моргауши − 
Тораево − а.д. «Сура» на участке 
км 0+000 – км 5+300 в Моргаушском районе Чувашской Республики  (кадастровый номер а.д. 21:17:000000:2382)  </t>
  </si>
  <si>
    <t xml:space="preserve">Ремонт трубы на км 6+080 автомобильной дороги «Чебоксары – Сурское» − 
Мишуково − Ардатов (до границы Мордовской Республики) в Порецком районе Чувашской Республики (кадастровый номер а.д. 21:18:000000:4709) </t>
  </si>
  <si>
    <t xml:space="preserve">Ремонт (восстановление слоев износа) автомобильной дороги Моргауши − 
Тораево − а.д. «Сура» на участке км 0+000 – км 5+300 в Моргаушском районе Чувашской Республики  (кадастровый номер а.д. 21:17:000000:2382)  </t>
  </si>
  <si>
    <t xml:space="preserve"> Капитальный ремонт автомобильной дороги Моргауши – Тораево – а.д. «Сура», 
км 16+800 – км 24+020 в Моргаушском и Ядринском районах Чувашской Республики, 
1 этап, км 16+800 − км 17+760 (кадастровый номер а.д. 21:17:000000:2382)</t>
  </si>
  <si>
    <t>Капитальный ремонт автомобильной дороги Ибреси – Березовка – Кудеиха, км 0+000 – км 10+000 в Ибресинском районе Чувашской Республики (I этап ПК60+00 – ПК100+12) (кадастровый номер а.д. 21:00:000000:261)</t>
  </si>
  <si>
    <t>Капитальный ремонт автомобильной дороги Чебоксары – Сурское (до границы Ульяновской области), км 41+330 – км 53+120 в Красноармейском районе Чувашской Республики (1 этап, км 48+125 − км 53+120) (кадастровый номер а.д. 21:00:000000:262)</t>
  </si>
  <si>
    <t>Капитальный ремонт автомобильной дороги Чебоксары – Сурское (до границы Ульяновской области), км 41+330 – км 53+120 в Красноармейском районе Чувашской Республики (2Б этап, км 44+000 – км 48+125) (кадастровый номер а.д. 21:00:000000:262)</t>
  </si>
  <si>
    <r>
      <t>Планируемые объемы работ по капитальному ремонту, 
ремонту и содержанию автомобильных дорог по выделенным на 2025 год</t>
    </r>
    <r>
      <rPr>
        <sz val="13"/>
        <rFont val="Times New Roman"/>
        <family val="1"/>
      </rPr>
      <t xml:space="preserve"> лимитам </t>
    </r>
  </si>
  <si>
    <t xml:space="preserve">Капитальный ремонт автомобильной дороги «Аниш» (а.д. «Волга» – Урмары – Канаш – Ибреси – Алатырь) на участке км 0+000 – км 15+000 в Урмарском районе Чувашской Республики (3 этап ПК101+80 − ПК149+39) (кадастровый номер а.д. 21:19:000000:123)  </t>
  </si>
  <si>
    <t xml:space="preserve">Р А С П Р Е Д Е Л Е Н И Е 
средств республиканского бюджета Чувашской Республики на капитальный ремонт и ремонт автомобильных дорог общего пользования регионального и межмуниципального значения и нанесение дорожной разметки на них,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дороги», на содержание, проведение диагностики и проектирование по капитальному ремонту и ремонту автомобильных дорог общего пользования регионального или межмуниципального значения на 2023 год и на плановый период 2024 и 2025 годов </t>
  </si>
  <si>
    <t>I. Капитальный ремонт и ремонт автомобильных дорог общего пользования регионального и межмуниципального значения и нанесение дорожной разметки на них,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</si>
  <si>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Наименование</t>
  </si>
  <si>
    <t>2023 год</t>
  </si>
  <si>
    <t xml:space="preserve">Предусмотрено проектом постановления </t>
  </si>
  <si>
    <t>*Предусмотрено СБР</t>
  </si>
  <si>
    <t>Отклонение</t>
  </si>
  <si>
    <t>Предусмотрено Законом о бюджете (СБР)</t>
  </si>
  <si>
    <t>Всего</t>
  </si>
  <si>
    <t>ФБ</t>
  </si>
  <si>
    <t>РБ</t>
  </si>
  <si>
    <t>Финансирование всего</t>
  </si>
  <si>
    <t>Финансирование по капремонту и ремонт</t>
  </si>
  <si>
    <t>Капитальный ремонт автодорог и искусственных дорожных сооружений</t>
  </si>
  <si>
    <t>Ремонт автодорог и искусственных дорожных сооружений</t>
  </si>
  <si>
    <t>2024 год</t>
  </si>
  <si>
    <t>2025 год</t>
  </si>
  <si>
    <t>от 22.12.2022   № 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</si>
</sst>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3"/>
      <name val="Arial Cyr"/>
      <charset val="204"/>
    </font>
    <font>
      <i/>
      <sz val="13"/>
      <name val="Times New Roman"/>
      <family val="1"/>
      <charset val="204"/>
    </font>
    <font>
      <sz val="10"/>
      <color rgb="FF000000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" fontId="26" fillId="0" borderId="16">
      <alignment horizontal="right" vertical="top" shrinkToFit="1"/>
    </xf>
  </cellStyleXfs>
  <cellXfs count="95">
    <xf numFmtId="0" fontId="0" fillId="0" borderId="0" xfId="0"/>
    <xf numFmtId="0" fontId="2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22" fillId="0" borderId="0" xfId="0" quotePrefix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top" wrapText="1"/>
    </xf>
    <xf numFmtId="166" fontId="22" fillId="0" borderId="0" xfId="0" applyNumberFormat="1" applyFont="1" applyFill="1" applyBorder="1" applyAlignment="1">
      <alignment vertical="center" wrapText="1"/>
    </xf>
    <xf numFmtId="0" fontId="22" fillId="0" borderId="0" xfId="0" quotePrefix="1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vertical="center" wrapText="1"/>
    </xf>
    <xf numFmtId="0" fontId="21" fillId="0" borderId="0" xfId="0" quotePrefix="1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vertical="top" wrapText="1"/>
    </xf>
    <xf numFmtId="166" fontId="22" fillId="0" borderId="0" xfId="0" applyNumberFormat="1" applyFont="1" applyFill="1" applyBorder="1" applyAlignment="1">
      <alignment vertical="top" wrapText="1"/>
    </xf>
    <xf numFmtId="0" fontId="21" fillId="0" borderId="0" xfId="0" quotePrefix="1" applyFont="1" applyFill="1" applyBorder="1" applyAlignment="1">
      <alignment horizontal="left" vertical="top" wrapText="1"/>
    </xf>
    <xf numFmtId="0" fontId="22" fillId="0" borderId="0" xfId="0" quotePrefix="1" applyFont="1" applyFill="1" applyBorder="1" applyAlignment="1">
      <alignment horizontal="left" vertical="top" wrapText="1"/>
    </xf>
    <xf numFmtId="165" fontId="21" fillId="0" borderId="0" xfId="0" applyNumberFormat="1" applyFont="1" applyFill="1" applyBorder="1" applyAlignment="1">
      <alignment horizontal="center" vertical="top" wrapText="1"/>
    </xf>
    <xf numFmtId="165" fontId="21" fillId="0" borderId="0" xfId="0" applyNumberFormat="1" applyFont="1" applyFill="1" applyBorder="1" applyAlignment="1">
      <alignment vertical="top" wrapText="1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wrapText="1"/>
    </xf>
    <xf numFmtId="166" fontId="21" fillId="0" borderId="0" xfId="0" applyNumberFormat="1" applyFont="1" applyFill="1" applyBorder="1" applyAlignment="1">
      <alignment horizontal="center" wrapText="1"/>
    </xf>
    <xf numFmtId="166" fontId="24" fillId="0" borderId="0" xfId="0" applyNumberFormat="1" applyFont="1" applyFill="1" applyAlignment="1">
      <alignment horizontal="center" vertical="top" wrapText="1"/>
    </xf>
    <xf numFmtId="166" fontId="22" fillId="0" borderId="0" xfId="0" applyNumberFormat="1" applyFont="1" applyFill="1" applyBorder="1" applyAlignment="1">
      <alignment horizontal="center" wrapText="1"/>
    </xf>
    <xf numFmtId="164" fontId="21" fillId="0" borderId="0" xfId="0" applyNumberFormat="1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 vertical="top" wrapText="1"/>
    </xf>
    <xf numFmtId="166" fontId="22" fillId="0" borderId="0" xfId="0" applyNumberFormat="1" applyFont="1" applyFill="1" applyBorder="1" applyAlignment="1">
      <alignment horizontal="right" vertical="top" wrapText="1"/>
    </xf>
    <xf numFmtId="166" fontId="21" fillId="0" borderId="0" xfId="0" quotePrefix="1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quotePrefix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vertical="top" wrapText="1"/>
    </xf>
    <xf numFmtId="4" fontId="21" fillId="0" borderId="0" xfId="0" applyNumberFormat="1" applyFont="1" applyFill="1" applyBorder="1" applyAlignment="1">
      <alignment vertical="top" wrapText="1"/>
    </xf>
    <xf numFmtId="166" fontId="22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12" xfId="0" quotePrefix="1" applyFont="1" applyFill="1" applyBorder="1" applyAlignment="1">
      <alignment horizontal="center" vertical="top" wrapText="1"/>
    </xf>
    <xf numFmtId="166" fontId="21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166" fontId="22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6" fontId="21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9" fillId="0" borderId="12" xfId="0" quotePrefix="1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24" borderId="12" xfId="0" applyFont="1" applyFill="1" applyBorder="1" applyAlignment="1">
      <alignment horizontal="center" vertical="top" wrapText="1"/>
    </xf>
    <xf numFmtId="0" fontId="22" fillId="24" borderId="12" xfId="0" applyFont="1" applyFill="1" applyBorder="1" applyAlignment="1">
      <alignment horizontal="left" vertical="top" wrapText="1"/>
    </xf>
    <xf numFmtId="166" fontId="22" fillId="0" borderId="12" xfId="0" applyNumberFormat="1" applyFont="1" applyFill="1" applyBorder="1" applyAlignment="1">
      <alignment horizontal="right" vertical="top" wrapText="1"/>
    </xf>
    <xf numFmtId="0" fontId="21" fillId="24" borderId="12" xfId="0" quotePrefix="1" applyFont="1" applyFill="1" applyBorder="1" applyAlignment="1">
      <alignment horizontal="left" vertical="top" wrapText="1"/>
    </xf>
    <xf numFmtId="166" fontId="21" fillId="0" borderId="12" xfId="0" applyNumberFormat="1" applyFont="1" applyFill="1" applyBorder="1" applyAlignment="1">
      <alignment horizontal="right" vertical="top" wrapText="1"/>
    </xf>
    <xf numFmtId="0" fontId="25" fillId="24" borderId="12" xfId="0" quotePrefix="1" applyFont="1" applyFill="1" applyBorder="1" applyAlignment="1">
      <alignment horizontal="left" vertical="top" wrapText="1"/>
    </xf>
    <xf numFmtId="166" fontId="25" fillId="0" borderId="12" xfId="0" applyNumberFormat="1" applyFont="1" applyFill="1" applyBorder="1" applyAlignment="1">
      <alignment horizontal="right" vertical="top" wrapText="1"/>
    </xf>
    <xf numFmtId="0" fontId="22" fillId="24" borderId="12" xfId="0" quotePrefix="1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4" fontId="22" fillId="0" borderId="12" xfId="0" applyNumberFormat="1" applyFont="1" applyFill="1" applyBorder="1" applyAlignment="1">
      <alignment horizontal="right" vertical="top" wrapText="1"/>
    </xf>
    <xf numFmtId="166" fontId="21" fillId="25" borderId="0" xfId="0" applyNumberFormat="1" applyFont="1" applyFill="1" applyBorder="1" applyAlignment="1">
      <alignment horizontal="center" vertical="top" wrapText="1"/>
    </xf>
    <xf numFmtId="0" fontId="21" fillId="25" borderId="0" xfId="0" applyFont="1" applyFill="1" applyBorder="1" applyAlignment="1">
      <alignment horizontal="center" vertical="top" wrapText="1"/>
    </xf>
    <xf numFmtId="0" fontId="21" fillId="25" borderId="0" xfId="0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horizontal="center" vertical="top" wrapText="1"/>
    </xf>
    <xf numFmtId="166" fontId="22" fillId="0" borderId="0" xfId="0" applyNumberFormat="1" applyFont="1" applyFill="1" applyBorder="1" applyAlignment="1">
      <alignment horizontal="center" vertical="top" wrapText="1"/>
    </xf>
    <xf numFmtId="165" fontId="21" fillId="0" borderId="15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0" quotePrefix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12" xfId="0" quotePrefix="1" applyFont="1" applyFill="1" applyBorder="1" applyAlignment="1">
      <alignment horizontal="center" vertical="center" wrapText="1"/>
    </xf>
    <xf numFmtId="0" fontId="21" fillId="0" borderId="10" xfId="0" quotePrefix="1" applyFont="1" applyFill="1" applyBorder="1" applyAlignment="1">
      <alignment horizontal="center" vertical="center" wrapText="1"/>
    </xf>
    <xf numFmtId="0" fontId="21" fillId="0" borderId="12" xfId="0" quotePrefix="1" applyFont="1" applyFill="1" applyBorder="1" applyAlignment="1">
      <alignment horizontal="center" vertical="top" wrapText="1"/>
    </xf>
    <xf numFmtId="0" fontId="21" fillId="0" borderId="11" xfId="0" quotePrefix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top" wrapText="1"/>
    </xf>
    <xf numFmtId="166" fontId="21" fillId="0" borderId="0" xfId="0" applyNumberFormat="1" applyFont="1" applyFill="1" applyBorder="1" applyAlignment="1">
      <alignment horizontal="center" vertical="top" wrapText="1"/>
    </xf>
    <xf numFmtId="166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13" xfId="0" quotePrefix="1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4" xfId="0" quotePrefix="1" applyFont="1" applyFill="1" applyBorder="1" applyAlignment="1">
      <alignment horizontal="center" vertical="top" wrapText="1"/>
    </xf>
    <xf numFmtId="0" fontId="21" fillId="0" borderId="0" xfId="0" quotePrefix="1" applyFont="1" applyFill="1" applyBorder="1" applyAlignment="1">
      <alignment horizontal="center" vertical="top" wrapText="1"/>
    </xf>
    <xf numFmtId="0" fontId="21" fillId="0" borderId="15" xfId="0" quotePrefix="1" applyFont="1" applyFill="1" applyBorder="1" applyAlignment="1">
      <alignment horizontal="center" vertical="top" wrapText="1"/>
    </xf>
    <xf numFmtId="166" fontId="22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quotePrefix="1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2" xfId="0" quotePrefix="1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78" xfId="42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trans-45/AppData/Local/Microsoft/Windows/Temporary%20Internet%20Files/Content.IE5/5KM688LP/&#1082;&#1072;&#1087;_&#1088;&#1077;&#1084;_&#1080;_&#1088;&#1077;&#1084;_&#1085;&#1072;_2023_2025_&#1075;.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08.2022 "/>
      <sheetName val="СБР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0"/>
  <sheetViews>
    <sheetView tabSelected="1" view="pageBreakPreview" topLeftCell="B1" zoomScale="85" zoomScaleSheetLayoutView="85" workbookViewId="0">
      <selection activeCell="B10" sqref="B10:AF10"/>
    </sheetView>
  </sheetViews>
  <sheetFormatPr defaultColWidth="9.28515625" defaultRowHeight="16.5" x14ac:dyDescent="0.25"/>
  <cols>
    <col min="1" max="1" width="4.5703125" style="42" hidden="1" customWidth="1"/>
    <col min="2" max="2" width="5" style="36" customWidth="1"/>
    <col min="3" max="3" width="48" style="32" customWidth="1"/>
    <col min="4" max="4" width="8.5703125" style="36" hidden="1" customWidth="1"/>
    <col min="5" max="5" width="8.42578125" style="36" hidden="1" customWidth="1"/>
    <col min="6" max="6" width="13" style="36" hidden="1" customWidth="1"/>
    <col min="7" max="7" width="9.28515625" style="36" hidden="1" customWidth="1"/>
    <col min="8" max="8" width="8.5703125" style="36" hidden="1" customWidth="1"/>
    <col min="9" max="9" width="4.5703125" style="36" hidden="1" customWidth="1"/>
    <col min="10" max="10" width="11.28515625" style="36" hidden="1" customWidth="1"/>
    <col min="11" max="11" width="12.7109375" style="36" hidden="1" customWidth="1"/>
    <col min="12" max="12" width="19.28515625" style="36" hidden="1" customWidth="1"/>
    <col min="13" max="13" width="20" style="36" hidden="1" customWidth="1"/>
    <col min="14" max="14" width="18.42578125" style="36" hidden="1" customWidth="1"/>
    <col min="15" max="15" width="10.28515625" style="36" customWidth="1"/>
    <col min="16" max="16" width="10.7109375" style="36" customWidth="1"/>
    <col min="17" max="17" width="20.42578125" style="36" customWidth="1"/>
    <col min="18" max="18" width="20.5703125" style="3" bestFit="1" customWidth="1"/>
    <col min="19" max="19" width="19.140625" style="3" hidden="1" customWidth="1"/>
    <col min="20" max="20" width="18.42578125" style="3" customWidth="1"/>
    <col min="21" max="21" width="10.28515625" style="36" customWidth="1"/>
    <col min="22" max="22" width="12.28515625" style="36" customWidth="1"/>
    <col min="23" max="23" width="20.5703125" style="36" bestFit="1" customWidth="1"/>
    <col min="24" max="24" width="19.28515625" style="3" customWidth="1"/>
    <col min="25" max="25" width="19.28515625" style="3" hidden="1" customWidth="1"/>
    <col min="26" max="26" width="18.42578125" style="3" customWidth="1"/>
    <col min="27" max="27" width="10.28515625" style="36" customWidth="1"/>
    <col min="28" max="28" width="12.28515625" style="36" customWidth="1"/>
    <col min="29" max="29" width="18.7109375" style="36" customWidth="1"/>
    <col min="30" max="30" width="19.28515625" style="3" customWidth="1"/>
    <col min="31" max="31" width="19.28515625" style="3" hidden="1" customWidth="1"/>
    <col min="32" max="32" width="18.42578125" style="3" customWidth="1"/>
    <col min="33" max="33" width="20.7109375" style="10" customWidth="1"/>
    <col min="34" max="34" width="20.7109375" style="17" customWidth="1"/>
    <col min="35" max="35" width="20.28515625" style="2" customWidth="1"/>
    <col min="36" max="36" width="20.28515625" style="3" customWidth="1"/>
    <col min="37" max="41" width="13.7109375" style="3" customWidth="1"/>
    <col min="42" max="16384" width="9.28515625" style="3"/>
  </cols>
  <sheetData>
    <row r="1" spans="1:42" ht="17.25" customHeight="1" x14ac:dyDescent="0.25">
      <c r="L1" s="3"/>
      <c r="M1" s="3"/>
      <c r="N1" s="3"/>
      <c r="O1" s="3"/>
      <c r="P1" s="3"/>
      <c r="Q1" s="3"/>
      <c r="U1" s="3"/>
      <c r="V1" s="3"/>
      <c r="W1" s="3"/>
      <c r="AA1" s="3"/>
      <c r="AB1" s="3"/>
      <c r="AC1" s="88"/>
      <c r="AD1" s="88"/>
      <c r="AE1" s="88"/>
      <c r="AF1" s="88"/>
      <c r="AG1" s="39"/>
    </row>
    <row r="2" spans="1:42" ht="17.25" customHeight="1" x14ac:dyDescent="0.25">
      <c r="L2" s="3"/>
      <c r="M2" s="3"/>
      <c r="N2" s="3"/>
      <c r="O2" s="3"/>
      <c r="P2" s="3"/>
      <c r="Q2" s="3"/>
      <c r="U2" s="3"/>
      <c r="V2" s="3"/>
      <c r="W2" s="3"/>
      <c r="AA2" s="3"/>
      <c r="AB2" s="3"/>
      <c r="AC2" s="88"/>
      <c r="AD2" s="88"/>
      <c r="AE2" s="88"/>
      <c r="AF2" s="88"/>
      <c r="AG2" s="39"/>
    </row>
    <row r="3" spans="1:42" ht="17.25" customHeight="1" x14ac:dyDescent="0.25">
      <c r="L3" s="3"/>
      <c r="M3" s="3"/>
      <c r="N3" s="3"/>
      <c r="O3" s="3"/>
      <c r="P3" s="3"/>
      <c r="Q3" s="3"/>
      <c r="U3" s="3"/>
      <c r="V3" s="3"/>
      <c r="W3" s="3"/>
      <c r="AA3" s="3"/>
      <c r="AB3" s="3"/>
      <c r="AC3" s="88"/>
      <c r="AD3" s="88"/>
      <c r="AE3" s="88"/>
      <c r="AF3" s="88"/>
      <c r="AG3" s="39"/>
    </row>
    <row r="4" spans="1:42" ht="17.25" customHeight="1" x14ac:dyDescent="0.25">
      <c r="L4" s="3"/>
      <c r="M4" s="3"/>
      <c r="N4" s="3"/>
      <c r="O4" s="3"/>
      <c r="P4" s="3"/>
      <c r="Q4" s="3"/>
      <c r="U4" s="3"/>
      <c r="V4" s="3"/>
      <c r="W4" s="3"/>
      <c r="X4" s="33"/>
      <c r="Y4" s="33"/>
      <c r="Z4" s="33"/>
      <c r="AA4" s="3"/>
      <c r="AB4" s="3"/>
      <c r="AC4" s="88"/>
      <c r="AD4" s="89"/>
      <c r="AE4" s="89"/>
      <c r="AF4" s="89"/>
      <c r="AG4" s="19"/>
    </row>
    <row r="5" spans="1:42" ht="17.25" customHeight="1" x14ac:dyDescent="0.25">
      <c r="L5" s="3"/>
      <c r="M5" s="3"/>
      <c r="N5" s="3"/>
      <c r="O5" s="3"/>
      <c r="P5" s="3"/>
      <c r="Q5" s="3"/>
      <c r="U5" s="3"/>
      <c r="V5" s="3"/>
      <c r="X5" s="36"/>
      <c r="Y5" s="45"/>
      <c r="Z5" s="36"/>
      <c r="AA5" s="3"/>
      <c r="AB5" s="3"/>
      <c r="AD5" s="36"/>
      <c r="AE5" s="45"/>
      <c r="AF5" s="36"/>
      <c r="AG5" s="39"/>
    </row>
    <row r="6" spans="1:42" ht="16.5" customHeight="1" x14ac:dyDescent="0.25">
      <c r="L6" s="3"/>
      <c r="M6" s="3"/>
      <c r="N6" s="3"/>
      <c r="O6" s="3"/>
      <c r="P6" s="3"/>
      <c r="Q6" s="3"/>
      <c r="U6" s="3"/>
      <c r="V6" s="3"/>
      <c r="W6" s="3"/>
      <c r="AA6" s="3"/>
      <c r="AB6" s="3"/>
      <c r="AC6" s="88" t="s">
        <v>10</v>
      </c>
      <c r="AD6" s="88"/>
      <c r="AE6" s="88"/>
      <c r="AF6" s="88"/>
      <c r="AG6" s="39"/>
    </row>
    <row r="7" spans="1:42" ht="16.5" customHeight="1" x14ac:dyDescent="0.25">
      <c r="L7" s="3"/>
      <c r="M7" s="3"/>
      <c r="N7" s="3"/>
      <c r="O7" s="3"/>
      <c r="P7" s="3"/>
      <c r="Q7" s="3"/>
      <c r="U7" s="3"/>
      <c r="V7" s="3"/>
      <c r="W7" s="3"/>
      <c r="AA7" s="3"/>
      <c r="AB7" s="3"/>
      <c r="AC7" s="88" t="s">
        <v>11</v>
      </c>
      <c r="AD7" s="88"/>
      <c r="AE7" s="88"/>
      <c r="AF7" s="88"/>
      <c r="AG7" s="39"/>
    </row>
    <row r="8" spans="1:42" ht="19.5" customHeight="1" x14ac:dyDescent="0.25">
      <c r="L8" s="3"/>
      <c r="M8" s="3"/>
      <c r="N8" s="10"/>
      <c r="O8" s="3"/>
      <c r="P8" s="3"/>
      <c r="Q8" s="3"/>
      <c r="U8" s="3"/>
      <c r="V8" s="3"/>
      <c r="W8" s="3"/>
      <c r="AA8" s="3"/>
      <c r="AB8" s="3"/>
      <c r="AC8" s="88" t="s">
        <v>37</v>
      </c>
      <c r="AD8" s="88"/>
      <c r="AE8" s="88"/>
      <c r="AF8" s="88"/>
      <c r="AG8" s="39"/>
    </row>
    <row r="9" spans="1:42" ht="25.5" customHeight="1" x14ac:dyDescent="0.25">
      <c r="L9" s="3"/>
      <c r="M9" s="3"/>
      <c r="N9" s="10"/>
      <c r="O9" s="3"/>
      <c r="P9" s="3"/>
      <c r="Q9" s="3"/>
      <c r="U9" s="3"/>
      <c r="V9" s="3"/>
      <c r="W9" s="3"/>
      <c r="X9" s="33"/>
      <c r="Y9" s="33"/>
      <c r="Z9" s="33"/>
      <c r="AA9" s="3"/>
      <c r="AB9" s="3"/>
      <c r="AC9" s="88" t="s">
        <v>116</v>
      </c>
      <c r="AD9" s="89"/>
      <c r="AE9" s="89"/>
      <c r="AF9" s="89"/>
      <c r="AG9" s="19"/>
    </row>
    <row r="10" spans="1:42" ht="71.25" customHeight="1" x14ac:dyDescent="0.25">
      <c r="A10" s="3" t="s">
        <v>23</v>
      </c>
      <c r="B10" s="73" t="s">
        <v>99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87"/>
      <c r="AH10" s="87"/>
    </row>
    <row r="11" spans="1:42" ht="18.75" customHeight="1" x14ac:dyDescent="0.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H11" s="20"/>
      <c r="AI11" s="21"/>
      <c r="AJ11" s="22"/>
      <c r="AK11" s="22"/>
    </row>
    <row r="12" spans="1:42" ht="17.649999999999999" hidden="1" customHeight="1" x14ac:dyDescent="0.25">
      <c r="C12" s="23"/>
      <c r="D12" s="35"/>
      <c r="E12" s="35"/>
      <c r="F12" s="35"/>
      <c r="I12" s="35"/>
      <c r="J12" s="35"/>
      <c r="K12" s="35"/>
      <c r="L12" s="35"/>
      <c r="M12" s="35"/>
      <c r="N12" s="35">
        <f>N11-N17</f>
        <v>-1663939.3089999999</v>
      </c>
      <c r="O12" s="35"/>
      <c r="P12" s="35"/>
      <c r="Q12" s="35"/>
      <c r="R12" s="42"/>
      <c r="S12" s="47"/>
      <c r="T12" s="35">
        <f>T11-T17</f>
        <v>-1706013.0300000003</v>
      </c>
      <c r="U12" s="35"/>
      <c r="V12" s="35"/>
      <c r="W12" s="35"/>
      <c r="X12" s="42"/>
      <c r="Y12" s="47"/>
      <c r="Z12" s="35">
        <f>Z11-Z17</f>
        <v>-2165630.7000000002</v>
      </c>
      <c r="AA12" s="35"/>
      <c r="AB12" s="35"/>
      <c r="AC12" s="35"/>
      <c r="AD12" s="42"/>
      <c r="AE12" s="47"/>
      <c r="AF12" s="35">
        <f>AF11-AF17</f>
        <v>-2002592.5</v>
      </c>
      <c r="AG12" s="35"/>
      <c r="AH12" s="20"/>
      <c r="AI12" s="21"/>
      <c r="AJ12" s="22"/>
      <c r="AK12" s="22"/>
    </row>
    <row r="13" spans="1:42" s="36" customFormat="1" ht="51.75" customHeight="1" x14ac:dyDescent="0.25">
      <c r="A13" s="82" t="s">
        <v>0</v>
      </c>
      <c r="B13" s="84" t="s">
        <v>0</v>
      </c>
      <c r="C13" s="70" t="s">
        <v>46</v>
      </c>
      <c r="D13" s="76" t="s">
        <v>7</v>
      </c>
      <c r="E13" s="76"/>
      <c r="F13" s="76"/>
      <c r="G13" s="76" t="s">
        <v>8</v>
      </c>
      <c r="H13" s="76"/>
      <c r="I13" s="76"/>
      <c r="J13" s="74" t="s">
        <v>79</v>
      </c>
      <c r="K13" s="74"/>
      <c r="L13" s="74"/>
      <c r="M13" s="74"/>
      <c r="N13" s="74"/>
      <c r="O13" s="77" t="s">
        <v>80</v>
      </c>
      <c r="P13" s="74"/>
      <c r="Q13" s="74"/>
      <c r="R13" s="74"/>
      <c r="S13" s="75"/>
      <c r="T13" s="75"/>
      <c r="U13" s="74" t="s">
        <v>81</v>
      </c>
      <c r="V13" s="74"/>
      <c r="W13" s="74"/>
      <c r="X13" s="74"/>
      <c r="Y13" s="75"/>
      <c r="Z13" s="75"/>
      <c r="AA13" s="74" t="s">
        <v>97</v>
      </c>
      <c r="AB13" s="74"/>
      <c r="AC13" s="74"/>
      <c r="AD13" s="74"/>
      <c r="AE13" s="75"/>
      <c r="AF13" s="75"/>
      <c r="AG13" s="8"/>
      <c r="AH13" s="8"/>
      <c r="AI13" s="2"/>
      <c r="AJ13" s="3"/>
      <c r="AK13" s="3"/>
      <c r="AL13" s="3"/>
      <c r="AM13" s="3"/>
      <c r="AN13" s="3"/>
      <c r="AO13" s="3"/>
      <c r="AP13" s="3"/>
    </row>
    <row r="14" spans="1:42" s="36" customFormat="1" ht="18" customHeight="1" x14ac:dyDescent="0.25">
      <c r="A14" s="83"/>
      <c r="B14" s="85"/>
      <c r="C14" s="70"/>
      <c r="D14" s="37" t="s">
        <v>1</v>
      </c>
      <c r="E14" s="37" t="s">
        <v>9</v>
      </c>
      <c r="F14" s="38" t="s">
        <v>2</v>
      </c>
      <c r="G14" s="37" t="s">
        <v>1</v>
      </c>
      <c r="H14" s="37" t="s">
        <v>9</v>
      </c>
      <c r="I14" s="38" t="s">
        <v>2</v>
      </c>
      <c r="J14" s="70" t="s">
        <v>1</v>
      </c>
      <c r="K14" s="70" t="s">
        <v>9</v>
      </c>
      <c r="L14" s="70" t="s">
        <v>40</v>
      </c>
      <c r="M14" s="70" t="s">
        <v>24</v>
      </c>
      <c r="N14" s="76"/>
      <c r="O14" s="78" t="s">
        <v>1</v>
      </c>
      <c r="P14" s="70" t="s">
        <v>9</v>
      </c>
      <c r="Q14" s="70" t="s">
        <v>40</v>
      </c>
      <c r="R14" s="70" t="s">
        <v>24</v>
      </c>
      <c r="S14" s="71"/>
      <c r="T14" s="72"/>
      <c r="U14" s="70" t="s">
        <v>1</v>
      </c>
      <c r="V14" s="70" t="s">
        <v>9</v>
      </c>
      <c r="W14" s="70" t="s">
        <v>40</v>
      </c>
      <c r="X14" s="70" t="s">
        <v>24</v>
      </c>
      <c r="Y14" s="71"/>
      <c r="Z14" s="72"/>
      <c r="AA14" s="70" t="s">
        <v>1</v>
      </c>
      <c r="AB14" s="70" t="s">
        <v>9</v>
      </c>
      <c r="AC14" s="70" t="s">
        <v>40</v>
      </c>
      <c r="AD14" s="70" t="s">
        <v>24</v>
      </c>
      <c r="AE14" s="71"/>
      <c r="AF14" s="72"/>
      <c r="AG14" s="24"/>
      <c r="AH14" s="41"/>
      <c r="AI14" s="18"/>
    </row>
    <row r="15" spans="1:42" s="36" customFormat="1" ht="84" customHeight="1" x14ac:dyDescent="0.25">
      <c r="B15" s="86"/>
      <c r="C15" s="70"/>
      <c r="D15" s="37"/>
      <c r="E15" s="37"/>
      <c r="F15" s="38"/>
      <c r="G15" s="37"/>
      <c r="H15" s="37"/>
      <c r="I15" s="38"/>
      <c r="J15" s="70"/>
      <c r="K15" s="70"/>
      <c r="L15" s="76"/>
      <c r="M15" s="38" t="s">
        <v>61</v>
      </c>
      <c r="N15" s="37" t="s">
        <v>25</v>
      </c>
      <c r="O15" s="78"/>
      <c r="P15" s="70"/>
      <c r="Q15" s="76"/>
      <c r="R15" s="37" t="s">
        <v>61</v>
      </c>
      <c r="S15" s="25"/>
      <c r="T15" s="25" t="s">
        <v>25</v>
      </c>
      <c r="U15" s="70"/>
      <c r="V15" s="70"/>
      <c r="W15" s="76"/>
      <c r="X15" s="37" t="s">
        <v>61</v>
      </c>
      <c r="Y15" s="25"/>
      <c r="Z15" s="25" t="s">
        <v>25</v>
      </c>
      <c r="AA15" s="70"/>
      <c r="AB15" s="70"/>
      <c r="AC15" s="76"/>
      <c r="AD15" s="37" t="s">
        <v>61</v>
      </c>
      <c r="AE15" s="25"/>
      <c r="AF15" s="25" t="s">
        <v>25</v>
      </c>
      <c r="AG15" s="41"/>
      <c r="AH15" s="41"/>
      <c r="AI15" s="18"/>
    </row>
    <row r="16" spans="1:42" s="36" customFormat="1" x14ac:dyDescent="0.25">
      <c r="B16" s="26">
        <v>1</v>
      </c>
      <c r="C16" s="37">
        <v>2</v>
      </c>
      <c r="D16" s="37"/>
      <c r="E16" s="37"/>
      <c r="F16" s="37"/>
      <c r="G16" s="37"/>
      <c r="H16" s="37"/>
      <c r="I16" s="37"/>
      <c r="J16" s="37">
        <v>3</v>
      </c>
      <c r="K16" s="37">
        <v>4</v>
      </c>
      <c r="L16" s="37">
        <v>5</v>
      </c>
      <c r="M16" s="37">
        <v>6</v>
      </c>
      <c r="N16" s="37">
        <v>7</v>
      </c>
      <c r="O16" s="37">
        <v>3</v>
      </c>
      <c r="P16" s="37">
        <v>4</v>
      </c>
      <c r="Q16" s="37">
        <v>5</v>
      </c>
      <c r="R16" s="37">
        <v>6</v>
      </c>
      <c r="S16" s="43"/>
      <c r="T16" s="37">
        <v>7</v>
      </c>
      <c r="U16" s="37">
        <v>8</v>
      </c>
      <c r="V16" s="37">
        <v>9</v>
      </c>
      <c r="W16" s="37">
        <v>10</v>
      </c>
      <c r="X16" s="37">
        <v>11</v>
      </c>
      <c r="Y16" s="25"/>
      <c r="Z16" s="25">
        <v>12</v>
      </c>
      <c r="AA16" s="37">
        <v>13</v>
      </c>
      <c r="AB16" s="37">
        <v>14</v>
      </c>
      <c r="AC16" s="37">
        <v>15</v>
      </c>
      <c r="AD16" s="37">
        <v>16</v>
      </c>
      <c r="AE16" s="25"/>
      <c r="AF16" s="25">
        <v>17</v>
      </c>
      <c r="AG16" s="41"/>
      <c r="AH16" s="41"/>
      <c r="AI16" s="27"/>
    </row>
    <row r="17" spans="1:39" s="28" customFormat="1" ht="39" customHeight="1" x14ac:dyDescent="0.2">
      <c r="A17" s="40"/>
      <c r="C17" s="29" t="s">
        <v>82</v>
      </c>
      <c r="D17" s="6" t="e">
        <f>D19+#REF!+D64</f>
        <v>#REF!</v>
      </c>
      <c r="E17" s="6" t="e">
        <f>E19+#REF!+E64</f>
        <v>#REF!</v>
      </c>
      <c r="F17" s="6" t="e">
        <f>F19+#REF!+F64</f>
        <v>#REF!</v>
      </c>
      <c r="G17" s="6" t="e">
        <f>G19+#REF!+G64</f>
        <v>#REF!</v>
      </c>
      <c r="H17" s="6" t="e">
        <f>H19+#REF!+H64</f>
        <v>#REF!</v>
      </c>
      <c r="I17" s="6" t="e">
        <f>I19+#REF!+I64</f>
        <v>#REF!</v>
      </c>
      <c r="J17" s="16">
        <f t="shared" ref="J17:AF17" si="0">J19+J62+J70</f>
        <v>0</v>
      </c>
      <c r="K17" s="16">
        <f t="shared" si="0"/>
        <v>0</v>
      </c>
      <c r="L17" s="16">
        <f t="shared" si="0"/>
        <v>1964762.254</v>
      </c>
      <c r="M17" s="16">
        <f t="shared" si="0"/>
        <v>300822.94499999995</v>
      </c>
      <c r="N17" s="16">
        <f t="shared" si="0"/>
        <v>1663939.3089999999</v>
      </c>
      <c r="O17" s="16">
        <f t="shared" si="0"/>
        <v>60.08</v>
      </c>
      <c r="P17" s="16">
        <f t="shared" si="0"/>
        <v>538.77</v>
      </c>
      <c r="Q17" s="16">
        <f t="shared" si="0"/>
        <v>2931893.9300000006</v>
      </c>
      <c r="R17" s="16">
        <f t="shared" si="0"/>
        <v>1225880.8999999999</v>
      </c>
      <c r="S17" s="16">
        <f>R17/Q17*100</f>
        <v>41.811911660801442</v>
      </c>
      <c r="T17" s="16">
        <f t="shared" si="0"/>
        <v>1706013.0300000003</v>
      </c>
      <c r="U17" s="16">
        <f t="shared" si="0"/>
        <v>35.736000000000004</v>
      </c>
      <c r="V17" s="16">
        <f t="shared" si="0"/>
        <v>173.04999999999998</v>
      </c>
      <c r="W17" s="16">
        <f t="shared" si="0"/>
        <v>3609575.3</v>
      </c>
      <c r="X17" s="16">
        <f t="shared" si="0"/>
        <v>1443944.6</v>
      </c>
      <c r="Y17" s="16">
        <f>X17/W17*100</f>
        <v>40.00317156425578</v>
      </c>
      <c r="Z17" s="16">
        <f t="shared" si="0"/>
        <v>2165630.7000000002</v>
      </c>
      <c r="AA17" s="16">
        <f t="shared" si="0"/>
        <v>7.18</v>
      </c>
      <c r="AB17" s="16">
        <f t="shared" si="0"/>
        <v>0</v>
      </c>
      <c r="AC17" s="16">
        <f t="shared" si="0"/>
        <v>2002592.5</v>
      </c>
      <c r="AD17" s="16">
        <f t="shared" si="0"/>
        <v>0</v>
      </c>
      <c r="AE17" s="16">
        <f>AD17/AC17*100</f>
        <v>0</v>
      </c>
      <c r="AF17" s="16">
        <f t="shared" si="0"/>
        <v>2002592.5</v>
      </c>
      <c r="AG17" s="41"/>
      <c r="AH17" s="41"/>
    </row>
    <row r="18" spans="1:39" s="36" customFormat="1" ht="39.75" customHeight="1" x14ac:dyDescent="0.25">
      <c r="B18" s="81" t="s">
        <v>100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41"/>
      <c r="AH18" s="18"/>
      <c r="AI18" s="27"/>
    </row>
    <row r="19" spans="1:39" s="42" customFormat="1" ht="34.5" customHeight="1" x14ac:dyDescent="0.25">
      <c r="A19" s="42" t="s">
        <v>3</v>
      </c>
      <c r="B19" s="4"/>
      <c r="C19" s="5" t="s">
        <v>31</v>
      </c>
      <c r="D19" s="6" t="e">
        <f>#REF!+#REF!</f>
        <v>#REF!</v>
      </c>
      <c r="E19" s="6" t="e">
        <f>#REF!+#REF!</f>
        <v>#REF!</v>
      </c>
      <c r="F19" s="6" t="e">
        <f>#REF!+#REF!</f>
        <v>#REF!</v>
      </c>
      <c r="G19" s="6" t="e">
        <f>#REF!+#REF!</f>
        <v>#REF!</v>
      </c>
      <c r="H19" s="6" t="e">
        <f>#REF!+#REF!</f>
        <v>#REF!</v>
      </c>
      <c r="I19" s="6" t="e">
        <f>#REF!+#REF!</f>
        <v>#REF!</v>
      </c>
      <c r="J19" s="35">
        <f t="shared" ref="J19:AF19" si="1">J21+J46+J48+J53+J60</f>
        <v>0</v>
      </c>
      <c r="K19" s="35">
        <f t="shared" si="1"/>
        <v>0</v>
      </c>
      <c r="L19" s="35">
        <f t="shared" si="1"/>
        <v>1138738.774</v>
      </c>
      <c r="M19" s="35">
        <f t="shared" si="1"/>
        <v>300822.94499999995</v>
      </c>
      <c r="N19" s="35">
        <f t="shared" si="1"/>
        <v>837915.82900000003</v>
      </c>
      <c r="O19" s="44">
        <f t="shared" si="1"/>
        <v>55.896000000000001</v>
      </c>
      <c r="P19" s="44">
        <f t="shared" si="1"/>
        <v>538.77</v>
      </c>
      <c r="Q19" s="44">
        <f t="shared" si="1"/>
        <v>1745887.2390000003</v>
      </c>
      <c r="R19" s="44">
        <f t="shared" si="1"/>
        <v>1096725.8999999999</v>
      </c>
      <c r="S19" s="44">
        <f>R19/Q19*100</f>
        <v>62.817682350904668</v>
      </c>
      <c r="T19" s="44">
        <f t="shared" si="1"/>
        <v>649161.33900000015</v>
      </c>
      <c r="U19" s="44">
        <f t="shared" si="1"/>
        <v>35.736000000000004</v>
      </c>
      <c r="V19" s="44">
        <f t="shared" si="1"/>
        <v>173.04999999999998</v>
      </c>
      <c r="W19" s="44">
        <f t="shared" si="1"/>
        <v>2396575.2990000001</v>
      </c>
      <c r="X19" s="44">
        <f t="shared" si="1"/>
        <v>1443944.6</v>
      </c>
      <c r="Y19" s="44">
        <f>X19/W19*100</f>
        <v>60.250333073302698</v>
      </c>
      <c r="Z19" s="44">
        <f t="shared" si="1"/>
        <v>952630.69900000002</v>
      </c>
      <c r="AA19" s="44">
        <f t="shared" si="1"/>
        <v>7.18</v>
      </c>
      <c r="AB19" s="44">
        <f t="shared" si="1"/>
        <v>0</v>
      </c>
      <c r="AC19" s="44">
        <f t="shared" si="1"/>
        <v>789592.5</v>
      </c>
      <c r="AD19" s="44">
        <f t="shared" si="1"/>
        <v>0</v>
      </c>
      <c r="AE19" s="44">
        <f>AD19/AC19*100</f>
        <v>0</v>
      </c>
      <c r="AF19" s="44">
        <f t="shared" si="1"/>
        <v>789592.5</v>
      </c>
      <c r="AG19" s="39"/>
      <c r="AH19" s="18"/>
      <c r="AI19" s="30"/>
    </row>
    <row r="20" spans="1:39" s="42" customFormat="1" ht="15.75" customHeight="1" x14ac:dyDescent="0.25">
      <c r="B20" s="36"/>
      <c r="C20" s="7" t="s">
        <v>4</v>
      </c>
      <c r="D20" s="8"/>
      <c r="E20" s="8"/>
      <c r="F20" s="6"/>
      <c r="G20" s="8"/>
      <c r="H20" s="8"/>
      <c r="I20" s="6"/>
      <c r="J20" s="35"/>
      <c r="K20" s="35"/>
      <c r="L20" s="35"/>
      <c r="M20" s="35"/>
      <c r="N20" s="35"/>
      <c r="O20" s="35"/>
      <c r="P20" s="35"/>
      <c r="Q20" s="35"/>
      <c r="R20" s="35"/>
      <c r="S20" s="44"/>
      <c r="T20" s="35"/>
      <c r="U20" s="35"/>
      <c r="V20" s="35"/>
      <c r="W20" s="35"/>
      <c r="X20" s="35"/>
      <c r="Y20" s="44"/>
      <c r="Z20" s="35"/>
      <c r="AA20" s="35"/>
      <c r="AB20" s="35"/>
      <c r="AC20" s="35"/>
      <c r="AD20" s="35"/>
      <c r="AE20" s="44"/>
      <c r="AF20" s="35"/>
      <c r="AG20" s="39"/>
      <c r="AH20" s="18"/>
      <c r="AI20" s="30"/>
    </row>
    <row r="21" spans="1:39" s="42" customFormat="1" ht="37.5" customHeight="1" x14ac:dyDescent="0.25">
      <c r="B21" s="36"/>
      <c r="C21" s="5" t="s">
        <v>27</v>
      </c>
      <c r="D21" s="8"/>
      <c r="E21" s="8"/>
      <c r="F21" s="6"/>
      <c r="G21" s="8"/>
      <c r="H21" s="8"/>
      <c r="I21" s="6"/>
      <c r="J21" s="35">
        <f t="shared" ref="J21:AF21" si="2">SUM(J22:J45)</f>
        <v>0</v>
      </c>
      <c r="K21" s="35">
        <f t="shared" si="2"/>
        <v>0</v>
      </c>
      <c r="L21" s="35">
        <f t="shared" si="2"/>
        <v>1054218.7009999999</v>
      </c>
      <c r="M21" s="35">
        <f t="shared" si="2"/>
        <v>286223.31699999998</v>
      </c>
      <c r="N21" s="35">
        <f t="shared" si="2"/>
        <v>767995.38399999996</v>
      </c>
      <c r="O21" s="44">
        <f t="shared" si="2"/>
        <v>50.596000000000004</v>
      </c>
      <c r="P21" s="44">
        <f t="shared" si="2"/>
        <v>0</v>
      </c>
      <c r="Q21" s="44">
        <f t="shared" si="2"/>
        <v>1166966.0860000001</v>
      </c>
      <c r="R21" s="44">
        <f t="shared" si="2"/>
        <v>544521.52899999998</v>
      </c>
      <c r="S21" s="44">
        <f>R21/Q21*100</f>
        <v>46.661298518661489</v>
      </c>
      <c r="T21" s="44">
        <f t="shared" si="2"/>
        <v>622444.55700000003</v>
      </c>
      <c r="U21" s="44">
        <f t="shared" si="2"/>
        <v>24.038</v>
      </c>
      <c r="V21" s="44">
        <f t="shared" si="2"/>
        <v>0</v>
      </c>
      <c r="W21" s="44">
        <f t="shared" si="2"/>
        <v>1933884.885</v>
      </c>
      <c r="X21" s="44">
        <f t="shared" si="2"/>
        <v>1077897.4030000002</v>
      </c>
      <c r="Y21" s="44">
        <f>X21/W21*100</f>
        <v>55.737412881222248</v>
      </c>
      <c r="Z21" s="44">
        <f t="shared" si="2"/>
        <v>855987.48199999996</v>
      </c>
      <c r="AA21" s="44">
        <f t="shared" si="2"/>
        <v>7.18</v>
      </c>
      <c r="AB21" s="44">
        <f t="shared" si="2"/>
        <v>0</v>
      </c>
      <c r="AC21" s="44">
        <f t="shared" si="2"/>
        <v>789592.5</v>
      </c>
      <c r="AD21" s="44">
        <f t="shared" si="2"/>
        <v>0</v>
      </c>
      <c r="AE21" s="44">
        <f>AD21/AC21*100</f>
        <v>0</v>
      </c>
      <c r="AF21" s="44">
        <f t="shared" si="2"/>
        <v>789592.5</v>
      </c>
      <c r="AG21" s="39"/>
      <c r="AH21" s="18"/>
      <c r="AI21" s="30"/>
      <c r="AK21" s="30"/>
      <c r="AM21" s="30"/>
    </row>
    <row r="22" spans="1:39" s="42" customFormat="1" ht="105.6" customHeight="1" x14ac:dyDescent="0.2">
      <c r="B22" s="36" t="s">
        <v>12</v>
      </c>
      <c r="C22" s="9" t="s">
        <v>83</v>
      </c>
      <c r="D22" s="10"/>
      <c r="E22" s="10"/>
      <c r="F22" s="11"/>
      <c r="G22" s="10"/>
      <c r="H22" s="10"/>
      <c r="I22" s="11"/>
      <c r="J22" s="39"/>
      <c r="K22" s="39"/>
      <c r="L22" s="39"/>
      <c r="M22" s="39"/>
      <c r="N22" s="39"/>
      <c r="O22" s="39"/>
      <c r="P22" s="39"/>
      <c r="Q22" s="39"/>
      <c r="R22" s="65"/>
      <c r="S22" s="65"/>
      <c r="T22" s="65"/>
      <c r="U22" s="65">
        <v>0.7</v>
      </c>
      <c r="V22" s="65"/>
      <c r="W22" s="65">
        <f>X22+Z22</f>
        <v>115241.105</v>
      </c>
      <c r="X22" s="65"/>
      <c r="Y22" s="65"/>
      <c r="Z22" s="65">
        <f>104241.105+11000</f>
        <v>115241.105</v>
      </c>
      <c r="AA22" s="39"/>
      <c r="AB22" s="39"/>
      <c r="AC22" s="39"/>
      <c r="AD22" s="39"/>
      <c r="AE22" s="46"/>
      <c r="AF22" s="39"/>
      <c r="AG22" s="79"/>
      <c r="AH22" s="79"/>
    </row>
    <row r="23" spans="1:39" s="42" customFormat="1" ht="86.45" customHeight="1" x14ac:dyDescent="0.2">
      <c r="B23" s="36" t="s">
        <v>13</v>
      </c>
      <c r="C23" s="9" t="s">
        <v>72</v>
      </c>
      <c r="D23" s="10"/>
      <c r="E23" s="10"/>
      <c r="F23" s="11"/>
      <c r="G23" s="10"/>
      <c r="H23" s="10"/>
      <c r="I23" s="11"/>
      <c r="J23" s="39"/>
      <c r="K23" s="35"/>
      <c r="L23" s="39"/>
      <c r="M23" s="39"/>
      <c r="N23" s="39"/>
      <c r="O23" s="39"/>
      <c r="P23" s="35"/>
      <c r="Q23" s="39"/>
      <c r="R23" s="65"/>
      <c r="S23" s="65"/>
      <c r="T23" s="65"/>
      <c r="U23" s="65"/>
      <c r="V23" s="66"/>
      <c r="W23" s="65">
        <f>Z23</f>
        <v>133815.712</v>
      </c>
      <c r="X23" s="65"/>
      <c r="Y23" s="65"/>
      <c r="Z23" s="65">
        <f>80114.23+53701.482</f>
        <v>133815.712</v>
      </c>
      <c r="AA23" s="39"/>
      <c r="AB23" s="35"/>
      <c r="AC23" s="39">
        <f>AD23+AF23</f>
        <v>384621.23200000002</v>
      </c>
      <c r="AD23" s="39"/>
      <c r="AE23" s="46"/>
      <c r="AF23" s="39">
        <f>400000-15378.768</f>
        <v>384621.23200000002</v>
      </c>
      <c r="AG23" s="79"/>
      <c r="AH23" s="79"/>
    </row>
    <row r="24" spans="1:39" s="42" customFormat="1" ht="103.5" customHeight="1" x14ac:dyDescent="0.2">
      <c r="B24" s="36" t="s">
        <v>14</v>
      </c>
      <c r="C24" s="32" t="s">
        <v>75</v>
      </c>
      <c r="D24" s="39"/>
      <c r="E24" s="39"/>
      <c r="F24" s="35"/>
      <c r="G24" s="39"/>
      <c r="H24" s="39"/>
      <c r="I24" s="35"/>
      <c r="J24" s="39"/>
      <c r="K24" s="39"/>
      <c r="L24" s="39">
        <f>N24</f>
        <v>6486.549</v>
      </c>
      <c r="M24" s="39"/>
      <c r="N24" s="39">
        <f>5000+1486.549</f>
        <v>6486.549</v>
      </c>
      <c r="O24" s="39"/>
      <c r="P24" s="39"/>
      <c r="Q24" s="39">
        <f>R24+T24</f>
        <v>76332.89</v>
      </c>
      <c r="R24" s="65"/>
      <c r="S24" s="65"/>
      <c r="T24" s="65">
        <f>90000-2653.308-11013.802</f>
        <v>76332.89</v>
      </c>
      <c r="U24" s="65">
        <v>3.6829999999999998</v>
      </c>
      <c r="V24" s="65"/>
      <c r="W24" s="65">
        <f>X24+Z24</f>
        <v>162502.679</v>
      </c>
      <c r="X24" s="65">
        <f>144323.637+5551.227+11002.788</f>
        <v>160877.652</v>
      </c>
      <c r="Y24" s="65">
        <f>X24/W24*100</f>
        <v>98.999999870771362</v>
      </c>
      <c r="Z24" s="65">
        <f>1457.815+56.073+11.014+100.125</f>
        <v>1625.027</v>
      </c>
      <c r="AA24" s="39"/>
      <c r="AB24" s="39"/>
      <c r="AC24" s="39"/>
      <c r="AD24" s="39"/>
      <c r="AE24" s="46"/>
      <c r="AF24" s="39"/>
      <c r="AG24" s="79"/>
      <c r="AH24" s="79"/>
    </row>
    <row r="25" spans="1:39" s="42" customFormat="1" ht="103.5" customHeight="1" x14ac:dyDescent="0.2">
      <c r="B25" s="36" t="s">
        <v>15</v>
      </c>
      <c r="C25" s="32" t="s">
        <v>75</v>
      </c>
      <c r="D25" s="39"/>
      <c r="E25" s="39"/>
      <c r="F25" s="35"/>
      <c r="G25" s="39"/>
      <c r="H25" s="39"/>
      <c r="I25" s="35"/>
      <c r="J25" s="39"/>
      <c r="K25" s="39"/>
      <c r="L25" s="39"/>
      <c r="M25" s="39"/>
      <c r="N25" s="39"/>
      <c r="O25" s="39"/>
      <c r="P25" s="39"/>
      <c r="Q25" s="39">
        <f>R25+T25</f>
        <v>2971.826</v>
      </c>
      <c r="R25" s="65">
        <f>2626.775+315.333</f>
        <v>2942.1080000000002</v>
      </c>
      <c r="S25" s="65">
        <f>R25/Q25*100</f>
        <v>99.000008748829842</v>
      </c>
      <c r="T25" s="65">
        <f>29.718</f>
        <v>29.718</v>
      </c>
      <c r="U25" s="65"/>
      <c r="V25" s="65"/>
      <c r="W25" s="65"/>
      <c r="X25" s="65"/>
      <c r="Y25" s="65"/>
      <c r="Z25" s="65"/>
      <c r="AA25" s="39"/>
      <c r="AB25" s="39"/>
      <c r="AC25" s="39"/>
      <c r="AD25" s="39"/>
      <c r="AE25" s="46"/>
      <c r="AF25" s="39"/>
      <c r="AG25" s="79"/>
      <c r="AH25" s="79"/>
    </row>
    <row r="26" spans="1:39" s="42" customFormat="1" ht="105" customHeight="1" x14ac:dyDescent="0.2">
      <c r="B26" s="36" t="s">
        <v>16</v>
      </c>
      <c r="C26" s="32" t="s">
        <v>76</v>
      </c>
      <c r="D26" s="39"/>
      <c r="E26" s="39"/>
      <c r="F26" s="35"/>
      <c r="G26" s="39"/>
      <c r="H26" s="39"/>
      <c r="I26" s="35"/>
      <c r="J26" s="39"/>
      <c r="K26" s="39"/>
      <c r="L26" s="39"/>
      <c r="M26" s="39"/>
      <c r="N26" s="39"/>
      <c r="O26" s="39"/>
      <c r="P26" s="39"/>
      <c r="Q26" s="39"/>
      <c r="R26" s="65"/>
      <c r="S26" s="65"/>
      <c r="T26" s="65"/>
      <c r="U26" s="65">
        <v>0.71699999999999997</v>
      </c>
      <c r="V26" s="65"/>
      <c r="W26" s="65">
        <f>X26+Z26</f>
        <v>37066.718999999997</v>
      </c>
      <c r="X26" s="65"/>
      <c r="Y26" s="65"/>
      <c r="Z26" s="65">
        <f>37066.719</f>
        <v>37066.718999999997</v>
      </c>
      <c r="AA26" s="39"/>
      <c r="AB26" s="39"/>
      <c r="AC26" s="39"/>
      <c r="AD26" s="39"/>
      <c r="AE26" s="46"/>
      <c r="AF26" s="39"/>
      <c r="AG26" s="39"/>
      <c r="AH26" s="39"/>
    </row>
    <row r="27" spans="1:39" s="42" customFormat="1" ht="108" customHeight="1" x14ac:dyDescent="0.2">
      <c r="B27" s="36" t="s">
        <v>49</v>
      </c>
      <c r="C27" s="32" t="s">
        <v>62</v>
      </c>
      <c r="D27" s="39"/>
      <c r="E27" s="39"/>
      <c r="F27" s="35"/>
      <c r="G27" s="39"/>
      <c r="H27" s="39"/>
      <c r="I27" s="35"/>
      <c r="J27" s="39"/>
      <c r="K27" s="39"/>
      <c r="L27" s="39"/>
      <c r="M27" s="39"/>
      <c r="N27" s="39"/>
      <c r="O27" s="39"/>
      <c r="P27" s="39"/>
      <c r="Q27" s="39"/>
      <c r="R27" s="65"/>
      <c r="S27" s="65"/>
      <c r="T27" s="65"/>
      <c r="U27" s="65">
        <v>4</v>
      </c>
      <c r="V27" s="65"/>
      <c r="W27" s="65">
        <f>X27+Z27</f>
        <v>245731.20000000001</v>
      </c>
      <c r="X27" s="65">
        <v>243273.88800000001</v>
      </c>
      <c r="Y27" s="65">
        <f>X27/W27*100</f>
        <v>99</v>
      </c>
      <c r="Z27" s="65">
        <v>2457.3119999999999</v>
      </c>
      <c r="AA27" s="39"/>
      <c r="AB27" s="39"/>
      <c r="AC27" s="39"/>
      <c r="AD27" s="39"/>
      <c r="AE27" s="46"/>
      <c r="AF27" s="39"/>
      <c r="AG27" s="79"/>
      <c r="AH27" s="79"/>
    </row>
    <row r="28" spans="1:39" s="42" customFormat="1" ht="90" customHeight="1" x14ac:dyDescent="0.2">
      <c r="B28" s="36" t="s">
        <v>17</v>
      </c>
      <c r="C28" s="12" t="s">
        <v>94</v>
      </c>
      <c r="D28" s="39"/>
      <c r="E28" s="39"/>
      <c r="F28" s="35"/>
      <c r="G28" s="39"/>
      <c r="H28" s="39"/>
      <c r="I28" s="35"/>
      <c r="J28" s="35"/>
      <c r="K28" s="35"/>
      <c r="L28" s="39"/>
      <c r="M28" s="39"/>
      <c r="N28" s="39"/>
      <c r="O28" s="35"/>
      <c r="P28" s="35"/>
      <c r="Q28" s="39">
        <f>R28+T28</f>
        <v>29480.206999999999</v>
      </c>
      <c r="R28" s="65">
        <f>29186.305-0.792</f>
        <v>29185.512999999999</v>
      </c>
      <c r="S28" s="65">
        <f>R28/Q28*100</f>
        <v>99.00036658494291</v>
      </c>
      <c r="T28" s="65">
        <f>294.841-0.939+0.792</f>
        <v>294.69399999999996</v>
      </c>
      <c r="U28" s="66">
        <v>4.01</v>
      </c>
      <c r="V28" s="66"/>
      <c r="W28" s="65">
        <f>X28+Z28</f>
        <v>249313.87100000001</v>
      </c>
      <c r="X28" s="65"/>
      <c r="Y28" s="65"/>
      <c r="Z28" s="65">
        <v>249313.87100000001</v>
      </c>
      <c r="AA28" s="35"/>
      <c r="AB28" s="35"/>
      <c r="AC28" s="39"/>
      <c r="AD28" s="39"/>
      <c r="AE28" s="46"/>
      <c r="AF28" s="39"/>
      <c r="AG28" s="79"/>
      <c r="AH28" s="79"/>
    </row>
    <row r="29" spans="1:39" s="42" customFormat="1" ht="86.45" customHeight="1" x14ac:dyDescent="0.2">
      <c r="B29" s="36" t="s">
        <v>18</v>
      </c>
      <c r="C29" s="12" t="s">
        <v>44</v>
      </c>
      <c r="D29" s="39"/>
      <c r="E29" s="39"/>
      <c r="F29" s="35"/>
      <c r="G29" s="39"/>
      <c r="H29" s="39"/>
      <c r="I29" s="35"/>
      <c r="J29" s="39"/>
      <c r="K29" s="39"/>
      <c r="L29" s="39">
        <f>N29</f>
        <v>285724.375</v>
      </c>
      <c r="M29" s="39"/>
      <c r="N29" s="39">
        <f xml:space="preserve"> 253380.566+32343.809</f>
        <v>285724.375</v>
      </c>
      <c r="O29" s="39">
        <v>7.41</v>
      </c>
      <c r="P29" s="39"/>
      <c r="Q29" s="39">
        <f>T29</f>
        <v>24810.923999999999</v>
      </c>
      <c r="R29" s="65"/>
      <c r="S29" s="65"/>
      <c r="T29" s="65">
        <v>24810.923999999999</v>
      </c>
      <c r="U29" s="65"/>
      <c r="V29" s="65"/>
      <c r="W29" s="65"/>
      <c r="X29" s="65"/>
      <c r="Y29" s="65"/>
      <c r="Z29" s="65"/>
      <c r="AA29" s="39"/>
      <c r="AB29" s="39"/>
      <c r="AC29" s="39"/>
      <c r="AD29" s="39"/>
      <c r="AE29" s="46"/>
      <c r="AF29" s="39"/>
      <c r="AG29" s="79"/>
      <c r="AH29" s="79"/>
    </row>
    <row r="30" spans="1:39" s="42" customFormat="1" ht="104.25" customHeight="1" x14ac:dyDescent="0.2">
      <c r="B30" s="36" t="s">
        <v>19</v>
      </c>
      <c r="C30" s="9" t="s">
        <v>73</v>
      </c>
      <c r="D30" s="39"/>
      <c r="E30" s="39"/>
      <c r="F30" s="35"/>
      <c r="G30" s="39"/>
      <c r="H30" s="39"/>
      <c r="I30" s="35"/>
      <c r="J30" s="39"/>
      <c r="K30" s="39"/>
      <c r="L30" s="39">
        <f>N30+M30</f>
        <v>5000</v>
      </c>
      <c r="M30" s="39"/>
      <c r="N30" s="39">
        <f>5000</f>
        <v>5000</v>
      </c>
      <c r="O30" s="39"/>
      <c r="P30" s="39"/>
      <c r="Q30" s="39">
        <f>T30+R30</f>
        <v>28853.83</v>
      </c>
      <c r="R30" s="65">
        <f>28565.291</f>
        <v>28565.291000000001</v>
      </c>
      <c r="S30" s="65">
        <f>R30/Q30*100</f>
        <v>98.999997573978916</v>
      </c>
      <c r="T30" s="65">
        <f>288.539</f>
        <v>288.53899999999999</v>
      </c>
      <c r="U30" s="65">
        <v>2.7839999999999998</v>
      </c>
      <c r="V30" s="65"/>
      <c r="W30" s="65">
        <f>Z30+X30</f>
        <v>131415.98699999999</v>
      </c>
      <c r="X30" s="65">
        <f>130101.827</f>
        <v>130101.827</v>
      </c>
      <c r="Y30" s="65">
        <f>X30/W30*100</f>
        <v>98.999999901077501</v>
      </c>
      <c r="Z30" s="65">
        <f>1314.16</f>
        <v>1314.16</v>
      </c>
      <c r="AA30" s="39"/>
      <c r="AB30" s="39"/>
      <c r="AC30" s="39"/>
      <c r="AD30" s="39"/>
      <c r="AE30" s="46"/>
      <c r="AF30" s="39"/>
      <c r="AG30" s="79"/>
      <c r="AH30" s="79"/>
      <c r="AJ30" s="31"/>
    </row>
    <row r="31" spans="1:39" s="42" customFormat="1" ht="106.15" customHeight="1" x14ac:dyDescent="0.2">
      <c r="B31" s="36" t="s">
        <v>26</v>
      </c>
      <c r="C31" s="9" t="s">
        <v>63</v>
      </c>
      <c r="D31" s="39"/>
      <c r="E31" s="39"/>
      <c r="F31" s="35"/>
      <c r="G31" s="39"/>
      <c r="H31" s="39"/>
      <c r="I31" s="35"/>
      <c r="J31" s="39"/>
      <c r="K31" s="39"/>
      <c r="L31" s="39"/>
      <c r="M31" s="39"/>
      <c r="N31" s="39"/>
      <c r="O31" s="39"/>
      <c r="P31" s="39"/>
      <c r="Q31" s="39"/>
      <c r="R31" s="39"/>
      <c r="S31" s="46"/>
      <c r="T31" s="39"/>
      <c r="U31" s="39"/>
      <c r="V31" s="39"/>
      <c r="W31" s="39">
        <f>Z31+X31</f>
        <v>47862.787000000004</v>
      </c>
      <c r="X31" s="39">
        <v>47384.158000000003</v>
      </c>
      <c r="Y31" s="46">
        <f>X31/W31*100</f>
        <v>98.999997639084413</v>
      </c>
      <c r="Z31" s="39">
        <v>478.62900000000002</v>
      </c>
      <c r="AA31" s="39">
        <v>3.58</v>
      </c>
      <c r="AB31" s="39"/>
      <c r="AC31" s="39">
        <f>AF31+AD31</f>
        <v>146178.54</v>
      </c>
      <c r="AD31" s="39"/>
      <c r="AE31" s="46"/>
      <c r="AF31" s="39">
        <v>146178.54</v>
      </c>
      <c r="AG31" s="79"/>
      <c r="AH31" s="79"/>
      <c r="AJ31" s="31"/>
    </row>
    <row r="32" spans="1:39" s="42" customFormat="1" ht="122.25" customHeight="1" x14ac:dyDescent="0.2">
      <c r="B32" s="36" t="s">
        <v>20</v>
      </c>
      <c r="C32" s="9" t="s">
        <v>84</v>
      </c>
      <c r="D32" s="39"/>
      <c r="E32" s="39"/>
      <c r="F32" s="35"/>
      <c r="G32" s="39"/>
      <c r="H32" s="39"/>
      <c r="I32" s="35"/>
      <c r="J32" s="39"/>
      <c r="K32" s="39"/>
      <c r="L32" s="39">
        <f>N32</f>
        <v>4568.8429999999998</v>
      </c>
      <c r="M32" s="39"/>
      <c r="N32" s="39">
        <f>4568.843</f>
        <v>4568.8429999999998</v>
      </c>
      <c r="O32" s="39"/>
      <c r="P32" s="39"/>
      <c r="Q32" s="39">
        <f>T32+R32</f>
        <v>18137.969000000001</v>
      </c>
      <c r="R32" s="39">
        <v>17956.589</v>
      </c>
      <c r="S32" s="46">
        <f>R32/Q32*100</f>
        <v>98.999998290878096</v>
      </c>
      <c r="T32" s="39">
        <v>181.38</v>
      </c>
      <c r="U32" s="39">
        <v>5.4720000000000004</v>
      </c>
      <c r="V32" s="39"/>
      <c r="W32" s="39">
        <f>Z32+X32</f>
        <v>248170.182</v>
      </c>
      <c r="X32" s="39">
        <f>245688.48</f>
        <v>245688.48</v>
      </c>
      <c r="Y32" s="46">
        <f>X32/W32*100</f>
        <v>98.999999927469133</v>
      </c>
      <c r="Z32" s="39">
        <f>2481.702</f>
        <v>2481.7020000000002</v>
      </c>
      <c r="AA32" s="39"/>
      <c r="AB32" s="39"/>
      <c r="AC32" s="39"/>
      <c r="AD32" s="39"/>
      <c r="AE32" s="46"/>
      <c r="AF32" s="39"/>
      <c r="AG32" s="79"/>
      <c r="AH32" s="79"/>
      <c r="AJ32" s="31"/>
    </row>
    <row r="33" spans="2:35" s="42" customFormat="1" ht="85.5" hidden="1" customHeight="1" x14ac:dyDescent="0.2">
      <c r="B33" s="36" t="s">
        <v>20</v>
      </c>
      <c r="C33" s="9" t="s">
        <v>74</v>
      </c>
      <c r="D33" s="39"/>
      <c r="E33" s="39"/>
      <c r="F33" s="35"/>
      <c r="G33" s="39"/>
      <c r="H33" s="39"/>
      <c r="I33" s="35"/>
      <c r="J33" s="39"/>
      <c r="K33" s="39"/>
      <c r="L33" s="39"/>
      <c r="M33" s="39"/>
      <c r="N33" s="39"/>
      <c r="O33" s="39"/>
      <c r="P33" s="39"/>
      <c r="Q33" s="39"/>
      <c r="R33" s="39"/>
      <c r="S33" s="46"/>
      <c r="T33" s="39"/>
      <c r="U33" s="39"/>
      <c r="V33" s="39"/>
      <c r="W33" s="39">
        <f>Z33+X33</f>
        <v>0</v>
      </c>
      <c r="X33" s="39"/>
      <c r="Y33" s="46"/>
      <c r="Z33" s="39">
        <v>0</v>
      </c>
      <c r="AA33" s="39"/>
      <c r="AB33" s="39"/>
      <c r="AC33" s="39">
        <f>AF33+AD33</f>
        <v>0</v>
      </c>
      <c r="AD33" s="39"/>
      <c r="AE33" s="46"/>
      <c r="AF33" s="39">
        <v>0</v>
      </c>
      <c r="AG33" s="79"/>
      <c r="AH33" s="79"/>
    </row>
    <row r="34" spans="2:35" s="42" customFormat="1" ht="123" customHeight="1" x14ac:dyDescent="0.2">
      <c r="B34" s="36" t="s">
        <v>21</v>
      </c>
      <c r="C34" s="9" t="s">
        <v>95</v>
      </c>
      <c r="D34" s="10"/>
      <c r="E34" s="10"/>
      <c r="F34" s="11"/>
      <c r="G34" s="10"/>
      <c r="H34" s="10"/>
      <c r="I34" s="11"/>
      <c r="J34" s="39"/>
      <c r="K34" s="39"/>
      <c r="L34" s="39">
        <f>N34+M34</f>
        <v>5431.1570000000002</v>
      </c>
      <c r="M34" s="39">
        <f>5376.845</f>
        <v>5376.8450000000003</v>
      </c>
      <c r="N34" s="39">
        <f>54.312</f>
        <v>54.311999999999998</v>
      </c>
      <c r="O34" s="39">
        <v>5.0220000000000002</v>
      </c>
      <c r="P34" s="39"/>
      <c r="Q34" s="39">
        <f>R34+T34</f>
        <v>332205.609</v>
      </c>
      <c r="R34" s="39">
        <f>328883.552</f>
        <v>328883.55200000003</v>
      </c>
      <c r="S34" s="46">
        <f>R34/Q34*100</f>
        <v>98.999999726073256</v>
      </c>
      <c r="T34" s="39">
        <f>3322.057</f>
        <v>3322.0569999999998</v>
      </c>
      <c r="U34" s="39"/>
      <c r="V34" s="39"/>
      <c r="W34" s="39"/>
      <c r="X34" s="39"/>
      <c r="Y34" s="46"/>
      <c r="Z34" s="39"/>
      <c r="AA34" s="39"/>
      <c r="AB34" s="39"/>
      <c r="AC34" s="39"/>
      <c r="AD34" s="39"/>
      <c r="AE34" s="46"/>
      <c r="AF34" s="39"/>
      <c r="AG34" s="79"/>
      <c r="AH34" s="79"/>
    </row>
    <row r="35" spans="2:35" s="42" customFormat="1" ht="126.75" customHeight="1" x14ac:dyDescent="0.2">
      <c r="B35" s="36" t="s">
        <v>22</v>
      </c>
      <c r="C35" s="9" t="s">
        <v>96</v>
      </c>
      <c r="D35" s="39"/>
      <c r="E35" s="39"/>
      <c r="F35" s="35"/>
      <c r="G35" s="39"/>
      <c r="H35" s="39"/>
      <c r="I35" s="35"/>
      <c r="J35" s="39"/>
      <c r="K35" s="39"/>
      <c r="L35" s="39">
        <f>N35+M35</f>
        <v>94504.2</v>
      </c>
      <c r="M35" s="39">
        <f>93559.158</f>
        <v>93559.157999999996</v>
      </c>
      <c r="N35" s="39">
        <f>945.042</f>
        <v>945.04200000000003</v>
      </c>
      <c r="O35" s="39">
        <v>3.9289999999999998</v>
      </c>
      <c r="P35" s="39"/>
      <c r="Q35" s="39">
        <f>R35+T35</f>
        <v>138372.30499999999</v>
      </c>
      <c r="R35" s="39">
        <v>136988.476</v>
      </c>
      <c r="S35" s="46">
        <f>R35/Q35*100</f>
        <v>98.999923431209737</v>
      </c>
      <c r="T35" s="39">
        <v>1383.829</v>
      </c>
      <c r="U35" s="39"/>
      <c r="V35" s="39"/>
      <c r="W35" s="39"/>
      <c r="X35" s="39"/>
      <c r="Y35" s="46"/>
      <c r="Z35" s="39"/>
      <c r="AA35" s="39"/>
      <c r="AB35" s="39"/>
      <c r="AC35" s="39"/>
      <c r="AD35" s="39"/>
      <c r="AE35" s="46"/>
      <c r="AF35" s="39"/>
      <c r="AG35" s="79"/>
      <c r="AH35" s="79"/>
    </row>
    <row r="36" spans="2:35" s="42" customFormat="1" ht="123" customHeight="1" x14ac:dyDescent="0.2">
      <c r="B36" s="36" t="s">
        <v>35</v>
      </c>
      <c r="C36" s="9" t="s">
        <v>78</v>
      </c>
      <c r="D36" s="39"/>
      <c r="E36" s="39"/>
      <c r="F36" s="35"/>
      <c r="G36" s="39"/>
      <c r="H36" s="39"/>
      <c r="I36" s="35"/>
      <c r="J36" s="39"/>
      <c r="K36" s="39"/>
      <c r="L36" s="39"/>
      <c r="M36" s="39"/>
      <c r="N36" s="39"/>
      <c r="O36" s="39"/>
      <c r="P36" s="39"/>
      <c r="Q36" s="39"/>
      <c r="R36" s="39"/>
      <c r="S36" s="46"/>
      <c r="T36" s="39"/>
      <c r="U36" s="39">
        <v>2.6720000000000002</v>
      </c>
      <c r="V36" s="39"/>
      <c r="W36" s="39">
        <f>X36+Z36</f>
        <v>253102.41999999998</v>
      </c>
      <c r="X36" s="39">
        <v>250571.39799999999</v>
      </c>
      <c r="Y36" s="46">
        <f>X36/W36*100</f>
        <v>99.000000869213352</v>
      </c>
      <c r="Z36" s="39">
        <v>2531.0219999999999</v>
      </c>
      <c r="AA36" s="39"/>
      <c r="AB36" s="39"/>
      <c r="AC36" s="39"/>
      <c r="AD36" s="39"/>
      <c r="AE36" s="46"/>
      <c r="AF36" s="39"/>
      <c r="AG36" s="79"/>
      <c r="AH36" s="79"/>
    </row>
    <row r="37" spans="2:35" s="42" customFormat="1" ht="93" customHeight="1" x14ac:dyDescent="0.2">
      <c r="B37" s="36" t="s">
        <v>36</v>
      </c>
      <c r="C37" s="32" t="s">
        <v>85</v>
      </c>
      <c r="D37" s="39"/>
      <c r="E37" s="39"/>
      <c r="F37" s="35"/>
      <c r="G37" s="39"/>
      <c r="H37" s="39"/>
      <c r="I37" s="35"/>
      <c r="J37" s="39"/>
      <c r="K37" s="39"/>
      <c r="L37" s="39">
        <f>M37+N37</f>
        <v>189179.10499999998</v>
      </c>
      <c r="M37" s="39">
        <f>164905.33+22381.984</f>
        <v>187287.31399999998</v>
      </c>
      <c r="N37" s="39">
        <f>1665.711+226.08</f>
        <v>1891.7909999999999</v>
      </c>
      <c r="O37" s="39">
        <v>9.7360000000000007</v>
      </c>
      <c r="P37" s="39"/>
      <c r="Q37" s="39">
        <f>R37+T37</f>
        <v>18218.778000000002</v>
      </c>
      <c r="R37" s="39"/>
      <c r="S37" s="46"/>
      <c r="T37" s="39">
        <f>13371.281+4847.497</f>
        <v>18218.778000000002</v>
      </c>
      <c r="U37" s="39"/>
      <c r="V37" s="39"/>
      <c r="W37" s="39"/>
      <c r="X37" s="39"/>
      <c r="Y37" s="46"/>
      <c r="Z37" s="39"/>
      <c r="AA37" s="39"/>
      <c r="AB37" s="39"/>
      <c r="AC37" s="39"/>
      <c r="AD37" s="39"/>
      <c r="AE37" s="46"/>
      <c r="AF37" s="39"/>
      <c r="AG37" s="79"/>
      <c r="AH37" s="79"/>
    </row>
    <row r="38" spans="2:35" s="42" customFormat="1" ht="106.5" customHeight="1" x14ac:dyDescent="0.2">
      <c r="B38" s="36" t="s">
        <v>39</v>
      </c>
      <c r="C38" s="32" t="s">
        <v>86</v>
      </c>
      <c r="D38" s="39"/>
      <c r="E38" s="39"/>
      <c r="F38" s="35"/>
      <c r="G38" s="39"/>
      <c r="H38" s="39"/>
      <c r="I38" s="35"/>
      <c r="J38" s="39"/>
      <c r="K38" s="39"/>
      <c r="L38" s="39"/>
      <c r="M38" s="39"/>
      <c r="N38" s="39"/>
      <c r="O38" s="39"/>
      <c r="P38" s="39"/>
      <c r="Q38" s="39"/>
      <c r="R38" s="39"/>
      <c r="S38" s="46"/>
      <c r="T38" s="39"/>
      <c r="U38" s="39"/>
      <c r="V38" s="39"/>
      <c r="W38" s="39">
        <f>X38+Z38</f>
        <v>83726.744999999995</v>
      </c>
      <c r="X38" s="39"/>
      <c r="Y38" s="46"/>
      <c r="Z38" s="39">
        <f>83726.745</f>
        <v>83726.744999999995</v>
      </c>
      <c r="AA38" s="39">
        <v>3.6</v>
      </c>
      <c r="AB38" s="39"/>
      <c r="AC38" s="39">
        <f>AD38+AF38</f>
        <v>118792.728</v>
      </c>
      <c r="AD38" s="39"/>
      <c r="AE38" s="46"/>
      <c r="AF38" s="39">
        <v>118792.728</v>
      </c>
      <c r="AG38" s="79"/>
      <c r="AH38" s="79"/>
    </row>
    <row r="39" spans="2:35" s="42" customFormat="1" ht="106.5" customHeight="1" x14ac:dyDescent="0.2">
      <c r="B39" s="36" t="s">
        <v>50</v>
      </c>
      <c r="C39" s="9" t="s">
        <v>71</v>
      </c>
      <c r="D39" s="10"/>
      <c r="E39" s="10"/>
      <c r="F39" s="11"/>
      <c r="G39" s="10"/>
      <c r="H39" s="10"/>
      <c r="I39" s="11"/>
      <c r="J39" s="39"/>
      <c r="K39" s="39"/>
      <c r="L39" s="39">
        <f>M39+N39</f>
        <v>302741.34499999997</v>
      </c>
      <c r="M39" s="39"/>
      <c r="N39" s="39">
        <f>261754.4+40986.945</f>
        <v>302741.34499999997</v>
      </c>
      <c r="O39" s="39">
        <v>7.8650000000000002</v>
      </c>
      <c r="P39" s="39"/>
      <c r="Q39" s="39">
        <f>R39+T39</f>
        <v>37539.375</v>
      </c>
      <c r="R39" s="39"/>
      <c r="S39" s="46"/>
      <c r="T39" s="65">
        <v>37539.375</v>
      </c>
      <c r="U39" s="65"/>
      <c r="V39" s="65"/>
      <c r="W39" s="65"/>
      <c r="X39" s="65"/>
      <c r="Y39" s="65"/>
      <c r="Z39" s="65"/>
      <c r="AA39" s="39"/>
      <c r="AB39" s="39"/>
      <c r="AC39" s="39"/>
      <c r="AD39" s="39"/>
      <c r="AE39" s="46"/>
      <c r="AF39" s="39"/>
      <c r="AG39" s="79"/>
      <c r="AH39" s="79"/>
    </row>
    <row r="40" spans="2:35" s="42" customFormat="1" ht="106.5" customHeight="1" x14ac:dyDescent="0.2">
      <c r="B40" s="36" t="s">
        <v>41</v>
      </c>
      <c r="C40" s="3" t="s">
        <v>98</v>
      </c>
      <c r="D40" s="10"/>
      <c r="E40" s="10"/>
      <c r="F40" s="11"/>
      <c r="G40" s="10"/>
      <c r="H40" s="10"/>
      <c r="I40" s="11"/>
      <c r="J40" s="39"/>
      <c r="K40" s="39"/>
      <c r="L40" s="39"/>
      <c r="M40" s="39"/>
      <c r="N40" s="39"/>
      <c r="O40" s="39"/>
      <c r="P40" s="39"/>
      <c r="Q40" s="39"/>
      <c r="R40" s="39"/>
      <c r="S40" s="46"/>
      <c r="T40" s="65"/>
      <c r="U40" s="65"/>
      <c r="V40" s="65"/>
      <c r="W40" s="65">
        <f>X40+Z40</f>
        <v>101790.08900000001</v>
      </c>
      <c r="X40" s="65"/>
      <c r="Y40" s="65"/>
      <c r="Z40" s="65">
        <f>57064.997+44825.216-100.124</f>
        <v>101790.08900000001</v>
      </c>
      <c r="AA40" s="39"/>
      <c r="AB40" s="39"/>
      <c r="AC40" s="39">
        <f>AD40+AF40</f>
        <v>30000</v>
      </c>
      <c r="AD40" s="39"/>
      <c r="AE40" s="46"/>
      <c r="AF40" s="39">
        <f>30000</f>
        <v>30000</v>
      </c>
      <c r="AG40" s="79"/>
      <c r="AH40" s="79"/>
    </row>
    <row r="41" spans="2:35" s="42" customFormat="1" ht="89.25" customHeight="1" x14ac:dyDescent="0.2">
      <c r="B41" s="36" t="s">
        <v>42</v>
      </c>
      <c r="C41" s="3" t="s">
        <v>51</v>
      </c>
      <c r="D41" s="10"/>
      <c r="E41" s="10"/>
      <c r="F41" s="11"/>
      <c r="G41" s="10"/>
      <c r="H41" s="10"/>
      <c r="I41" s="11"/>
      <c r="J41" s="39"/>
      <c r="K41" s="39"/>
      <c r="L41" s="39">
        <f>M41+N41</f>
        <v>158315.734</v>
      </c>
      <c r="M41" s="39"/>
      <c r="N41" s="39">
        <f>135166.725+23149.009</f>
        <v>158315.734</v>
      </c>
      <c r="O41" s="39">
        <v>6.1929999999999996</v>
      </c>
      <c r="P41" s="39"/>
      <c r="Q41" s="39">
        <f>R41+T41</f>
        <v>15508.673999999999</v>
      </c>
      <c r="R41" s="39"/>
      <c r="S41" s="46"/>
      <c r="T41" s="65">
        <f>38657.683-23149.009</f>
        <v>15508.673999999999</v>
      </c>
      <c r="U41" s="65"/>
      <c r="V41" s="65"/>
      <c r="W41" s="65"/>
      <c r="X41" s="65"/>
      <c r="Y41" s="65"/>
      <c r="Z41" s="65"/>
      <c r="AA41" s="39"/>
      <c r="AB41" s="39"/>
      <c r="AC41" s="39"/>
      <c r="AD41" s="39"/>
      <c r="AE41" s="46"/>
      <c r="AF41" s="39"/>
      <c r="AG41" s="79"/>
      <c r="AH41" s="79"/>
    </row>
    <row r="42" spans="2:35" s="42" customFormat="1" ht="86.45" customHeight="1" x14ac:dyDescent="0.2">
      <c r="B42" s="36" t="s">
        <v>43</v>
      </c>
      <c r="C42" s="9" t="s">
        <v>45</v>
      </c>
      <c r="D42" s="10"/>
      <c r="E42" s="10"/>
      <c r="F42" s="11"/>
      <c r="G42" s="10"/>
      <c r="H42" s="10"/>
      <c r="I42" s="11"/>
      <c r="J42" s="39"/>
      <c r="K42" s="39"/>
      <c r="L42" s="39">
        <f>M42+N42</f>
        <v>2267.393</v>
      </c>
      <c r="M42" s="39"/>
      <c r="N42" s="39">
        <f>2267.393</f>
        <v>2267.393</v>
      </c>
      <c r="O42" s="39">
        <v>10.441000000000001</v>
      </c>
      <c r="P42" s="39"/>
      <c r="Q42" s="39">
        <f>R42+T42</f>
        <v>444533.69900000002</v>
      </c>
      <c r="R42" s="39"/>
      <c r="S42" s="46"/>
      <c r="T42" s="65">
        <f>416800.153+27732.607+0.939</f>
        <v>444533.69900000002</v>
      </c>
      <c r="U42" s="65"/>
      <c r="V42" s="65"/>
      <c r="W42" s="65"/>
      <c r="X42" s="65"/>
      <c r="Y42" s="65"/>
      <c r="Z42" s="65"/>
      <c r="AA42" s="39"/>
      <c r="AB42" s="39"/>
      <c r="AC42" s="39"/>
      <c r="AD42" s="39"/>
      <c r="AE42" s="46"/>
      <c r="AF42" s="39"/>
      <c r="AG42" s="39"/>
      <c r="AH42" s="39"/>
    </row>
    <row r="43" spans="2:35" s="42" customFormat="1" ht="87" customHeight="1" x14ac:dyDescent="0.2">
      <c r="B43" s="36" t="s">
        <v>55</v>
      </c>
      <c r="C43" s="3" t="s">
        <v>64</v>
      </c>
      <c r="D43" s="10"/>
      <c r="E43" s="10"/>
      <c r="F43" s="11"/>
      <c r="G43" s="10"/>
      <c r="H43" s="10"/>
      <c r="I43" s="11"/>
      <c r="J43" s="39"/>
      <c r="K43" s="39"/>
      <c r="L43" s="39"/>
      <c r="M43" s="39"/>
      <c r="N43" s="39"/>
      <c r="O43" s="39"/>
      <c r="P43" s="39"/>
      <c r="Q43" s="39"/>
      <c r="R43" s="39"/>
      <c r="S43" s="46"/>
      <c r="T43" s="65"/>
      <c r="U43" s="65"/>
      <c r="V43" s="65"/>
      <c r="W43" s="65">
        <f>X43+Z43</f>
        <v>114145.389</v>
      </c>
      <c r="X43" s="65"/>
      <c r="Y43" s="65"/>
      <c r="Z43" s="65">
        <f>69145.389+45000</f>
        <v>114145.389</v>
      </c>
      <c r="AA43" s="39"/>
      <c r="AB43" s="39"/>
      <c r="AC43" s="39">
        <f>AD43+AF43</f>
        <v>100000</v>
      </c>
      <c r="AD43" s="39"/>
      <c r="AE43" s="46"/>
      <c r="AF43" s="39">
        <f>100000</f>
        <v>100000</v>
      </c>
      <c r="AG43" s="79"/>
      <c r="AH43" s="79"/>
    </row>
    <row r="44" spans="2:35" s="42" customFormat="1" ht="104.25" customHeight="1" x14ac:dyDescent="0.2">
      <c r="B44" s="36" t="s">
        <v>56</v>
      </c>
      <c r="C44" s="3" t="s">
        <v>87</v>
      </c>
      <c r="D44" s="10"/>
      <c r="E44" s="10"/>
      <c r="F44" s="11"/>
      <c r="G44" s="10"/>
      <c r="H44" s="10"/>
      <c r="I44" s="11"/>
      <c r="J44" s="39"/>
      <c r="K44" s="39"/>
      <c r="L44" s="39"/>
      <c r="M44" s="39"/>
      <c r="N44" s="39"/>
      <c r="O44" s="39"/>
      <c r="P44" s="39"/>
      <c r="Q44" s="39"/>
      <c r="R44" s="39"/>
      <c r="S44" s="46"/>
      <c r="T44" s="65"/>
      <c r="U44" s="65"/>
      <c r="V44" s="65"/>
      <c r="W44" s="65">
        <f>X44+Z44</f>
        <v>5000</v>
      </c>
      <c r="X44" s="65"/>
      <c r="Y44" s="65"/>
      <c r="Z44" s="65">
        <v>5000</v>
      </c>
      <c r="AA44" s="39"/>
      <c r="AB44" s="39"/>
      <c r="AC44" s="39">
        <f>AD44+AF44</f>
        <v>5000</v>
      </c>
      <c r="AD44" s="39"/>
      <c r="AE44" s="46"/>
      <c r="AF44" s="39">
        <v>5000</v>
      </c>
      <c r="AG44" s="79"/>
      <c r="AH44" s="79"/>
    </row>
    <row r="45" spans="2:35" s="42" customFormat="1" ht="106.5" customHeight="1" x14ac:dyDescent="0.2">
      <c r="B45" s="36" t="s">
        <v>70</v>
      </c>
      <c r="C45" s="3" t="s">
        <v>47</v>
      </c>
      <c r="D45" s="10"/>
      <c r="E45" s="10"/>
      <c r="F45" s="11"/>
      <c r="G45" s="10"/>
      <c r="H45" s="10"/>
      <c r="I45" s="11"/>
      <c r="J45" s="39"/>
      <c r="K45" s="39"/>
      <c r="L45" s="39"/>
      <c r="M45" s="39"/>
      <c r="N45" s="39"/>
      <c r="O45" s="39"/>
      <c r="P45" s="39"/>
      <c r="Q45" s="39"/>
      <c r="R45" s="39"/>
      <c r="S45" s="46"/>
      <c r="T45" s="65"/>
      <c r="U45" s="65"/>
      <c r="V45" s="65"/>
      <c r="W45" s="65">
        <f>X45+Z45</f>
        <v>5000</v>
      </c>
      <c r="X45" s="65"/>
      <c r="Y45" s="65"/>
      <c r="Z45" s="65">
        <v>5000</v>
      </c>
      <c r="AA45" s="39"/>
      <c r="AB45" s="39"/>
      <c r="AC45" s="39">
        <f>AD45+AF45</f>
        <v>5000</v>
      </c>
      <c r="AD45" s="39"/>
      <c r="AE45" s="46"/>
      <c r="AF45" s="39">
        <v>5000</v>
      </c>
      <c r="AG45" s="79"/>
      <c r="AH45" s="79"/>
    </row>
    <row r="46" spans="2:35" s="42" customFormat="1" ht="35.25" customHeight="1" x14ac:dyDescent="0.2">
      <c r="C46" s="5" t="s">
        <v>53</v>
      </c>
      <c r="D46" s="11"/>
      <c r="E46" s="11"/>
      <c r="F46" s="11"/>
      <c r="G46" s="11"/>
      <c r="H46" s="11"/>
      <c r="I46" s="11"/>
      <c r="J46" s="35">
        <f t="shared" ref="J46:AF46" si="3">SUM(J47:J47)</f>
        <v>0</v>
      </c>
      <c r="K46" s="35">
        <f t="shared" si="3"/>
        <v>0</v>
      </c>
      <c r="L46" s="35">
        <f t="shared" si="3"/>
        <v>2780.5499999999997</v>
      </c>
      <c r="M46" s="35">
        <f t="shared" si="3"/>
        <v>2752.7449999999999</v>
      </c>
      <c r="N46" s="35">
        <f t="shared" si="3"/>
        <v>27.805</v>
      </c>
      <c r="O46" s="44">
        <f t="shared" si="3"/>
        <v>0</v>
      </c>
      <c r="P46" s="44">
        <f t="shared" si="3"/>
        <v>48.81</v>
      </c>
      <c r="Q46" s="44">
        <f t="shared" si="3"/>
        <v>80393.707000000009</v>
      </c>
      <c r="R46" s="44">
        <f t="shared" si="3"/>
        <v>79589.77</v>
      </c>
      <c r="S46" s="44">
        <f>R46/Q46*100</f>
        <v>99.000000087071484</v>
      </c>
      <c r="T46" s="66">
        <f t="shared" si="3"/>
        <v>803.93700000000001</v>
      </c>
      <c r="U46" s="66">
        <f t="shared" si="3"/>
        <v>0</v>
      </c>
      <c r="V46" s="66">
        <f t="shared" si="3"/>
        <v>0</v>
      </c>
      <c r="W46" s="66">
        <f t="shared" si="3"/>
        <v>0</v>
      </c>
      <c r="X46" s="66">
        <f t="shared" si="3"/>
        <v>0</v>
      </c>
      <c r="Y46" s="66" t="e">
        <f>X46/W46*100</f>
        <v>#DIV/0!</v>
      </c>
      <c r="Z46" s="66">
        <f t="shared" si="3"/>
        <v>0</v>
      </c>
      <c r="AA46" s="44">
        <f t="shared" si="3"/>
        <v>0</v>
      </c>
      <c r="AB46" s="44">
        <f t="shared" si="3"/>
        <v>0</v>
      </c>
      <c r="AC46" s="44">
        <f t="shared" si="3"/>
        <v>0</v>
      </c>
      <c r="AD46" s="44">
        <f t="shared" si="3"/>
        <v>0</v>
      </c>
      <c r="AE46" s="44" t="e">
        <f>AD46/AC46*100</f>
        <v>#DIV/0!</v>
      </c>
      <c r="AF46" s="44">
        <f t="shared" si="3"/>
        <v>0</v>
      </c>
      <c r="AG46" s="39"/>
      <c r="AH46" s="39"/>
    </row>
    <row r="47" spans="2:35" s="42" customFormat="1" ht="105" customHeight="1" x14ac:dyDescent="0.2">
      <c r="B47" s="36" t="s">
        <v>59</v>
      </c>
      <c r="C47" s="32" t="s">
        <v>88</v>
      </c>
      <c r="D47" s="39"/>
      <c r="E47" s="39"/>
      <c r="F47" s="35"/>
      <c r="G47" s="39"/>
      <c r="H47" s="39"/>
      <c r="I47" s="35"/>
      <c r="J47" s="39"/>
      <c r="K47" s="39"/>
      <c r="L47" s="39">
        <f>N47+M47</f>
        <v>2780.5499999999997</v>
      </c>
      <c r="M47" s="39">
        <v>2752.7449999999999</v>
      </c>
      <c r="N47" s="39">
        <v>27.805</v>
      </c>
      <c r="O47" s="39"/>
      <c r="P47" s="39">
        <v>48.81</v>
      </c>
      <c r="Q47" s="39">
        <f>T47+R47</f>
        <v>80393.707000000009</v>
      </c>
      <c r="R47" s="39">
        <f>79589.77</f>
        <v>79589.77</v>
      </c>
      <c r="S47" s="46">
        <f>R47/Q47*100</f>
        <v>99.000000087071484</v>
      </c>
      <c r="T47" s="65">
        <f>803.937</f>
        <v>803.93700000000001</v>
      </c>
      <c r="U47" s="65"/>
      <c r="V47" s="65"/>
      <c r="W47" s="65"/>
      <c r="X47" s="65"/>
      <c r="Y47" s="65"/>
      <c r="Z47" s="65"/>
      <c r="AA47" s="39"/>
      <c r="AB47" s="39"/>
      <c r="AC47" s="39"/>
      <c r="AD47" s="39"/>
      <c r="AE47" s="46"/>
      <c r="AF47" s="39"/>
      <c r="AG47" s="79"/>
      <c r="AH47" s="79"/>
    </row>
    <row r="48" spans="2:35" ht="17.25" customHeight="1" x14ac:dyDescent="0.2">
      <c r="C48" s="1" t="s">
        <v>29</v>
      </c>
      <c r="D48" s="35" t="e">
        <f>#REF!+#REF!+#REF!+#REF!+#REF!+#REF!+#REF!+#REF!+#REF!+#REF!+#REF!+#REF!+#REF!+#REF!+#REF!+#REF!+#REF!+#REF!+#REF!</f>
        <v>#REF!</v>
      </c>
      <c r="E48" s="35" t="e">
        <f>#REF!+#REF!+#REF!+#REF!+#REF!+#REF!+#REF!+#REF!+#REF!+#REF!+#REF!+#REF!+#REF!+#REF!+#REF!+#REF!+#REF!+#REF!+#REF!</f>
        <v>#REF!</v>
      </c>
      <c r="F48" s="35" t="e">
        <f>#REF!+#REF!+#REF!+#REF!+#REF!+#REF!+#REF!+#REF!+#REF!+#REF!+#REF!+#REF!+#REF!+#REF!+#REF!+#REF!+#REF!+#REF!+#REF!</f>
        <v>#REF!</v>
      </c>
      <c r="G48" s="35" t="e">
        <f>#REF!+#REF!+#REF!+#REF!+#REF!+#REF!+#REF!+#REF!+#REF!+#REF!+#REF!+#REF!+#REF!+#REF!+#REF!+#REF!+#REF!+#REF!+#REF!</f>
        <v>#REF!</v>
      </c>
      <c r="H48" s="35" t="e">
        <f>#REF!+#REF!+#REF!+#REF!+#REF!+#REF!+#REF!+#REF!+#REF!+#REF!+#REF!+#REF!+#REF!+#REF!+#REF!+#REF!+#REF!+#REF!+#REF!</f>
        <v>#REF!</v>
      </c>
      <c r="I48" s="35" t="e">
        <f>#REF!+#REF!+#REF!+#REF!+#REF!+#REF!+#REF!+#REF!+#REF!+#REF!+#REF!+#REF!+#REF!+#REF!+#REF!+#REF!+#REF!</f>
        <v>#REF!</v>
      </c>
      <c r="J48" s="35">
        <f t="shared" ref="J48:AF48" si="4">SUM(J49:J52)</f>
        <v>0</v>
      </c>
      <c r="K48" s="35">
        <f t="shared" si="4"/>
        <v>0</v>
      </c>
      <c r="L48" s="35">
        <f t="shared" si="4"/>
        <v>0</v>
      </c>
      <c r="M48" s="35">
        <f t="shared" si="4"/>
        <v>0</v>
      </c>
      <c r="N48" s="35">
        <f t="shared" si="4"/>
        <v>0</v>
      </c>
      <c r="O48" s="35">
        <f t="shared" si="4"/>
        <v>5.3</v>
      </c>
      <c r="P48" s="35">
        <f t="shared" si="4"/>
        <v>0</v>
      </c>
      <c r="Q48" s="35">
        <f t="shared" si="4"/>
        <v>102857.78200000001</v>
      </c>
      <c r="R48" s="35">
        <f t="shared" si="4"/>
        <v>80901.634000000005</v>
      </c>
      <c r="S48" s="16">
        <f>R48/Q48*100</f>
        <v>78.653877642432533</v>
      </c>
      <c r="T48" s="66">
        <f t="shared" si="4"/>
        <v>21956.148000000001</v>
      </c>
      <c r="U48" s="66">
        <f t="shared" si="4"/>
        <v>11.698</v>
      </c>
      <c r="V48" s="66">
        <f t="shared" si="4"/>
        <v>0</v>
      </c>
      <c r="W48" s="66">
        <f t="shared" si="4"/>
        <v>218594.68400000001</v>
      </c>
      <c r="X48" s="66">
        <f t="shared" si="4"/>
        <v>124392.424</v>
      </c>
      <c r="Y48" s="16">
        <f>X48/W48*100</f>
        <v>56.905511938250065</v>
      </c>
      <c r="Z48" s="66">
        <f t="shared" si="4"/>
        <v>94202.260000000009</v>
      </c>
      <c r="AA48" s="35">
        <f t="shared" si="4"/>
        <v>0</v>
      </c>
      <c r="AB48" s="35">
        <f t="shared" si="4"/>
        <v>0</v>
      </c>
      <c r="AC48" s="35">
        <f t="shared" si="4"/>
        <v>0</v>
      </c>
      <c r="AD48" s="35">
        <f t="shared" si="4"/>
        <v>0</v>
      </c>
      <c r="AE48" s="16" t="e">
        <f>AD48/AC48*100</f>
        <v>#DIV/0!</v>
      </c>
      <c r="AF48" s="35">
        <f t="shared" si="4"/>
        <v>0</v>
      </c>
      <c r="AG48" s="39"/>
      <c r="AH48" s="10"/>
      <c r="AI48" s="3"/>
    </row>
    <row r="49" spans="1:38" ht="121.5" customHeight="1" x14ac:dyDescent="0.2">
      <c r="B49" s="36" t="s">
        <v>12</v>
      </c>
      <c r="C49" s="9" t="s">
        <v>48</v>
      </c>
      <c r="D49" s="35"/>
      <c r="E49" s="35"/>
      <c r="F49" s="35"/>
      <c r="G49" s="35"/>
      <c r="H49" s="35"/>
      <c r="I49" s="35"/>
      <c r="J49" s="39"/>
      <c r="K49" s="39"/>
      <c r="L49" s="39"/>
      <c r="M49" s="39"/>
      <c r="N49" s="39"/>
      <c r="O49" s="39"/>
      <c r="P49" s="39"/>
      <c r="Q49" s="39">
        <f>T49+R49</f>
        <v>3336.2489999999998</v>
      </c>
      <c r="R49" s="39">
        <v>3302.886</v>
      </c>
      <c r="S49" s="46">
        <f>R49/Q49*100</f>
        <v>98.999984713371219</v>
      </c>
      <c r="T49" s="65">
        <v>33.363</v>
      </c>
      <c r="U49" s="65">
        <v>5.1920000000000002</v>
      </c>
      <c r="V49" s="65"/>
      <c r="W49" s="65">
        <f>Z49+X49</f>
        <v>125648.914</v>
      </c>
      <c r="X49" s="65">
        <v>124392.424</v>
      </c>
      <c r="Y49" s="65">
        <f>X49/W49*100</f>
        <v>98.999999315553183</v>
      </c>
      <c r="Z49" s="65">
        <v>1256.49</v>
      </c>
      <c r="AA49" s="39"/>
      <c r="AB49" s="39"/>
      <c r="AC49" s="39"/>
      <c r="AD49" s="39"/>
      <c r="AE49" s="46"/>
      <c r="AF49" s="39"/>
      <c r="AG49" s="79"/>
      <c r="AH49" s="79"/>
      <c r="AI49" s="3"/>
    </row>
    <row r="50" spans="1:38" ht="102.75" customHeight="1" x14ac:dyDescent="0.2">
      <c r="B50" s="36" t="s">
        <v>13</v>
      </c>
      <c r="C50" s="12" t="s">
        <v>89</v>
      </c>
      <c r="D50" s="35"/>
      <c r="E50" s="35"/>
      <c r="F50" s="35"/>
      <c r="G50" s="35"/>
      <c r="H50" s="35"/>
      <c r="I50" s="35"/>
      <c r="J50" s="39"/>
      <c r="K50" s="39"/>
      <c r="L50" s="39"/>
      <c r="M50" s="39"/>
      <c r="N50" s="39"/>
      <c r="O50" s="39"/>
      <c r="P50" s="39"/>
      <c r="Q50" s="39">
        <f>R50+T50</f>
        <v>78382.573000000004</v>
      </c>
      <c r="R50" s="39">
        <v>77598.748000000007</v>
      </c>
      <c r="S50" s="46">
        <f>R50/Q50*100</f>
        <v>99.000000931329467</v>
      </c>
      <c r="T50" s="65">
        <v>783.82500000000005</v>
      </c>
      <c r="U50" s="65">
        <v>6.5060000000000002</v>
      </c>
      <c r="V50" s="65"/>
      <c r="W50" s="65">
        <f>X50+Z50</f>
        <v>92945.77</v>
      </c>
      <c r="X50" s="65"/>
      <c r="Y50" s="65"/>
      <c r="Z50" s="65">
        <v>92945.77</v>
      </c>
      <c r="AA50" s="39"/>
      <c r="AB50" s="39"/>
      <c r="AC50" s="39"/>
      <c r="AD50" s="39"/>
      <c r="AE50" s="46"/>
      <c r="AF50" s="39"/>
      <c r="AG50" s="79"/>
      <c r="AH50" s="79"/>
      <c r="AI50" s="3"/>
    </row>
    <row r="51" spans="1:38" ht="95.45" hidden="1" customHeight="1" x14ac:dyDescent="0.2">
      <c r="B51" s="36" t="s">
        <v>17</v>
      </c>
      <c r="C51" s="3" t="s">
        <v>65</v>
      </c>
      <c r="D51" s="35"/>
      <c r="E51" s="35"/>
      <c r="F51" s="35"/>
      <c r="G51" s="35"/>
      <c r="H51" s="35"/>
      <c r="I51" s="35"/>
      <c r="J51" s="39"/>
      <c r="K51" s="39"/>
      <c r="L51" s="39">
        <v>0</v>
      </c>
      <c r="M51" s="39"/>
      <c r="N51" s="39">
        <v>0</v>
      </c>
      <c r="O51" s="39"/>
      <c r="P51" s="39"/>
      <c r="Q51" s="39"/>
      <c r="R51" s="39"/>
      <c r="S51" s="46"/>
      <c r="T51" s="65"/>
      <c r="U51" s="65"/>
      <c r="V51" s="65"/>
      <c r="W51" s="65"/>
      <c r="X51" s="65"/>
      <c r="Y51" s="65"/>
      <c r="Z51" s="65"/>
      <c r="AA51" s="39"/>
      <c r="AB51" s="39"/>
      <c r="AC51" s="39"/>
      <c r="AD51" s="39"/>
      <c r="AE51" s="46"/>
      <c r="AF51" s="39"/>
      <c r="AG51" s="80"/>
      <c r="AH51" s="80"/>
      <c r="AI51" s="3"/>
      <c r="AL51" s="10"/>
    </row>
    <row r="52" spans="1:38" ht="108" customHeight="1" x14ac:dyDescent="0.2">
      <c r="B52" s="36" t="s">
        <v>14</v>
      </c>
      <c r="C52" s="3" t="s">
        <v>90</v>
      </c>
      <c r="D52" s="35"/>
      <c r="E52" s="35"/>
      <c r="F52" s="35"/>
      <c r="G52" s="35"/>
      <c r="H52" s="35"/>
      <c r="I52" s="35"/>
      <c r="J52" s="39"/>
      <c r="K52" s="39"/>
      <c r="L52" s="39"/>
      <c r="M52" s="39"/>
      <c r="N52" s="39"/>
      <c r="O52" s="39">
        <v>5.3</v>
      </c>
      <c r="P52" s="39"/>
      <c r="Q52" s="39">
        <f>R52+T52</f>
        <v>21138.959999999999</v>
      </c>
      <c r="R52" s="39"/>
      <c r="S52" s="46"/>
      <c r="T52" s="65">
        <f>21138.822+0.138</f>
        <v>21138.959999999999</v>
      </c>
      <c r="U52" s="65"/>
      <c r="V52" s="65"/>
      <c r="W52" s="65"/>
      <c r="X52" s="65"/>
      <c r="Y52" s="65"/>
      <c r="Z52" s="65"/>
      <c r="AA52" s="39"/>
      <c r="AB52" s="39"/>
      <c r="AC52" s="39"/>
      <c r="AD52" s="39"/>
      <c r="AE52" s="46"/>
      <c r="AF52" s="39"/>
      <c r="AG52" s="39"/>
      <c r="AH52" s="10"/>
      <c r="AI52" s="3"/>
    </row>
    <row r="53" spans="1:38" s="5" customFormat="1" ht="36.75" customHeight="1" x14ac:dyDescent="0.2">
      <c r="A53" s="42"/>
      <c r="B53" s="42"/>
      <c r="C53" s="13" t="s">
        <v>52</v>
      </c>
      <c r="D53" s="35"/>
      <c r="E53" s="35"/>
      <c r="F53" s="35"/>
      <c r="G53" s="35"/>
      <c r="H53" s="35"/>
      <c r="I53" s="35"/>
      <c r="J53" s="35">
        <f t="shared" ref="J53:AF53" si="5">SUM(J54:J59)</f>
        <v>0</v>
      </c>
      <c r="K53" s="35">
        <f t="shared" si="5"/>
        <v>0</v>
      </c>
      <c r="L53" s="35">
        <f t="shared" si="5"/>
        <v>11966.548000000001</v>
      </c>
      <c r="M53" s="35">
        <f t="shared" si="5"/>
        <v>11846.883</v>
      </c>
      <c r="N53" s="35">
        <f t="shared" si="5"/>
        <v>119.66499999999999</v>
      </c>
      <c r="O53" s="35">
        <f t="shared" si="5"/>
        <v>0</v>
      </c>
      <c r="P53" s="35">
        <f t="shared" si="5"/>
        <v>489.96</v>
      </c>
      <c r="Q53" s="35">
        <f t="shared" si="5"/>
        <v>395669.66400000005</v>
      </c>
      <c r="R53" s="35">
        <f t="shared" si="5"/>
        <v>391712.967</v>
      </c>
      <c r="S53" s="16">
        <f t="shared" ref="S53:S59" si="6">R53/Q53*100</f>
        <v>98.999999909015003</v>
      </c>
      <c r="T53" s="35">
        <f t="shared" si="5"/>
        <v>3956.6969999999997</v>
      </c>
      <c r="U53" s="35">
        <f t="shared" si="5"/>
        <v>0</v>
      </c>
      <c r="V53" s="35">
        <f t="shared" si="5"/>
        <v>173.04999999999998</v>
      </c>
      <c r="W53" s="35">
        <f t="shared" si="5"/>
        <v>244095.73</v>
      </c>
      <c r="X53" s="35">
        <f t="shared" si="5"/>
        <v>241654.77299999999</v>
      </c>
      <c r="Y53" s="16">
        <f>X53/W53*100</f>
        <v>99.000000122902591</v>
      </c>
      <c r="Z53" s="35">
        <f t="shared" si="5"/>
        <v>2440.9569999999999</v>
      </c>
      <c r="AA53" s="35">
        <f t="shared" si="5"/>
        <v>0</v>
      </c>
      <c r="AB53" s="35">
        <f t="shared" si="5"/>
        <v>0</v>
      </c>
      <c r="AC53" s="35">
        <f t="shared" si="5"/>
        <v>0</v>
      </c>
      <c r="AD53" s="35">
        <f t="shared" si="5"/>
        <v>0</v>
      </c>
      <c r="AE53" s="16" t="e">
        <f>AD53/AC53*100</f>
        <v>#DIV/0!</v>
      </c>
      <c r="AF53" s="35">
        <f t="shared" si="5"/>
        <v>0</v>
      </c>
      <c r="AG53" s="39"/>
      <c r="AH53" s="10"/>
    </row>
    <row r="54" spans="1:38" ht="102.75" customHeight="1" x14ac:dyDescent="0.2">
      <c r="B54" s="36" t="s">
        <v>15</v>
      </c>
      <c r="C54" s="9" t="s">
        <v>67</v>
      </c>
      <c r="D54" s="35"/>
      <c r="E54" s="35"/>
      <c r="F54" s="35"/>
      <c r="G54" s="35"/>
      <c r="H54" s="35"/>
      <c r="I54" s="35"/>
      <c r="J54" s="35"/>
      <c r="K54" s="39"/>
      <c r="L54" s="39">
        <f>N54+M54</f>
        <v>10000</v>
      </c>
      <c r="M54" s="39">
        <v>9900</v>
      </c>
      <c r="N54" s="39">
        <v>100</v>
      </c>
      <c r="O54" s="39"/>
      <c r="P54" s="39">
        <v>388</v>
      </c>
      <c r="Q54" s="39">
        <f>T54+R54</f>
        <v>235608.06299999999</v>
      </c>
      <c r="R54" s="39">
        <f>233251.063</f>
        <v>233251.06299999999</v>
      </c>
      <c r="S54" s="46">
        <f t="shared" si="6"/>
        <v>98.999609788396754</v>
      </c>
      <c r="T54" s="39">
        <f>2357</f>
        <v>2357</v>
      </c>
      <c r="U54" s="39"/>
      <c r="V54" s="39"/>
      <c r="W54" s="39"/>
      <c r="X54" s="39"/>
      <c r="Y54" s="46"/>
      <c r="Z54" s="39"/>
      <c r="AA54" s="39"/>
      <c r="AB54" s="39"/>
      <c r="AC54" s="39"/>
      <c r="AD54" s="39"/>
      <c r="AE54" s="46"/>
      <c r="AF54" s="39"/>
      <c r="AG54" s="79"/>
      <c r="AH54" s="79"/>
      <c r="AI54" s="3"/>
    </row>
    <row r="55" spans="1:38" ht="85.5" customHeight="1" x14ac:dyDescent="0.2">
      <c r="B55" s="36" t="s">
        <v>16</v>
      </c>
      <c r="C55" s="12" t="s">
        <v>54</v>
      </c>
      <c r="D55" s="35"/>
      <c r="E55" s="35"/>
      <c r="F55" s="35"/>
      <c r="G55" s="35"/>
      <c r="H55" s="35"/>
      <c r="I55" s="35"/>
      <c r="J55" s="39"/>
      <c r="K55" s="39"/>
      <c r="L55" s="39">
        <f>N55+M55</f>
        <v>1966.548</v>
      </c>
      <c r="M55" s="39">
        <v>1946.883</v>
      </c>
      <c r="N55" s="39">
        <v>19.664999999999999</v>
      </c>
      <c r="O55" s="39"/>
      <c r="P55" s="39">
        <v>88.4</v>
      </c>
      <c r="Q55" s="39">
        <f>T55+R55</f>
        <v>93190.8</v>
      </c>
      <c r="R55" s="39">
        <f>92258.892</f>
        <v>92258.892000000007</v>
      </c>
      <c r="S55" s="46">
        <f t="shared" si="6"/>
        <v>99</v>
      </c>
      <c r="T55" s="39">
        <f>931.908</f>
        <v>931.90800000000002</v>
      </c>
      <c r="U55" s="39"/>
      <c r="V55" s="39"/>
      <c r="W55" s="39"/>
      <c r="X55" s="39"/>
      <c r="Y55" s="46"/>
      <c r="Z55" s="39"/>
      <c r="AA55" s="39"/>
      <c r="AB55" s="39"/>
      <c r="AC55" s="39"/>
      <c r="AD55" s="39"/>
      <c r="AE55" s="46"/>
      <c r="AF55" s="39"/>
      <c r="AG55" s="79"/>
      <c r="AH55" s="79"/>
      <c r="AI55" s="3"/>
    </row>
    <row r="56" spans="1:38" ht="88.15" customHeight="1" x14ac:dyDescent="0.2">
      <c r="B56" s="36" t="s">
        <v>49</v>
      </c>
      <c r="C56" s="3" t="s">
        <v>77</v>
      </c>
      <c r="D56" s="35"/>
      <c r="E56" s="35"/>
      <c r="F56" s="35"/>
      <c r="G56" s="35"/>
      <c r="H56" s="35"/>
      <c r="I56" s="35"/>
      <c r="J56" s="39"/>
      <c r="K56" s="39"/>
      <c r="L56" s="39"/>
      <c r="M56" s="39"/>
      <c r="N56" s="39"/>
      <c r="O56" s="39"/>
      <c r="P56" s="39"/>
      <c r="Q56" s="39">
        <f>T56+R56</f>
        <v>31443.640000000003</v>
      </c>
      <c r="R56" s="39">
        <v>31129.203000000001</v>
      </c>
      <c r="S56" s="46">
        <f t="shared" si="6"/>
        <v>98.999998091823969</v>
      </c>
      <c r="T56" s="39">
        <v>314.43700000000001</v>
      </c>
      <c r="U56" s="39"/>
      <c r="V56" s="39">
        <v>53.05</v>
      </c>
      <c r="W56" s="39">
        <f>Z56+X56</f>
        <v>63136.476999999999</v>
      </c>
      <c r="X56" s="39">
        <v>62505.112000000001</v>
      </c>
      <c r="Y56" s="46">
        <f>X56/W56*100</f>
        <v>98.999999635709798</v>
      </c>
      <c r="Z56" s="39">
        <v>631.36500000000001</v>
      </c>
      <c r="AA56" s="39"/>
      <c r="AB56" s="39"/>
      <c r="AC56" s="39"/>
      <c r="AD56" s="39"/>
      <c r="AE56" s="46"/>
      <c r="AF56" s="39"/>
      <c r="AG56" s="39"/>
      <c r="AH56" s="10"/>
      <c r="AI56" s="3"/>
      <c r="AL56" s="10"/>
    </row>
    <row r="57" spans="1:38" ht="105.6" customHeight="1" x14ac:dyDescent="0.2">
      <c r="B57" s="36" t="s">
        <v>17</v>
      </c>
      <c r="C57" s="3" t="s">
        <v>68</v>
      </c>
      <c r="D57" s="35"/>
      <c r="E57" s="35"/>
      <c r="F57" s="35"/>
      <c r="G57" s="35"/>
      <c r="H57" s="35"/>
      <c r="I57" s="35"/>
      <c r="J57" s="39"/>
      <c r="K57" s="39"/>
      <c r="L57" s="39"/>
      <c r="M57" s="39"/>
      <c r="N57" s="39"/>
      <c r="O57" s="39"/>
      <c r="P57" s="39"/>
      <c r="Q57" s="39">
        <f>T57+R57</f>
        <v>17500</v>
      </c>
      <c r="R57" s="39">
        <v>17325</v>
      </c>
      <c r="S57" s="46">
        <f t="shared" si="6"/>
        <v>99</v>
      </c>
      <c r="T57" s="65">
        <v>175</v>
      </c>
      <c r="U57" s="65"/>
      <c r="V57" s="65">
        <v>42.4</v>
      </c>
      <c r="W57" s="65">
        <f>Z57+X57</f>
        <v>63727.3</v>
      </c>
      <c r="X57" s="65">
        <v>63090.027000000002</v>
      </c>
      <c r="Y57" s="65">
        <f>X57/W57*100</f>
        <v>99</v>
      </c>
      <c r="Z57" s="65">
        <v>637.27300000000002</v>
      </c>
      <c r="AA57" s="39"/>
      <c r="AB57" s="39"/>
      <c r="AC57" s="39"/>
      <c r="AD57" s="39"/>
      <c r="AE57" s="46"/>
      <c r="AF57" s="39"/>
      <c r="AG57" s="39"/>
      <c r="AH57" s="10"/>
      <c r="AI57" s="3"/>
      <c r="AL57" s="10"/>
    </row>
    <row r="58" spans="1:38" ht="106.5" customHeight="1" x14ac:dyDescent="0.2">
      <c r="B58" s="36" t="s">
        <v>18</v>
      </c>
      <c r="C58" s="3" t="s">
        <v>66</v>
      </c>
      <c r="D58" s="35"/>
      <c r="E58" s="35"/>
      <c r="F58" s="35"/>
      <c r="G58" s="35"/>
      <c r="H58" s="35"/>
      <c r="I58" s="35"/>
      <c r="J58" s="39"/>
      <c r="K58" s="39"/>
      <c r="L58" s="39"/>
      <c r="M58" s="39"/>
      <c r="N58" s="39"/>
      <c r="O58" s="39"/>
      <c r="P58" s="39"/>
      <c r="Q58" s="39">
        <f>T58+R58</f>
        <v>17500</v>
      </c>
      <c r="R58" s="39">
        <v>17325</v>
      </c>
      <c r="S58" s="46">
        <f t="shared" si="6"/>
        <v>99</v>
      </c>
      <c r="T58" s="65">
        <v>175</v>
      </c>
      <c r="U58" s="65"/>
      <c r="V58" s="65">
        <v>77.599999999999994</v>
      </c>
      <c r="W58" s="65">
        <f>Z58+X58</f>
        <v>117231.95300000001</v>
      </c>
      <c r="X58" s="65">
        <v>116059.63400000001</v>
      </c>
      <c r="Y58" s="65">
        <f>X58/W58*100</f>
        <v>99.000000452095165</v>
      </c>
      <c r="Z58" s="65">
        <f>1172.32-0.001</f>
        <v>1172.319</v>
      </c>
      <c r="AA58" s="39"/>
      <c r="AB58" s="39"/>
      <c r="AC58" s="39"/>
      <c r="AD58" s="39"/>
      <c r="AE58" s="46"/>
      <c r="AF58" s="39"/>
      <c r="AG58" s="39"/>
      <c r="AH58" s="10"/>
      <c r="AI58" s="3"/>
      <c r="AL58" s="10"/>
    </row>
    <row r="59" spans="1:38" ht="108" customHeight="1" x14ac:dyDescent="0.2">
      <c r="B59" s="36" t="s">
        <v>19</v>
      </c>
      <c r="C59" s="3" t="s">
        <v>91</v>
      </c>
      <c r="D59" s="35"/>
      <c r="E59" s="35"/>
      <c r="F59" s="35"/>
      <c r="G59" s="35"/>
      <c r="H59" s="35"/>
      <c r="I59" s="35"/>
      <c r="J59" s="39"/>
      <c r="K59" s="39"/>
      <c r="L59" s="39"/>
      <c r="M59" s="39"/>
      <c r="N59" s="39"/>
      <c r="O59" s="39"/>
      <c r="P59" s="39">
        <v>13.56</v>
      </c>
      <c r="Q59" s="39">
        <f>R59+T59</f>
        <v>427.16099999999994</v>
      </c>
      <c r="R59" s="39">
        <f>423.017+0.792</f>
        <v>423.80899999999997</v>
      </c>
      <c r="S59" s="46">
        <f t="shared" si="6"/>
        <v>99.215284166859803</v>
      </c>
      <c r="T59" s="65">
        <f>4.282-0.138-0.792</f>
        <v>3.3520000000000003</v>
      </c>
      <c r="U59" s="65"/>
      <c r="V59" s="65"/>
      <c r="W59" s="65"/>
      <c r="X59" s="65"/>
      <c r="Y59" s="65"/>
      <c r="Z59" s="65"/>
      <c r="AA59" s="39"/>
      <c r="AB59" s="39"/>
      <c r="AC59" s="39"/>
      <c r="AD59" s="39"/>
      <c r="AE59" s="46"/>
      <c r="AF59" s="39"/>
      <c r="AG59" s="39"/>
      <c r="AH59" s="10"/>
      <c r="AI59" s="3"/>
      <c r="AL59" s="10"/>
    </row>
    <row r="60" spans="1:38" ht="24.6" hidden="1" customHeight="1" x14ac:dyDescent="0.2">
      <c r="C60" s="7" t="s">
        <v>30</v>
      </c>
      <c r="D60" s="35"/>
      <c r="E60" s="35"/>
      <c r="F60" s="35"/>
      <c r="G60" s="35"/>
      <c r="H60" s="35"/>
      <c r="I60" s="35"/>
      <c r="J60" s="35"/>
      <c r="K60" s="35"/>
      <c r="L60" s="35">
        <f>N60</f>
        <v>69772.975000000006</v>
      </c>
      <c r="M60" s="35"/>
      <c r="N60" s="35">
        <f>69772.975</f>
        <v>69772.975000000006</v>
      </c>
      <c r="O60" s="35"/>
      <c r="P60" s="35"/>
      <c r="Q60" s="35">
        <f>T60</f>
        <v>0</v>
      </c>
      <c r="R60" s="35"/>
      <c r="S60" s="44"/>
      <c r="T60" s="35">
        <f>70000-70000</f>
        <v>0</v>
      </c>
      <c r="U60" s="35"/>
      <c r="V60" s="35"/>
      <c r="W60" s="35">
        <f>Z60</f>
        <v>0</v>
      </c>
      <c r="X60" s="35"/>
      <c r="Y60" s="44"/>
      <c r="Z60" s="35">
        <f>70000-70000</f>
        <v>0</v>
      </c>
      <c r="AA60" s="35"/>
      <c r="AB60" s="35"/>
      <c r="AC60" s="35">
        <f>AF60</f>
        <v>0</v>
      </c>
      <c r="AD60" s="35"/>
      <c r="AE60" s="44"/>
      <c r="AF60" s="35">
        <f>70000-70000</f>
        <v>0</v>
      </c>
      <c r="AG60" s="79"/>
      <c r="AH60" s="79"/>
      <c r="AI60" s="3"/>
      <c r="AL60" s="10"/>
    </row>
    <row r="61" spans="1:38" ht="30" customHeight="1" x14ac:dyDescent="0.2">
      <c r="B61" s="73" t="s">
        <v>34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39"/>
      <c r="AH61" s="10"/>
      <c r="AI61" s="3"/>
    </row>
    <row r="62" spans="1:38" ht="36" customHeight="1" x14ac:dyDescent="0.2">
      <c r="C62" s="7" t="s">
        <v>32</v>
      </c>
      <c r="F62" s="36">
        <v>361.82900000000001</v>
      </c>
      <c r="J62" s="35"/>
      <c r="K62" s="35"/>
      <c r="L62" s="35">
        <f>L64+L66+L67</f>
        <v>826023.48</v>
      </c>
      <c r="M62" s="35"/>
      <c r="N62" s="35">
        <f>N64+N66+N67</f>
        <v>826023.48</v>
      </c>
      <c r="O62" s="16"/>
      <c r="P62" s="16"/>
      <c r="Q62" s="16">
        <f>Q64+Q66+Q67</f>
        <v>1056851.6910000001</v>
      </c>
      <c r="R62" s="16"/>
      <c r="S62" s="16">
        <f>R62/Q62*100</f>
        <v>0</v>
      </c>
      <c r="T62" s="16">
        <f>T64+T66+T67</f>
        <v>1056851.6910000001</v>
      </c>
      <c r="U62" s="16"/>
      <c r="V62" s="16"/>
      <c r="W62" s="16">
        <f>W64+W66+W67</f>
        <v>1213000.0009999999</v>
      </c>
      <c r="X62" s="16"/>
      <c r="Y62" s="16">
        <f>X62/W62*100</f>
        <v>0</v>
      </c>
      <c r="Z62" s="16">
        <f>Z64+Z66+Z67</f>
        <v>1213000.0009999999</v>
      </c>
      <c r="AA62" s="16"/>
      <c r="AB62" s="16"/>
      <c r="AC62" s="16">
        <f>AC64+AC66+AC67</f>
        <v>1213000</v>
      </c>
      <c r="AD62" s="16"/>
      <c r="AE62" s="16">
        <f>AD62/AC62*100</f>
        <v>0</v>
      </c>
      <c r="AF62" s="16">
        <f>AF64+AF66+AF67</f>
        <v>1213000</v>
      </c>
      <c r="AG62" s="39"/>
      <c r="AH62" s="10"/>
      <c r="AI62" s="3"/>
    </row>
    <row r="63" spans="1:38" ht="16.5" customHeight="1" x14ac:dyDescent="0.2">
      <c r="C63" s="7" t="s">
        <v>4</v>
      </c>
      <c r="R63" s="36"/>
      <c r="S63" s="45"/>
      <c r="T63" s="36"/>
      <c r="X63" s="36"/>
      <c r="Y63" s="45"/>
      <c r="Z63" s="36"/>
      <c r="AD63" s="36"/>
      <c r="AE63" s="45"/>
      <c r="AF63" s="36"/>
      <c r="AG63" s="39"/>
      <c r="AH63" s="10"/>
      <c r="AI63" s="3"/>
    </row>
    <row r="64" spans="1:38" ht="33.6" customHeight="1" x14ac:dyDescent="0.2">
      <c r="A64" s="42" t="s">
        <v>6</v>
      </c>
      <c r="C64" s="7" t="s">
        <v>28</v>
      </c>
      <c r="F64" s="35">
        <v>319561.90600000002</v>
      </c>
      <c r="G64" s="35"/>
      <c r="H64" s="35"/>
      <c r="I64" s="35">
        <v>312815.76699999999</v>
      </c>
      <c r="L64" s="39">
        <f>M64+N64</f>
        <v>795000.04799999995</v>
      </c>
      <c r="M64" s="39"/>
      <c r="N64" s="39">
        <v>795000.04799999995</v>
      </c>
      <c r="Q64" s="39">
        <f>R64+T64</f>
        <v>1012851.691</v>
      </c>
      <c r="R64" s="39"/>
      <c r="S64" s="46"/>
      <c r="T64" s="39">
        <f>1012851.691</f>
        <v>1012851.691</v>
      </c>
      <c r="W64" s="39">
        <f>X64+Z64</f>
        <v>1169000.0009999999</v>
      </c>
      <c r="X64" s="39"/>
      <c r="Y64" s="46"/>
      <c r="Z64" s="39">
        <f>1169000.001</f>
        <v>1169000.0009999999</v>
      </c>
      <c r="AC64" s="39">
        <f>AD64+AF64</f>
        <v>1169000</v>
      </c>
      <c r="AD64" s="39"/>
      <c r="AE64" s="46"/>
      <c r="AF64" s="39">
        <f>1169000</f>
        <v>1169000</v>
      </c>
      <c r="AG64" s="79"/>
      <c r="AH64" s="79"/>
      <c r="AI64" s="10"/>
    </row>
    <row r="65" spans="1:38" ht="33" customHeight="1" x14ac:dyDescent="0.2">
      <c r="C65" s="5" t="s">
        <v>38</v>
      </c>
      <c r="F65" s="35"/>
      <c r="G65" s="35"/>
      <c r="H65" s="35"/>
      <c r="I65" s="35"/>
      <c r="L65" s="35"/>
      <c r="M65" s="35"/>
      <c r="N65" s="35"/>
      <c r="Q65" s="35"/>
      <c r="R65" s="35"/>
      <c r="S65" s="44"/>
      <c r="T65" s="35"/>
      <c r="W65" s="35"/>
      <c r="X65" s="35"/>
      <c r="Y65" s="44"/>
      <c r="Z65" s="35"/>
      <c r="AC65" s="35"/>
      <c r="AD65" s="35"/>
      <c r="AE65" s="44"/>
      <c r="AF65" s="35"/>
      <c r="AG65" s="39"/>
      <c r="AH65" s="10"/>
      <c r="AI65" s="3"/>
    </row>
    <row r="66" spans="1:38" ht="51.6" customHeight="1" x14ac:dyDescent="0.2">
      <c r="C66" s="7" t="s">
        <v>33</v>
      </c>
      <c r="F66" s="35">
        <v>2967.884</v>
      </c>
      <c r="G66" s="35"/>
      <c r="H66" s="35"/>
      <c r="I66" s="35">
        <v>2967.884</v>
      </c>
      <c r="L66" s="39">
        <f>N66</f>
        <v>0</v>
      </c>
      <c r="M66" s="39"/>
      <c r="N66" s="39">
        <v>0</v>
      </c>
      <c r="Q66" s="39">
        <f>T66</f>
        <v>2000</v>
      </c>
      <c r="R66" s="39"/>
      <c r="S66" s="46"/>
      <c r="T66" s="39">
        <f>2000</f>
        <v>2000</v>
      </c>
      <c r="W66" s="39">
        <f>Z66</f>
        <v>2000</v>
      </c>
      <c r="X66" s="39"/>
      <c r="Y66" s="46"/>
      <c r="Z66" s="39">
        <f>2000</f>
        <v>2000</v>
      </c>
      <c r="AC66" s="39">
        <f>AF66</f>
        <v>2000</v>
      </c>
      <c r="AD66" s="39"/>
      <c r="AE66" s="46"/>
      <c r="AF66" s="39">
        <f>2000</f>
        <v>2000</v>
      </c>
      <c r="AG66" s="39"/>
      <c r="AH66" s="10"/>
      <c r="AI66" s="3"/>
    </row>
    <row r="67" spans="1:38" ht="52.5" customHeight="1" x14ac:dyDescent="0.2">
      <c r="C67" s="7" t="s">
        <v>5</v>
      </c>
      <c r="F67" s="35">
        <v>4170.2290000000003</v>
      </c>
      <c r="G67" s="35"/>
      <c r="H67" s="35"/>
      <c r="I67" s="35">
        <v>4170.2290000000003</v>
      </c>
      <c r="L67" s="39">
        <f>N67</f>
        <v>31023.432000000001</v>
      </c>
      <c r="M67" s="39"/>
      <c r="N67" s="39">
        <f>43000-11976.568</f>
        <v>31023.432000000001</v>
      </c>
      <c r="Q67" s="39">
        <f>T67</f>
        <v>42000</v>
      </c>
      <c r="R67" s="39"/>
      <c r="S67" s="46"/>
      <c r="T67" s="39">
        <f>42000</f>
        <v>42000</v>
      </c>
      <c r="W67" s="39">
        <f>Z67</f>
        <v>42000</v>
      </c>
      <c r="X67" s="39"/>
      <c r="Y67" s="46"/>
      <c r="Z67" s="39">
        <v>42000</v>
      </c>
      <c r="AC67" s="39">
        <f>AF67</f>
        <v>42000</v>
      </c>
      <c r="AD67" s="39"/>
      <c r="AE67" s="46"/>
      <c r="AF67" s="39">
        <v>42000</v>
      </c>
      <c r="AG67" s="39"/>
      <c r="AH67" s="10"/>
      <c r="AI67" s="3"/>
    </row>
    <row r="68" spans="1:38" ht="16.5" customHeight="1" x14ac:dyDescent="0.2">
      <c r="C68" s="7"/>
      <c r="F68" s="35"/>
      <c r="G68" s="35"/>
      <c r="H68" s="35"/>
      <c r="I68" s="35"/>
      <c r="L68" s="39"/>
      <c r="M68" s="39"/>
      <c r="N68" s="39"/>
      <c r="Q68" s="39"/>
      <c r="R68" s="39"/>
      <c r="S68" s="46"/>
      <c r="T68" s="39"/>
      <c r="W68" s="39"/>
      <c r="X68" s="39"/>
      <c r="Y68" s="46"/>
      <c r="Z68" s="39"/>
      <c r="AC68" s="39"/>
      <c r="AD68" s="39"/>
      <c r="AE68" s="46"/>
      <c r="AF68" s="39"/>
      <c r="AG68" s="39"/>
      <c r="AH68" s="10"/>
      <c r="AI68" s="3"/>
    </row>
    <row r="69" spans="1:38" ht="43.5" customHeight="1" x14ac:dyDescent="0.2">
      <c r="B69" s="73" t="s">
        <v>60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39"/>
      <c r="AH69" s="10"/>
      <c r="AI69" s="3"/>
    </row>
    <row r="70" spans="1:38" ht="36" customHeight="1" x14ac:dyDescent="0.2">
      <c r="C70" s="7" t="s">
        <v>57</v>
      </c>
      <c r="F70" s="36">
        <v>361.82900000000001</v>
      </c>
      <c r="J70" s="16">
        <f t="shared" ref="J70:AF70" si="7">SUM(J72:J74)</f>
        <v>0</v>
      </c>
      <c r="K70" s="16">
        <f t="shared" si="7"/>
        <v>0</v>
      </c>
      <c r="L70" s="16">
        <f t="shared" si="7"/>
        <v>0</v>
      </c>
      <c r="M70" s="16">
        <f t="shared" si="7"/>
        <v>0</v>
      </c>
      <c r="N70" s="16">
        <f t="shared" si="7"/>
        <v>0</v>
      </c>
      <c r="O70" s="16">
        <f t="shared" si="7"/>
        <v>4.1840000000000002</v>
      </c>
      <c r="P70" s="16">
        <f t="shared" si="7"/>
        <v>0</v>
      </c>
      <c r="Q70" s="16">
        <f t="shared" si="7"/>
        <v>129155</v>
      </c>
      <c r="R70" s="16">
        <f t="shared" si="7"/>
        <v>129155</v>
      </c>
      <c r="S70" s="16">
        <f>R70/Q70*100</f>
        <v>100</v>
      </c>
      <c r="T70" s="16">
        <f t="shared" si="7"/>
        <v>0</v>
      </c>
      <c r="U70" s="16">
        <f t="shared" si="7"/>
        <v>0</v>
      </c>
      <c r="V70" s="16">
        <f t="shared" si="7"/>
        <v>0</v>
      </c>
      <c r="W70" s="16">
        <f t="shared" si="7"/>
        <v>0</v>
      </c>
      <c r="X70" s="16">
        <f t="shared" si="7"/>
        <v>0</v>
      </c>
      <c r="Y70" s="16" t="e">
        <f>X70/W70*100</f>
        <v>#DIV/0!</v>
      </c>
      <c r="Z70" s="16">
        <f t="shared" si="7"/>
        <v>0</v>
      </c>
      <c r="AA70" s="16">
        <f t="shared" si="7"/>
        <v>0</v>
      </c>
      <c r="AB70" s="16">
        <f t="shared" si="7"/>
        <v>0</v>
      </c>
      <c r="AC70" s="16">
        <f t="shared" si="7"/>
        <v>0</v>
      </c>
      <c r="AD70" s="16">
        <f t="shared" si="7"/>
        <v>0</v>
      </c>
      <c r="AE70" s="16" t="e">
        <f>AD70/AC70*100</f>
        <v>#DIV/0!</v>
      </c>
      <c r="AF70" s="16">
        <f t="shared" si="7"/>
        <v>0</v>
      </c>
      <c r="AG70" s="41"/>
      <c r="AH70" s="10"/>
      <c r="AI70" s="3"/>
    </row>
    <row r="71" spans="1:38" ht="23.1" customHeight="1" x14ac:dyDescent="0.2">
      <c r="A71" s="36"/>
      <c r="C71" s="9" t="s">
        <v>4</v>
      </c>
      <c r="J71" s="39"/>
      <c r="K71" s="39"/>
      <c r="L71" s="39"/>
      <c r="M71" s="39"/>
      <c r="N71" s="39"/>
      <c r="O71" s="39"/>
      <c r="P71" s="39"/>
      <c r="Q71" s="39"/>
      <c r="R71" s="39"/>
      <c r="S71" s="46"/>
      <c r="T71" s="39"/>
      <c r="U71" s="39"/>
      <c r="V71" s="39"/>
      <c r="W71" s="39"/>
      <c r="X71" s="39"/>
      <c r="Y71" s="46"/>
      <c r="Z71" s="39"/>
      <c r="AA71" s="39"/>
      <c r="AB71" s="39"/>
      <c r="AC71" s="39"/>
      <c r="AD71" s="39"/>
      <c r="AE71" s="46"/>
      <c r="AF71" s="39"/>
      <c r="AG71" s="39"/>
      <c r="AH71" s="10"/>
      <c r="AI71" s="3"/>
    </row>
    <row r="72" spans="1:38" s="42" customFormat="1" ht="123" customHeight="1" x14ac:dyDescent="0.2">
      <c r="B72" s="36" t="s">
        <v>12</v>
      </c>
      <c r="C72" s="12" t="s">
        <v>69</v>
      </c>
      <c r="D72" s="39"/>
      <c r="E72" s="39"/>
      <c r="F72" s="35"/>
      <c r="G72" s="39"/>
      <c r="H72" s="39"/>
      <c r="I72" s="35"/>
      <c r="J72" s="39"/>
      <c r="K72" s="39"/>
      <c r="L72" s="39"/>
      <c r="M72" s="39"/>
      <c r="N72" s="39"/>
      <c r="O72" s="39">
        <v>3.2240000000000002</v>
      </c>
      <c r="P72" s="39"/>
      <c r="Q72" s="39">
        <f>R72+T72</f>
        <v>15834.557000000001</v>
      </c>
      <c r="R72" s="39">
        <v>15834.557000000001</v>
      </c>
      <c r="S72" s="46"/>
      <c r="T72" s="39"/>
      <c r="U72" s="39"/>
      <c r="V72" s="39"/>
      <c r="W72" s="39"/>
      <c r="X72" s="39"/>
      <c r="Y72" s="46"/>
      <c r="Z72" s="39"/>
      <c r="AA72" s="39"/>
      <c r="AB72" s="39"/>
      <c r="AC72" s="39"/>
      <c r="AD72" s="39"/>
      <c r="AE72" s="46"/>
      <c r="AF72" s="39"/>
      <c r="AG72" s="39"/>
      <c r="AH72" s="39"/>
    </row>
    <row r="73" spans="1:38" ht="106.5" customHeight="1" x14ac:dyDescent="0.2">
      <c r="B73" s="36" t="s">
        <v>13</v>
      </c>
      <c r="C73" s="3" t="s">
        <v>92</v>
      </c>
      <c r="D73" s="35"/>
      <c r="E73" s="35"/>
      <c r="F73" s="35"/>
      <c r="G73" s="35"/>
      <c r="H73" s="35"/>
      <c r="I73" s="35"/>
      <c r="J73" s="39"/>
      <c r="K73" s="39"/>
      <c r="L73" s="39"/>
      <c r="M73" s="39"/>
      <c r="N73" s="39"/>
      <c r="O73" s="39"/>
      <c r="P73" s="39"/>
      <c r="Q73" s="39">
        <f>R73+T73</f>
        <v>7583.0479999999998</v>
      </c>
      <c r="R73" s="39">
        <v>7583.0479999999998</v>
      </c>
      <c r="S73" s="46"/>
      <c r="T73" s="39"/>
      <c r="U73" s="39"/>
      <c r="V73" s="39"/>
      <c r="W73" s="39"/>
      <c r="X73" s="39"/>
      <c r="Y73" s="46"/>
      <c r="Z73" s="39"/>
      <c r="AA73" s="39"/>
      <c r="AB73" s="39"/>
      <c r="AC73" s="39"/>
      <c r="AD73" s="39"/>
      <c r="AE73" s="46"/>
      <c r="AF73" s="39"/>
      <c r="AG73" s="39"/>
      <c r="AH73" s="10"/>
      <c r="AI73" s="3"/>
      <c r="AL73" s="10"/>
    </row>
    <row r="74" spans="1:38" s="42" customFormat="1" ht="127.5" customHeight="1" x14ac:dyDescent="0.2">
      <c r="B74" s="36" t="s">
        <v>14</v>
      </c>
      <c r="C74" s="32" t="s">
        <v>93</v>
      </c>
      <c r="D74" s="39"/>
      <c r="E74" s="39"/>
      <c r="F74" s="35"/>
      <c r="G74" s="39"/>
      <c r="H74" s="39"/>
      <c r="I74" s="35"/>
      <c r="J74" s="39"/>
      <c r="K74" s="39"/>
      <c r="L74" s="39"/>
      <c r="M74" s="39"/>
      <c r="N74" s="39"/>
      <c r="O74" s="39">
        <v>0.96</v>
      </c>
      <c r="P74" s="39"/>
      <c r="Q74" s="39">
        <f>R74+T74</f>
        <v>105737.395</v>
      </c>
      <c r="R74" s="39">
        <v>105737.395</v>
      </c>
      <c r="S74" s="46"/>
      <c r="T74" s="39"/>
      <c r="U74" s="39"/>
      <c r="V74" s="39"/>
      <c r="W74" s="39"/>
      <c r="X74" s="39"/>
      <c r="Y74" s="46"/>
      <c r="Z74" s="39"/>
      <c r="AA74" s="39"/>
      <c r="AB74" s="39"/>
      <c r="AC74" s="39"/>
      <c r="AD74" s="39"/>
      <c r="AE74" s="46"/>
      <c r="AF74" s="39"/>
      <c r="AG74" s="39"/>
      <c r="AH74" s="39"/>
    </row>
    <row r="75" spans="1:38" ht="33.6" customHeight="1" x14ac:dyDescent="0.25">
      <c r="A75" s="36"/>
      <c r="N75" s="15" t="s">
        <v>58</v>
      </c>
      <c r="O75" s="15"/>
      <c r="P75" s="15"/>
      <c r="Q75" s="15"/>
      <c r="R75" s="15"/>
      <c r="S75" s="15"/>
      <c r="T75" s="15"/>
      <c r="U75" s="14"/>
      <c r="V75" s="14"/>
      <c r="W75" s="67"/>
      <c r="X75" s="14"/>
      <c r="Y75" s="14"/>
      <c r="Z75" s="14"/>
      <c r="AA75" s="14"/>
      <c r="AB75" s="14"/>
      <c r="AC75" s="14"/>
      <c r="AD75" s="14"/>
      <c r="AE75" s="14"/>
      <c r="AF75" s="14"/>
      <c r="AG75" s="39"/>
    </row>
    <row r="76" spans="1:38" ht="12.75" hidden="1" customHeight="1" x14ac:dyDescent="0.25">
      <c r="A76" s="36"/>
    </row>
    <row r="77" spans="1:38" ht="16.5" customHeight="1" x14ac:dyDescent="0.25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68"/>
      <c r="P77" s="69"/>
      <c r="Q77" s="3"/>
      <c r="U77" s="3"/>
      <c r="V77" s="3"/>
      <c r="W77" s="3"/>
      <c r="AA77" s="3"/>
      <c r="AB77" s="3"/>
      <c r="AC77" s="3"/>
    </row>
    <row r="83" spans="17:26" hidden="1" x14ac:dyDescent="0.25"/>
    <row r="84" spans="17:26" hidden="1" x14ac:dyDescent="0.25">
      <c r="Q84" s="62">
        <f>Q25+Q28+Q30+Q32+Q34+Q35+Q47</f>
        <v>630415.4530000001</v>
      </c>
      <c r="R84" s="62">
        <f t="shared" ref="R84:T84" si="8">R25+R28+R30+R32+R34+R35+R47</f>
        <v>624111.299</v>
      </c>
      <c r="S84" s="62">
        <f t="shared" si="8"/>
        <v>693.00029444298423</v>
      </c>
      <c r="T84" s="62">
        <f t="shared" si="8"/>
        <v>6304.1539999999995</v>
      </c>
      <c r="U84" s="63"/>
      <c r="V84" s="63"/>
      <c r="W84" s="62">
        <f>W24+W27+W30+W31+W32+W36</f>
        <v>1088785.2550000001</v>
      </c>
      <c r="X84" s="62">
        <f t="shared" ref="X84:Z84" si="9">X24+X27+X30+X31+X32+X36</f>
        <v>1077897.4030000002</v>
      </c>
      <c r="Y84" s="62">
        <f t="shared" si="9"/>
        <v>593.99999820761582</v>
      </c>
      <c r="Z84" s="62">
        <f t="shared" si="9"/>
        <v>10887.851999999999</v>
      </c>
    </row>
    <row r="85" spans="17:26" hidden="1" x14ac:dyDescent="0.25">
      <c r="Q85" s="62">
        <f>Q49+Q50+Q54+Q55+Q56+Q57+Q58+Q59</f>
        <v>477388.48600000003</v>
      </c>
      <c r="R85" s="62">
        <f t="shared" ref="R85:T85" si="10">R49+R50+R54+R55+R56+R57+R58+R59</f>
        <v>472614.60099999997</v>
      </c>
      <c r="S85" s="62">
        <f t="shared" si="10"/>
        <v>792.21487769178123</v>
      </c>
      <c r="T85" s="62">
        <f t="shared" si="10"/>
        <v>4773.8850000000002</v>
      </c>
      <c r="U85" s="63"/>
      <c r="V85" s="63"/>
      <c r="W85" s="62">
        <f>W49+W56+W57+W58</f>
        <v>369744.64399999997</v>
      </c>
      <c r="X85" s="62">
        <f t="shared" ref="X85:Z85" si="11">X49+X56+X57+X58</f>
        <v>366047.19699999999</v>
      </c>
      <c r="Y85" s="62">
        <f t="shared" si="11"/>
        <v>395.99999940335812</v>
      </c>
      <c r="Z85" s="62">
        <f t="shared" si="11"/>
        <v>3697.4470000000001</v>
      </c>
    </row>
    <row r="86" spans="17:26" hidden="1" x14ac:dyDescent="0.25">
      <c r="Q86" s="62">
        <f>Q85+Q84</f>
        <v>1107803.9390000002</v>
      </c>
      <c r="R86" s="62">
        <f>R85+R84</f>
        <v>1096725.8999999999</v>
      </c>
      <c r="S86" s="64"/>
      <c r="T86" s="62">
        <f>T85+T84</f>
        <v>11078.039000000001</v>
      </c>
      <c r="U86" s="63"/>
      <c r="V86" s="63"/>
      <c r="W86" s="62">
        <f>W85+W84</f>
        <v>1458529.8990000002</v>
      </c>
      <c r="X86" s="62">
        <f>X85+X84</f>
        <v>1443944.6</v>
      </c>
      <c r="Y86" s="64"/>
      <c r="Z86" s="62">
        <f>Z85+Z84</f>
        <v>14585.298999999999</v>
      </c>
    </row>
    <row r="87" spans="17:26" hidden="1" x14ac:dyDescent="0.25">
      <c r="Q87" s="63"/>
      <c r="R87" s="64"/>
      <c r="S87" s="64"/>
      <c r="T87" s="64"/>
      <c r="U87" s="63"/>
      <c r="V87" s="63"/>
      <c r="W87" s="63"/>
      <c r="X87" s="64"/>
      <c r="Y87" s="64"/>
      <c r="Z87" s="64"/>
    </row>
    <row r="88" spans="17:26" hidden="1" x14ac:dyDescent="0.25">
      <c r="Q88" s="62">
        <v>582295.19099999999</v>
      </c>
      <c r="R88" s="62">
        <v>576472.19999999995</v>
      </c>
      <c r="S88" s="62"/>
      <c r="T88" s="62">
        <v>5822.991</v>
      </c>
      <c r="U88" s="63"/>
      <c r="V88" s="63"/>
      <c r="W88" s="62">
        <v>1078334.1410000001</v>
      </c>
      <c r="X88" s="62">
        <v>1067550.8</v>
      </c>
      <c r="Y88" s="62"/>
      <c r="Z88" s="62">
        <v>10783.341</v>
      </c>
    </row>
    <row r="89" spans="17:26" hidden="1" x14ac:dyDescent="0.25">
      <c r="Q89" s="62">
        <v>525508.74800000002</v>
      </c>
      <c r="R89" s="62">
        <v>520253.7</v>
      </c>
      <c r="S89" s="62"/>
      <c r="T89" s="62">
        <v>5255.0479999999998</v>
      </c>
      <c r="U89" s="63"/>
      <c r="V89" s="63"/>
      <c r="W89" s="62">
        <v>380195.75799999997</v>
      </c>
      <c r="X89" s="62">
        <v>376393.8</v>
      </c>
      <c r="Y89" s="62"/>
      <c r="Z89" s="62">
        <v>3801.9580000000001</v>
      </c>
    </row>
    <row r="90" spans="17:26" hidden="1" x14ac:dyDescent="0.25">
      <c r="Q90" s="62">
        <f>Q88+Q89</f>
        <v>1107803.939</v>
      </c>
      <c r="R90" s="62">
        <f>R88+R89</f>
        <v>1096725.8999999999</v>
      </c>
      <c r="S90" s="64"/>
      <c r="T90" s="62">
        <f>T88+T89</f>
        <v>11078.039000000001</v>
      </c>
      <c r="U90" s="63"/>
      <c r="V90" s="63"/>
      <c r="W90" s="62">
        <f>W88+W89</f>
        <v>1458529.899</v>
      </c>
      <c r="X90" s="62">
        <f>X88+X89</f>
        <v>1443944.6</v>
      </c>
      <c r="Y90" s="64"/>
      <c r="Z90" s="62">
        <f>Z88+Z89</f>
        <v>14585.299000000001</v>
      </c>
    </row>
  </sheetData>
  <mergeCells count="69">
    <mergeCell ref="J14:J15"/>
    <mergeCell ref="AG10:AH10"/>
    <mergeCell ref="AC1:AF1"/>
    <mergeCell ref="AC2:AF2"/>
    <mergeCell ref="AC3:AF3"/>
    <mergeCell ref="AC4:AF4"/>
    <mergeCell ref="AC6:AF6"/>
    <mergeCell ref="AC7:AF7"/>
    <mergeCell ref="AC8:AF8"/>
    <mergeCell ref="AC9:AF9"/>
    <mergeCell ref="A13:A14"/>
    <mergeCell ref="B13:B15"/>
    <mergeCell ref="C13:C15"/>
    <mergeCell ref="D13:F13"/>
    <mergeCell ref="G13:I13"/>
    <mergeCell ref="AG30:AH30"/>
    <mergeCell ref="U14:U15"/>
    <mergeCell ref="V14:V15"/>
    <mergeCell ref="W14:W15"/>
    <mergeCell ref="X14:Z14"/>
    <mergeCell ref="AG22:AH22"/>
    <mergeCell ref="AG23:AH23"/>
    <mergeCell ref="AG24:AH24"/>
    <mergeCell ref="AG27:AH27"/>
    <mergeCell ref="AG28:AH28"/>
    <mergeCell ref="AG29:AH29"/>
    <mergeCell ref="AG25:AH25"/>
    <mergeCell ref="AA14:AA15"/>
    <mergeCell ref="AB14:AB15"/>
    <mergeCell ref="B18:AF18"/>
    <mergeCell ref="M14:N14"/>
    <mergeCell ref="AG36:AH36"/>
    <mergeCell ref="AG38:AH38"/>
    <mergeCell ref="AG39:AH39"/>
    <mergeCell ref="AG40:AH40"/>
    <mergeCell ref="AG37:AH37"/>
    <mergeCell ref="AG31:AH31"/>
    <mergeCell ref="AG32:AH32"/>
    <mergeCell ref="AG33:AH33"/>
    <mergeCell ref="AG34:AH34"/>
    <mergeCell ref="AG35:AH35"/>
    <mergeCell ref="AG50:AH50"/>
    <mergeCell ref="AG41:AH41"/>
    <mergeCell ref="AG64:AH64"/>
    <mergeCell ref="AG43:AH43"/>
    <mergeCell ref="AG44:AH44"/>
    <mergeCell ref="AG45:AH45"/>
    <mergeCell ref="AG47:AH47"/>
    <mergeCell ref="AG49:AH49"/>
    <mergeCell ref="AG51:AH51"/>
    <mergeCell ref="AG54:AH54"/>
    <mergeCell ref="AG55:AH55"/>
    <mergeCell ref="AG60:AH60"/>
    <mergeCell ref="O77:P77"/>
    <mergeCell ref="AD14:AF14"/>
    <mergeCell ref="B10:AF10"/>
    <mergeCell ref="B69:AF69"/>
    <mergeCell ref="B61:AF61"/>
    <mergeCell ref="AA13:AF13"/>
    <mergeCell ref="AC14:AC15"/>
    <mergeCell ref="O13:T13"/>
    <mergeCell ref="U13:Z13"/>
    <mergeCell ref="O14:O15"/>
    <mergeCell ref="P14:P15"/>
    <mergeCell ref="Q14:Q15"/>
    <mergeCell ref="R14:T14"/>
    <mergeCell ref="J13:N13"/>
    <mergeCell ref="K14:K15"/>
    <mergeCell ref="L14:L15"/>
  </mergeCells>
  <phoneticPr fontId="23" type="noConversion"/>
  <printOptions horizontalCentered="1"/>
  <pageMargins left="0.78740157480314965" right="0.39370078740157483" top="0.78740157480314965" bottom="0.78740157480314965" header="0.31496062992125984" footer="0"/>
  <pageSetup paperSize="9" scale="46" fitToHeight="0" orientation="landscape" r:id="rId1"/>
  <headerFooter differentFirst="1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BreakPreview" zoomScale="85" zoomScaleSheetLayoutView="85" workbookViewId="0">
      <selection activeCell="D35" sqref="D35"/>
    </sheetView>
  </sheetViews>
  <sheetFormatPr defaultRowHeight="12.75" x14ac:dyDescent="0.2"/>
  <cols>
    <col min="1" max="1" width="54.42578125" customWidth="1"/>
    <col min="2" max="2" width="18.7109375" customWidth="1"/>
    <col min="3" max="3" width="17.5703125" customWidth="1"/>
    <col min="4" max="4" width="18.85546875" customWidth="1"/>
    <col min="5" max="6" width="19.140625" customWidth="1"/>
    <col min="7" max="7" width="19.28515625" customWidth="1"/>
    <col min="8" max="9" width="19.28515625" bestFit="1" customWidth="1"/>
    <col min="10" max="10" width="16.28515625" customWidth="1"/>
    <col min="11" max="19" width="0" hidden="1" customWidth="1"/>
  </cols>
  <sheetData>
    <row r="1" spans="1:19" ht="16.5" x14ac:dyDescent="0.2">
      <c r="A1" s="92" t="s">
        <v>101</v>
      </c>
      <c r="B1" s="93" t="s">
        <v>102</v>
      </c>
      <c r="C1" s="93"/>
      <c r="D1" s="93"/>
      <c r="E1" s="93"/>
      <c r="F1" s="93"/>
      <c r="G1" s="93"/>
      <c r="H1" s="93"/>
      <c r="I1" s="93"/>
      <c r="J1" s="93"/>
      <c r="K1" s="93" t="s">
        <v>102</v>
      </c>
      <c r="L1" s="93"/>
      <c r="M1" s="93"/>
      <c r="N1" s="93"/>
      <c r="O1" s="93"/>
      <c r="P1" s="93"/>
      <c r="Q1" s="93"/>
      <c r="R1" s="93"/>
      <c r="S1" s="93"/>
    </row>
    <row r="2" spans="1:19" ht="16.5" x14ac:dyDescent="0.2">
      <c r="A2" s="92"/>
      <c r="B2" s="91" t="s">
        <v>103</v>
      </c>
      <c r="C2" s="91"/>
      <c r="D2" s="91"/>
      <c r="E2" s="91" t="s">
        <v>104</v>
      </c>
      <c r="F2" s="91"/>
      <c r="G2" s="91"/>
      <c r="H2" s="91" t="s">
        <v>105</v>
      </c>
      <c r="I2" s="91"/>
      <c r="J2" s="91"/>
      <c r="K2" s="91" t="s">
        <v>103</v>
      </c>
      <c r="L2" s="91"/>
      <c r="M2" s="91"/>
      <c r="N2" s="91" t="s">
        <v>106</v>
      </c>
      <c r="O2" s="91"/>
      <c r="P2" s="91"/>
      <c r="Q2" s="91" t="s">
        <v>105</v>
      </c>
      <c r="R2" s="91"/>
      <c r="S2" s="91"/>
    </row>
    <row r="3" spans="1:19" ht="16.5" x14ac:dyDescent="0.2">
      <c r="A3" s="92"/>
      <c r="B3" s="90" t="s">
        <v>107</v>
      </c>
      <c r="C3" s="93" t="s">
        <v>24</v>
      </c>
      <c r="D3" s="94"/>
      <c r="E3" s="90" t="s">
        <v>107</v>
      </c>
      <c r="F3" s="93" t="s">
        <v>24</v>
      </c>
      <c r="G3" s="94"/>
      <c r="H3" s="90" t="s">
        <v>107</v>
      </c>
      <c r="I3" s="93" t="s">
        <v>24</v>
      </c>
      <c r="J3" s="94"/>
      <c r="K3" s="90" t="s">
        <v>107</v>
      </c>
      <c r="L3" s="93" t="s">
        <v>24</v>
      </c>
      <c r="M3" s="94"/>
      <c r="N3" s="90" t="s">
        <v>107</v>
      </c>
      <c r="O3" s="93" t="s">
        <v>24</v>
      </c>
      <c r="P3" s="94"/>
      <c r="Q3" s="90" t="s">
        <v>107</v>
      </c>
      <c r="R3" s="93" t="s">
        <v>24</v>
      </c>
      <c r="S3" s="94"/>
    </row>
    <row r="4" spans="1:19" ht="16.5" x14ac:dyDescent="0.2">
      <c r="A4" s="92"/>
      <c r="B4" s="91"/>
      <c r="C4" s="48" t="s">
        <v>108</v>
      </c>
      <c r="D4" s="49" t="s">
        <v>109</v>
      </c>
      <c r="E4" s="91"/>
      <c r="F4" s="48" t="s">
        <v>108</v>
      </c>
      <c r="G4" s="49" t="s">
        <v>109</v>
      </c>
      <c r="H4" s="91"/>
      <c r="I4" s="48" t="s">
        <v>108</v>
      </c>
      <c r="J4" s="49" t="s">
        <v>109</v>
      </c>
      <c r="K4" s="91"/>
      <c r="L4" s="48" t="s">
        <v>108</v>
      </c>
      <c r="M4" s="49" t="s">
        <v>109</v>
      </c>
      <c r="N4" s="91"/>
      <c r="O4" s="48" t="s">
        <v>108</v>
      </c>
      <c r="P4" s="49" t="s">
        <v>109</v>
      </c>
      <c r="Q4" s="91"/>
      <c r="R4" s="48" t="s">
        <v>108</v>
      </c>
      <c r="S4" s="49" t="s">
        <v>109</v>
      </c>
    </row>
    <row r="5" spans="1:19" ht="16.5" x14ac:dyDescent="0.2">
      <c r="A5" s="50">
        <v>1</v>
      </c>
      <c r="B5" s="49">
        <v>2</v>
      </c>
      <c r="C5" s="49">
        <v>3</v>
      </c>
      <c r="D5" s="49">
        <v>4</v>
      </c>
      <c r="E5" s="50">
        <v>5</v>
      </c>
      <c r="F5" s="49">
        <v>6</v>
      </c>
      <c r="G5" s="49">
        <v>7</v>
      </c>
      <c r="H5" s="49">
        <v>8</v>
      </c>
      <c r="I5" s="50">
        <v>9</v>
      </c>
      <c r="J5" s="49">
        <v>10</v>
      </c>
      <c r="K5" s="49">
        <v>11</v>
      </c>
      <c r="L5" s="49">
        <v>12</v>
      </c>
      <c r="M5" s="50">
        <v>13</v>
      </c>
      <c r="N5" s="49">
        <v>14</v>
      </c>
      <c r="O5" s="49">
        <v>15</v>
      </c>
      <c r="P5" s="49">
        <v>16</v>
      </c>
      <c r="Q5" s="50">
        <v>17</v>
      </c>
      <c r="R5" s="49">
        <v>18</v>
      </c>
      <c r="S5" s="49">
        <v>19</v>
      </c>
    </row>
    <row r="6" spans="1:19" ht="16.5" x14ac:dyDescent="0.2">
      <c r="A6" s="51" t="s">
        <v>110</v>
      </c>
      <c r="B6" s="52">
        <f t="shared" ref="B6:S6" si="0">B7+B11</f>
        <v>2931893.93</v>
      </c>
      <c r="C6" s="52">
        <f t="shared" si="0"/>
        <v>1225880.9000000001</v>
      </c>
      <c r="D6" s="52">
        <f t="shared" si="0"/>
        <v>1706013.0300000003</v>
      </c>
      <c r="E6" s="52">
        <f t="shared" si="0"/>
        <v>2931893.93</v>
      </c>
      <c r="F6" s="52">
        <f t="shared" si="0"/>
        <v>1225880.8999999999</v>
      </c>
      <c r="G6" s="52">
        <f t="shared" si="0"/>
        <v>1706013.0300000003</v>
      </c>
      <c r="H6" s="52">
        <f t="shared" si="0"/>
        <v>-1.1641532182693481E-10</v>
      </c>
      <c r="I6" s="52">
        <f t="shared" si="0"/>
        <v>-5.8207660913467407E-11</v>
      </c>
      <c r="J6" s="52">
        <f t="shared" si="0"/>
        <v>1.8189894035458565E-11</v>
      </c>
      <c r="K6" s="52" t="e">
        <f t="shared" si="0"/>
        <v>#REF!</v>
      </c>
      <c r="L6" s="52" t="e">
        <f t="shared" si="0"/>
        <v>#REF!</v>
      </c>
      <c r="M6" s="52" t="e">
        <f t="shared" si="0"/>
        <v>#REF!</v>
      </c>
      <c r="N6" s="52">
        <f t="shared" si="0"/>
        <v>1819425.605</v>
      </c>
      <c r="O6" s="52">
        <f t="shared" si="0"/>
        <v>0</v>
      </c>
      <c r="P6" s="52">
        <f t="shared" si="0"/>
        <v>1819425.605</v>
      </c>
      <c r="Q6" s="52" t="e">
        <f t="shared" si="0"/>
        <v>#REF!</v>
      </c>
      <c r="R6" s="52" t="e">
        <f t="shared" si="0"/>
        <v>#REF!</v>
      </c>
      <c r="S6" s="52" t="e">
        <f t="shared" si="0"/>
        <v>#REF!</v>
      </c>
    </row>
    <row r="7" spans="1:19" ht="16.5" x14ac:dyDescent="0.2">
      <c r="A7" s="51" t="s">
        <v>111</v>
      </c>
      <c r="B7" s="52">
        <f t="shared" ref="B7:S7" si="1">B9+B10</f>
        <v>1875042.2390000001</v>
      </c>
      <c r="C7" s="52">
        <f t="shared" si="1"/>
        <v>1225880.9000000001</v>
      </c>
      <c r="D7" s="52">
        <f t="shared" si="1"/>
        <v>649161.33900000004</v>
      </c>
      <c r="E7" s="52">
        <f t="shared" si="1"/>
        <v>1875042.2390000001</v>
      </c>
      <c r="F7" s="52">
        <f t="shared" si="1"/>
        <v>1225880.8999999999</v>
      </c>
      <c r="G7" s="52">
        <f t="shared" si="1"/>
        <v>649161.33900000004</v>
      </c>
      <c r="H7" s="52">
        <f t="shared" si="1"/>
        <v>-1.1641532182693481E-10</v>
      </c>
      <c r="I7" s="52">
        <f t="shared" si="1"/>
        <v>-5.8207660913467407E-11</v>
      </c>
      <c r="J7" s="52">
        <f t="shared" si="1"/>
        <v>1.8189894035458565E-11</v>
      </c>
      <c r="K7" s="52" t="e">
        <f t="shared" si="1"/>
        <v>#REF!</v>
      </c>
      <c r="L7" s="52" t="e">
        <f t="shared" si="1"/>
        <v>#REF!</v>
      </c>
      <c r="M7" s="52" t="e">
        <f t="shared" si="1"/>
        <v>#REF!</v>
      </c>
      <c r="N7" s="52">
        <f t="shared" si="1"/>
        <v>970425.6</v>
      </c>
      <c r="O7" s="52">
        <f t="shared" si="1"/>
        <v>0</v>
      </c>
      <c r="P7" s="52">
        <f t="shared" si="1"/>
        <v>970425.6</v>
      </c>
      <c r="Q7" s="52" t="e">
        <f t="shared" si="1"/>
        <v>#REF!</v>
      </c>
      <c r="R7" s="52" t="e">
        <f t="shared" si="1"/>
        <v>#REF!</v>
      </c>
      <c r="S7" s="52" t="e">
        <f t="shared" si="1"/>
        <v>#REF!</v>
      </c>
    </row>
    <row r="8" spans="1:19" ht="16.5" x14ac:dyDescent="0.2">
      <c r="A8" s="53" t="s">
        <v>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33" x14ac:dyDescent="0.2">
      <c r="A9" s="55" t="s">
        <v>112</v>
      </c>
      <c r="B9" s="56">
        <f>C9+D9</f>
        <v>1353097.1880000001</v>
      </c>
      <c r="C9" s="56">
        <f>'18.08.2022 '!R21+'18.08.2022 '!R46+'18.08.2022 '!R74</f>
        <v>729848.69400000002</v>
      </c>
      <c r="D9" s="56">
        <f>'18.08.2022 '!T21+'18.08.2022 '!T46</f>
        <v>623248.49400000006</v>
      </c>
      <c r="E9" s="56">
        <f>F9+G9</f>
        <v>1299151.8910000001</v>
      </c>
      <c r="F9" s="56">
        <f>576472.2+105737.4</f>
        <v>682209.6</v>
      </c>
      <c r="G9" s="56">
        <f>611119.3+5822.991</f>
        <v>616942.29100000008</v>
      </c>
      <c r="H9" s="56">
        <f>E9-B9</f>
        <v>-53945.29700000002</v>
      </c>
      <c r="I9" s="56">
        <f t="shared" ref="I9:J11" si="2">F9-C9</f>
        <v>-47639.094000000041</v>
      </c>
      <c r="J9" s="56">
        <f t="shared" si="2"/>
        <v>-6306.2029999999795</v>
      </c>
      <c r="K9" s="56" t="e">
        <f>#REF!+#REF!</f>
        <v>#REF!</v>
      </c>
      <c r="L9" s="56" t="e">
        <f>#REF!+#REF!</f>
        <v>#REF!</v>
      </c>
      <c r="M9" s="56" t="e">
        <f>#REF!+#REF!</f>
        <v>#REF!</v>
      </c>
      <c r="N9" s="56">
        <f>O9+P9</f>
        <v>612903.19999999995</v>
      </c>
      <c r="O9" s="56">
        <v>0</v>
      </c>
      <c r="P9" s="56">
        <v>612903.19999999995</v>
      </c>
      <c r="Q9" s="52" t="e">
        <f>N9-K9</f>
        <v>#REF!</v>
      </c>
      <c r="R9" s="52" t="e">
        <f t="shared" ref="R9:S11" si="3">O9-L9</f>
        <v>#REF!</v>
      </c>
      <c r="S9" s="52" t="e">
        <f t="shared" si="3"/>
        <v>#REF!</v>
      </c>
    </row>
    <row r="10" spans="1:19" ht="33" x14ac:dyDescent="0.2">
      <c r="A10" s="55" t="s">
        <v>113</v>
      </c>
      <c r="B10" s="56">
        <f>C10+D10</f>
        <v>521945.05100000009</v>
      </c>
      <c r="C10" s="56">
        <f>'18.08.2022 '!R48+'18.08.2022 '!R53+'18.08.2022 '!R72+'18.08.2022 '!R73</f>
        <v>496032.20600000006</v>
      </c>
      <c r="D10" s="56">
        <f>'18.08.2022 '!T48+'18.08.2022 '!T53</f>
        <v>25912.845000000001</v>
      </c>
      <c r="E10" s="56">
        <f>F10+G10</f>
        <v>575890.348</v>
      </c>
      <c r="F10" s="56">
        <f>520253.7+23417.6</f>
        <v>543671.30000000005</v>
      </c>
      <c r="G10" s="56">
        <f>26964+5255.048</f>
        <v>32219.047999999999</v>
      </c>
      <c r="H10" s="56">
        <f>E10-B10</f>
        <v>53945.296999999904</v>
      </c>
      <c r="I10" s="56">
        <f t="shared" si="2"/>
        <v>47639.093999999983</v>
      </c>
      <c r="J10" s="56">
        <f t="shared" si="2"/>
        <v>6306.2029999999977</v>
      </c>
      <c r="K10" s="56" t="e">
        <f>#REF!+#REF!+#REF!</f>
        <v>#REF!</v>
      </c>
      <c r="L10" s="56" t="e">
        <f>#REF!+#REF!+#REF!</f>
        <v>#REF!</v>
      </c>
      <c r="M10" s="56" t="e">
        <f>#REF!+#REF!+#REF!</f>
        <v>#REF!</v>
      </c>
      <c r="N10" s="56">
        <f>O10+P10</f>
        <v>357522.4</v>
      </c>
      <c r="O10" s="56">
        <v>0</v>
      </c>
      <c r="P10" s="56">
        <v>357522.4</v>
      </c>
      <c r="Q10" s="52" t="e">
        <f>N10-K10</f>
        <v>#REF!</v>
      </c>
      <c r="R10" s="52" t="e">
        <f t="shared" si="3"/>
        <v>#REF!</v>
      </c>
      <c r="S10" s="52" t="e">
        <f t="shared" si="3"/>
        <v>#REF!</v>
      </c>
    </row>
    <row r="11" spans="1:19" ht="16.5" x14ac:dyDescent="0.2">
      <c r="A11" s="57" t="s">
        <v>28</v>
      </c>
      <c r="B11" s="52">
        <f>C11+D11</f>
        <v>1056851.6910000001</v>
      </c>
      <c r="C11" s="52">
        <f>'[1]18.08.2022 '!R60</f>
        <v>0</v>
      </c>
      <c r="D11" s="52">
        <f>'18.08.2022 '!T62</f>
        <v>1056851.6910000001</v>
      </c>
      <c r="E11" s="52">
        <f>F11+G11</f>
        <v>1056851.6910000001</v>
      </c>
      <c r="F11" s="52">
        <v>0</v>
      </c>
      <c r="G11" s="52">
        <v>1056851.6910000001</v>
      </c>
      <c r="H11" s="52">
        <f>E11-B11</f>
        <v>0</v>
      </c>
      <c r="I11" s="52">
        <f t="shared" si="2"/>
        <v>0</v>
      </c>
      <c r="J11" s="52">
        <f t="shared" si="2"/>
        <v>0</v>
      </c>
      <c r="K11" s="52">
        <v>849000.005</v>
      </c>
      <c r="L11" s="52">
        <v>0</v>
      </c>
      <c r="M11" s="52">
        <v>849000.005</v>
      </c>
      <c r="N11" s="52">
        <f>O11+P11</f>
        <v>849000.005</v>
      </c>
      <c r="O11" s="52">
        <v>0</v>
      </c>
      <c r="P11" s="52">
        <v>849000.005</v>
      </c>
      <c r="Q11" s="52">
        <f>N11-K11</f>
        <v>0</v>
      </c>
      <c r="R11" s="52">
        <f t="shared" si="3"/>
        <v>0</v>
      </c>
      <c r="S11" s="52">
        <f t="shared" si="3"/>
        <v>0</v>
      </c>
    </row>
    <row r="12" spans="1:19" ht="16.5" x14ac:dyDescent="0.2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  <c r="M12" s="60"/>
      <c r="N12" s="60"/>
      <c r="O12" s="60"/>
      <c r="P12" s="60"/>
      <c r="Q12" s="60"/>
      <c r="R12" s="60"/>
      <c r="S12" s="60"/>
    </row>
    <row r="13" spans="1:19" ht="16.5" x14ac:dyDescent="0.2">
      <c r="A13" s="92" t="s">
        <v>101</v>
      </c>
      <c r="B13" s="93" t="s">
        <v>114</v>
      </c>
      <c r="C13" s="93"/>
      <c r="D13" s="93"/>
      <c r="E13" s="93"/>
      <c r="F13" s="93"/>
      <c r="G13" s="93"/>
      <c r="H13" s="93"/>
      <c r="I13" s="93"/>
      <c r="J13" s="93"/>
      <c r="K13" s="59"/>
      <c r="L13" s="60"/>
      <c r="M13" s="60"/>
      <c r="N13" s="60"/>
      <c r="O13" s="60"/>
      <c r="P13" s="60"/>
      <c r="Q13" s="60"/>
      <c r="R13" s="60"/>
      <c r="S13" s="60"/>
    </row>
    <row r="14" spans="1:19" ht="16.5" x14ac:dyDescent="0.2">
      <c r="A14" s="92"/>
      <c r="B14" s="91" t="s">
        <v>103</v>
      </c>
      <c r="C14" s="91"/>
      <c r="D14" s="91"/>
      <c r="E14" s="91" t="s">
        <v>104</v>
      </c>
      <c r="F14" s="91"/>
      <c r="G14" s="91"/>
      <c r="H14" s="91" t="s">
        <v>105</v>
      </c>
      <c r="I14" s="91"/>
      <c r="J14" s="91"/>
      <c r="K14" s="59"/>
      <c r="L14" s="60"/>
      <c r="M14" s="60"/>
      <c r="N14" s="60"/>
      <c r="O14" s="60"/>
      <c r="P14" s="60"/>
      <c r="Q14" s="60"/>
      <c r="R14" s="60"/>
      <c r="S14" s="60"/>
    </row>
    <row r="15" spans="1:19" ht="16.5" x14ac:dyDescent="0.2">
      <c r="A15" s="92"/>
      <c r="B15" s="90" t="s">
        <v>107</v>
      </c>
      <c r="C15" s="93" t="s">
        <v>24</v>
      </c>
      <c r="D15" s="94"/>
      <c r="E15" s="90" t="s">
        <v>107</v>
      </c>
      <c r="F15" s="93" t="s">
        <v>24</v>
      </c>
      <c r="G15" s="94"/>
      <c r="H15" s="90" t="s">
        <v>107</v>
      </c>
      <c r="I15" s="93" t="s">
        <v>24</v>
      </c>
      <c r="J15" s="94"/>
      <c r="K15" s="59"/>
      <c r="L15" s="60"/>
      <c r="M15" s="60"/>
      <c r="N15" s="60"/>
      <c r="O15" s="60"/>
      <c r="P15" s="60"/>
      <c r="Q15" s="60"/>
      <c r="R15" s="60"/>
      <c r="S15" s="60"/>
    </row>
    <row r="16" spans="1:19" ht="16.5" x14ac:dyDescent="0.2">
      <c r="A16" s="92"/>
      <c r="B16" s="91"/>
      <c r="C16" s="48" t="s">
        <v>108</v>
      </c>
      <c r="D16" s="49" t="s">
        <v>109</v>
      </c>
      <c r="E16" s="91"/>
      <c r="F16" s="48" t="s">
        <v>108</v>
      </c>
      <c r="G16" s="49" t="s">
        <v>109</v>
      </c>
      <c r="H16" s="91"/>
      <c r="I16" s="48" t="s">
        <v>108</v>
      </c>
      <c r="J16" s="49" t="s">
        <v>109</v>
      </c>
      <c r="K16" s="59"/>
      <c r="L16" s="60"/>
      <c r="M16" s="60"/>
      <c r="N16" s="60"/>
      <c r="O16" s="60"/>
      <c r="P16" s="60"/>
      <c r="Q16" s="60"/>
      <c r="R16" s="60"/>
      <c r="S16" s="60"/>
    </row>
    <row r="17" spans="1:19" ht="16.5" x14ac:dyDescent="0.2">
      <c r="A17" s="50">
        <v>1</v>
      </c>
      <c r="B17" s="49">
        <v>11</v>
      </c>
      <c r="C17" s="49">
        <v>12</v>
      </c>
      <c r="D17" s="50">
        <v>13</v>
      </c>
      <c r="E17" s="49">
        <v>14</v>
      </c>
      <c r="F17" s="49">
        <v>15</v>
      </c>
      <c r="G17" s="49">
        <v>16</v>
      </c>
      <c r="H17" s="50">
        <v>17</v>
      </c>
      <c r="I17" s="49">
        <v>18</v>
      </c>
      <c r="J17" s="49">
        <v>19</v>
      </c>
      <c r="K17" s="59"/>
      <c r="L17" s="60"/>
      <c r="M17" s="60"/>
      <c r="N17" s="60"/>
      <c r="O17" s="60"/>
      <c r="P17" s="60"/>
      <c r="Q17" s="60"/>
      <c r="R17" s="60"/>
      <c r="S17" s="60"/>
    </row>
    <row r="18" spans="1:19" ht="16.5" x14ac:dyDescent="0.2">
      <c r="A18" s="51" t="s">
        <v>110</v>
      </c>
      <c r="B18" s="52">
        <f t="shared" ref="B18:J18" si="4">B19+B23</f>
        <v>3609575.3</v>
      </c>
      <c r="C18" s="52">
        <f t="shared" si="4"/>
        <v>1443944.6</v>
      </c>
      <c r="D18" s="52">
        <f t="shared" si="4"/>
        <v>2165630.7000000002</v>
      </c>
      <c r="E18" s="52">
        <f t="shared" si="4"/>
        <v>3609575.3</v>
      </c>
      <c r="F18" s="52">
        <f t="shared" si="4"/>
        <v>1443944.6</v>
      </c>
      <c r="G18" s="52">
        <f t="shared" si="4"/>
        <v>2165630.7000000002</v>
      </c>
      <c r="H18" s="52">
        <f t="shared" si="4"/>
        <v>-2.3283064365386963E-10</v>
      </c>
      <c r="I18" s="52">
        <f t="shared" si="4"/>
        <v>-1.1641532182693481E-10</v>
      </c>
      <c r="J18" s="52">
        <f t="shared" si="4"/>
        <v>0</v>
      </c>
      <c r="K18" s="59"/>
      <c r="L18" s="60"/>
      <c r="M18" s="60"/>
      <c r="N18" s="60"/>
      <c r="O18" s="60"/>
      <c r="P18" s="60"/>
      <c r="Q18" s="60"/>
      <c r="R18" s="60"/>
      <c r="S18" s="60"/>
    </row>
    <row r="19" spans="1:19" ht="16.5" x14ac:dyDescent="0.2">
      <c r="A19" s="51" t="s">
        <v>111</v>
      </c>
      <c r="B19" s="52">
        <f t="shared" ref="B19:J19" si="5">B21+B22</f>
        <v>2396575.2990000001</v>
      </c>
      <c r="C19" s="52">
        <f t="shared" si="5"/>
        <v>1443944.6</v>
      </c>
      <c r="D19" s="52">
        <f t="shared" si="5"/>
        <v>952630.69900000002</v>
      </c>
      <c r="E19" s="52">
        <f t="shared" si="5"/>
        <v>2396575.2990000001</v>
      </c>
      <c r="F19" s="52">
        <f t="shared" si="5"/>
        <v>1443944.6</v>
      </c>
      <c r="G19" s="52">
        <f t="shared" si="5"/>
        <v>952630.69900000002</v>
      </c>
      <c r="H19" s="52">
        <f t="shared" si="5"/>
        <v>-2.3283064365386963E-10</v>
      </c>
      <c r="I19" s="52">
        <f t="shared" si="5"/>
        <v>-1.1641532182693481E-10</v>
      </c>
      <c r="J19" s="52">
        <f t="shared" si="5"/>
        <v>0</v>
      </c>
      <c r="K19" s="59"/>
      <c r="L19" s="60"/>
      <c r="M19" s="60"/>
      <c r="N19" s="60"/>
      <c r="O19" s="60"/>
      <c r="P19" s="60"/>
      <c r="Q19" s="60"/>
      <c r="R19" s="60"/>
      <c r="S19" s="60"/>
    </row>
    <row r="20" spans="1:19" ht="16.5" x14ac:dyDescent="0.2">
      <c r="A20" s="53" t="s">
        <v>4</v>
      </c>
      <c r="B20" s="54"/>
      <c r="C20" s="54"/>
      <c r="D20" s="54"/>
      <c r="E20" s="54"/>
      <c r="F20" s="54"/>
      <c r="G20" s="54"/>
      <c r="H20" s="54"/>
      <c r="I20" s="54"/>
      <c r="J20" s="54"/>
      <c r="K20" s="59"/>
      <c r="L20" s="60"/>
      <c r="M20" s="60"/>
      <c r="N20" s="60"/>
      <c r="O20" s="60"/>
      <c r="P20" s="60"/>
      <c r="Q20" s="60"/>
      <c r="R20" s="60"/>
      <c r="S20" s="60"/>
    </row>
    <row r="21" spans="1:19" ht="33" x14ac:dyDescent="0.2">
      <c r="A21" s="55" t="s">
        <v>112</v>
      </c>
      <c r="B21" s="56">
        <f>C21+D21</f>
        <v>1933884.8850000002</v>
      </c>
      <c r="C21" s="56">
        <f>'18.08.2022 '!X21+'18.08.2022 '!X46</f>
        <v>1077897.4030000002</v>
      </c>
      <c r="D21" s="56">
        <f>'18.08.2022 '!Z21+'18.08.2022 '!Z46</f>
        <v>855987.48199999996</v>
      </c>
      <c r="E21" s="56">
        <f>F21+G21</f>
        <v>1977046.341</v>
      </c>
      <c r="F21" s="56">
        <v>1067550.8</v>
      </c>
      <c r="G21" s="56">
        <f>898712.2+10783.341</f>
        <v>909495.54099999997</v>
      </c>
      <c r="H21" s="56">
        <f>E21-B21</f>
        <v>43161.455999999773</v>
      </c>
      <c r="I21" s="56">
        <f t="shared" ref="I21:J23" si="6">F21-C21</f>
        <v>-10346.603000000119</v>
      </c>
      <c r="J21" s="56">
        <f t="shared" si="6"/>
        <v>53508.059000000008</v>
      </c>
      <c r="K21" s="59"/>
      <c r="L21" s="60"/>
      <c r="M21" s="60"/>
      <c r="N21" s="60"/>
      <c r="O21" s="60"/>
      <c r="P21" s="60"/>
      <c r="Q21" s="60"/>
      <c r="R21" s="60"/>
      <c r="S21" s="60"/>
    </row>
    <row r="22" spans="1:19" ht="33" x14ac:dyDescent="0.2">
      <c r="A22" s="55" t="s">
        <v>113</v>
      </c>
      <c r="B22" s="56">
        <f>C22+D22</f>
        <v>462690.41399999999</v>
      </c>
      <c r="C22" s="56">
        <f>'18.08.2022 '!X48+'18.08.2022 '!X53</f>
        <v>366047.19699999999</v>
      </c>
      <c r="D22" s="56">
        <f>'18.08.2022 '!Z48+'18.08.2022 '!Z53</f>
        <v>96643.217000000004</v>
      </c>
      <c r="E22" s="56">
        <f>F22+G22</f>
        <v>419528.95799999998</v>
      </c>
      <c r="F22" s="56">
        <v>376393.8</v>
      </c>
      <c r="G22" s="56">
        <f>39333.2+3801.958</f>
        <v>43135.157999999996</v>
      </c>
      <c r="H22" s="56">
        <f>E22-B22</f>
        <v>-43161.456000000006</v>
      </c>
      <c r="I22" s="56">
        <f t="shared" si="6"/>
        <v>10346.603000000003</v>
      </c>
      <c r="J22" s="56">
        <f t="shared" si="6"/>
        <v>-53508.059000000008</v>
      </c>
      <c r="K22" s="59"/>
      <c r="L22" s="60"/>
      <c r="M22" s="60"/>
      <c r="N22" s="60"/>
      <c r="O22" s="60"/>
      <c r="P22" s="60"/>
      <c r="Q22" s="60"/>
      <c r="R22" s="60"/>
      <c r="S22" s="60"/>
    </row>
    <row r="23" spans="1:19" ht="16.5" x14ac:dyDescent="0.2">
      <c r="A23" s="57" t="s">
        <v>28</v>
      </c>
      <c r="B23" s="52">
        <f>C23+D23</f>
        <v>1213000.0009999999</v>
      </c>
      <c r="C23" s="52">
        <f>'[1]18.08.2022 '!X60</f>
        <v>0</v>
      </c>
      <c r="D23" s="52">
        <f>'18.08.2022 '!Z62</f>
        <v>1213000.0009999999</v>
      </c>
      <c r="E23" s="52">
        <f>F23+G23</f>
        <v>1213000.0009999999</v>
      </c>
      <c r="F23" s="52">
        <v>0</v>
      </c>
      <c r="G23" s="52">
        <v>1213000.0009999999</v>
      </c>
      <c r="H23" s="52">
        <f>E23-B23</f>
        <v>0</v>
      </c>
      <c r="I23" s="52">
        <f t="shared" si="6"/>
        <v>0</v>
      </c>
      <c r="J23" s="52">
        <f t="shared" si="6"/>
        <v>0</v>
      </c>
      <c r="K23" s="59"/>
      <c r="L23" s="60"/>
      <c r="M23" s="60"/>
      <c r="N23" s="60"/>
      <c r="O23" s="60"/>
      <c r="P23" s="60"/>
      <c r="Q23" s="60"/>
      <c r="R23" s="60"/>
      <c r="S23" s="60"/>
    </row>
    <row r="24" spans="1:19" ht="16.5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  <c r="M24" s="60"/>
      <c r="N24" s="60"/>
      <c r="O24" s="60"/>
      <c r="P24" s="60"/>
      <c r="Q24" s="60"/>
      <c r="R24" s="60"/>
      <c r="S24" s="60"/>
    </row>
    <row r="25" spans="1:19" ht="16.5" x14ac:dyDescent="0.2">
      <c r="A25" s="92" t="s">
        <v>101</v>
      </c>
      <c r="B25" s="93" t="s">
        <v>115</v>
      </c>
      <c r="C25" s="93"/>
      <c r="D25" s="93"/>
      <c r="E25" s="93"/>
      <c r="F25" s="93"/>
      <c r="G25" s="93"/>
      <c r="H25" s="93"/>
      <c r="I25" s="93"/>
      <c r="J25" s="93"/>
      <c r="K25" s="59"/>
      <c r="L25" s="60"/>
      <c r="M25" s="60"/>
      <c r="N25" s="60"/>
      <c r="O25" s="60"/>
      <c r="P25" s="60"/>
      <c r="Q25" s="60"/>
      <c r="R25" s="60"/>
      <c r="S25" s="60"/>
    </row>
    <row r="26" spans="1:19" ht="16.5" x14ac:dyDescent="0.2">
      <c r="A26" s="92"/>
      <c r="B26" s="91" t="s">
        <v>103</v>
      </c>
      <c r="C26" s="91"/>
      <c r="D26" s="91"/>
      <c r="E26" s="91" t="s">
        <v>104</v>
      </c>
      <c r="F26" s="91"/>
      <c r="G26" s="91"/>
      <c r="H26" s="91" t="s">
        <v>105</v>
      </c>
      <c r="I26" s="91"/>
      <c r="J26" s="91"/>
      <c r="K26" s="59"/>
      <c r="L26" s="60"/>
      <c r="M26" s="60"/>
      <c r="N26" s="60"/>
      <c r="O26" s="60"/>
      <c r="P26" s="60"/>
      <c r="Q26" s="60"/>
      <c r="R26" s="60"/>
      <c r="S26" s="60"/>
    </row>
    <row r="27" spans="1:19" ht="16.5" x14ac:dyDescent="0.2">
      <c r="A27" s="92"/>
      <c r="B27" s="90" t="s">
        <v>107</v>
      </c>
      <c r="C27" s="93" t="s">
        <v>24</v>
      </c>
      <c r="D27" s="94"/>
      <c r="E27" s="90" t="s">
        <v>107</v>
      </c>
      <c r="F27" s="93" t="s">
        <v>24</v>
      </c>
      <c r="G27" s="94"/>
      <c r="H27" s="90" t="s">
        <v>107</v>
      </c>
      <c r="I27" s="93" t="s">
        <v>24</v>
      </c>
      <c r="J27" s="94"/>
      <c r="K27" s="59"/>
      <c r="L27" s="60"/>
      <c r="M27" s="60"/>
      <c r="N27" s="60"/>
      <c r="O27" s="60"/>
      <c r="P27" s="60"/>
      <c r="Q27" s="60"/>
      <c r="R27" s="60"/>
      <c r="S27" s="60"/>
    </row>
    <row r="28" spans="1:19" ht="16.5" x14ac:dyDescent="0.2">
      <c r="A28" s="92"/>
      <c r="B28" s="91"/>
      <c r="C28" s="48" t="s">
        <v>108</v>
      </c>
      <c r="D28" s="49" t="s">
        <v>109</v>
      </c>
      <c r="E28" s="91"/>
      <c r="F28" s="48" t="s">
        <v>108</v>
      </c>
      <c r="G28" s="49" t="s">
        <v>109</v>
      </c>
      <c r="H28" s="91"/>
      <c r="I28" s="48" t="s">
        <v>108</v>
      </c>
      <c r="J28" s="49" t="s">
        <v>109</v>
      </c>
      <c r="K28" s="59"/>
      <c r="L28" s="60"/>
      <c r="M28" s="60"/>
      <c r="N28" s="60"/>
      <c r="O28" s="60"/>
      <c r="P28" s="60"/>
      <c r="Q28" s="60"/>
      <c r="R28" s="60"/>
      <c r="S28" s="60"/>
    </row>
    <row r="29" spans="1:19" ht="16.5" x14ac:dyDescent="0.2">
      <c r="A29" s="50">
        <v>1</v>
      </c>
      <c r="B29" s="49">
        <v>20</v>
      </c>
      <c r="C29" s="50">
        <v>21</v>
      </c>
      <c r="D29" s="49">
        <v>22</v>
      </c>
      <c r="E29" s="49">
        <v>23</v>
      </c>
      <c r="F29" s="49">
        <v>24</v>
      </c>
      <c r="G29" s="50">
        <v>25</v>
      </c>
      <c r="H29" s="49">
        <v>26</v>
      </c>
      <c r="I29" s="49">
        <v>27</v>
      </c>
      <c r="J29" s="49">
        <v>28</v>
      </c>
      <c r="K29" s="59"/>
      <c r="L29" s="60"/>
      <c r="M29" s="60"/>
      <c r="N29" s="60"/>
      <c r="O29" s="60"/>
      <c r="P29" s="60"/>
      <c r="Q29" s="60"/>
      <c r="R29" s="60"/>
      <c r="S29" s="60"/>
    </row>
    <row r="30" spans="1:19" ht="16.5" x14ac:dyDescent="0.2">
      <c r="A30" s="51" t="s">
        <v>110</v>
      </c>
      <c r="B30" s="52">
        <f t="shared" ref="B30:J30" si="7">B31+B35</f>
        <v>2002592.5</v>
      </c>
      <c r="C30" s="52">
        <f t="shared" si="7"/>
        <v>0</v>
      </c>
      <c r="D30" s="52">
        <f t="shared" si="7"/>
        <v>2002592.5</v>
      </c>
      <c r="E30" s="52">
        <f t="shared" si="7"/>
        <v>2002592.5</v>
      </c>
      <c r="F30" s="52">
        <f t="shared" si="7"/>
        <v>0</v>
      </c>
      <c r="G30" s="52">
        <f t="shared" si="7"/>
        <v>2002592.5</v>
      </c>
      <c r="H30" s="52">
        <f t="shared" si="7"/>
        <v>0</v>
      </c>
      <c r="I30" s="52">
        <f t="shared" si="7"/>
        <v>0</v>
      </c>
      <c r="J30" s="52">
        <f t="shared" si="7"/>
        <v>0</v>
      </c>
      <c r="K30" s="59"/>
      <c r="L30" s="60"/>
      <c r="M30" s="60"/>
      <c r="N30" s="60"/>
      <c r="O30" s="60"/>
      <c r="P30" s="60"/>
      <c r="Q30" s="60"/>
      <c r="R30" s="60"/>
      <c r="S30" s="60"/>
    </row>
    <row r="31" spans="1:19" ht="16.5" x14ac:dyDescent="0.2">
      <c r="A31" s="51" t="s">
        <v>111</v>
      </c>
      <c r="B31" s="52">
        <f t="shared" ref="B31:J31" si="8">B33+B34</f>
        <v>789592.5</v>
      </c>
      <c r="C31" s="52">
        <f t="shared" si="8"/>
        <v>0</v>
      </c>
      <c r="D31" s="52">
        <f t="shared" si="8"/>
        <v>789592.5</v>
      </c>
      <c r="E31" s="52">
        <f t="shared" si="8"/>
        <v>789592.5</v>
      </c>
      <c r="F31" s="52">
        <f t="shared" si="8"/>
        <v>0</v>
      </c>
      <c r="G31" s="52">
        <f t="shared" si="8"/>
        <v>789592.5</v>
      </c>
      <c r="H31" s="52">
        <f t="shared" si="8"/>
        <v>0</v>
      </c>
      <c r="I31" s="52">
        <f t="shared" si="8"/>
        <v>0</v>
      </c>
      <c r="J31" s="52">
        <f t="shared" si="8"/>
        <v>0</v>
      </c>
      <c r="K31" s="59"/>
      <c r="L31" s="60"/>
      <c r="M31" s="60"/>
      <c r="N31" s="60"/>
      <c r="O31" s="60"/>
      <c r="P31" s="60"/>
      <c r="Q31" s="60"/>
      <c r="R31" s="60"/>
      <c r="S31" s="60"/>
    </row>
    <row r="32" spans="1:19" ht="16.5" x14ac:dyDescent="0.2">
      <c r="A32" s="53" t="s">
        <v>4</v>
      </c>
      <c r="B32" s="54"/>
      <c r="C32" s="54"/>
      <c r="D32" s="54"/>
      <c r="E32" s="54"/>
      <c r="F32" s="54"/>
      <c r="G32" s="54"/>
      <c r="H32" s="54"/>
      <c r="I32" s="54"/>
      <c r="J32" s="54"/>
      <c r="K32" s="59"/>
      <c r="L32" s="60"/>
      <c r="M32" s="60"/>
      <c r="N32" s="60"/>
      <c r="O32" s="60"/>
      <c r="P32" s="60"/>
      <c r="Q32" s="60"/>
      <c r="R32" s="60"/>
      <c r="S32" s="60"/>
    </row>
    <row r="33" spans="1:19" ht="33" x14ac:dyDescent="0.2">
      <c r="A33" s="55" t="s">
        <v>112</v>
      </c>
      <c r="B33" s="56">
        <f>C33+D33</f>
        <v>789592.5</v>
      </c>
      <c r="C33" s="56">
        <f>'18.08.2022 '!AD21+'18.08.2022 '!AD46</f>
        <v>0</v>
      </c>
      <c r="D33" s="56">
        <f>'18.08.2022 '!AF21+'18.08.2022 '!AF46</f>
        <v>789592.5</v>
      </c>
      <c r="E33" s="56">
        <f>F33+G33</f>
        <v>789592.5</v>
      </c>
      <c r="F33" s="56">
        <v>0</v>
      </c>
      <c r="G33" s="56">
        <v>789592.5</v>
      </c>
      <c r="H33" s="56">
        <f>E33-B33</f>
        <v>0</v>
      </c>
      <c r="I33" s="56">
        <f t="shared" ref="I33:J35" si="9">F33-C33</f>
        <v>0</v>
      </c>
      <c r="J33" s="56">
        <f>G33-D33</f>
        <v>0</v>
      </c>
      <c r="K33" s="59"/>
      <c r="L33" s="60"/>
      <c r="M33" s="60"/>
      <c r="N33" s="60"/>
      <c r="O33" s="60"/>
      <c r="P33" s="60"/>
      <c r="Q33" s="60"/>
      <c r="R33" s="60"/>
      <c r="S33" s="60"/>
    </row>
    <row r="34" spans="1:19" ht="33" x14ac:dyDescent="0.2">
      <c r="A34" s="55" t="s">
        <v>113</v>
      </c>
      <c r="B34" s="56">
        <f>C34+D34</f>
        <v>0</v>
      </c>
      <c r="C34" s="56">
        <f>'18.08.2022 '!AD48+'18.08.2022 '!AD53</f>
        <v>0</v>
      </c>
      <c r="D34" s="56">
        <f>'18.08.2022 '!AF48+'18.08.2022 '!AF53</f>
        <v>0</v>
      </c>
      <c r="E34" s="56">
        <f>F34+G34</f>
        <v>0</v>
      </c>
      <c r="F34" s="56">
        <v>0</v>
      </c>
      <c r="G34" s="56">
        <v>0</v>
      </c>
      <c r="H34" s="56">
        <f>E34-B34</f>
        <v>0</v>
      </c>
      <c r="I34" s="56">
        <f t="shared" si="9"/>
        <v>0</v>
      </c>
      <c r="J34" s="56">
        <f t="shared" si="9"/>
        <v>0</v>
      </c>
      <c r="K34" s="59"/>
      <c r="L34" s="60"/>
      <c r="M34" s="60"/>
      <c r="N34" s="60"/>
      <c r="O34" s="60"/>
      <c r="P34" s="60"/>
      <c r="Q34" s="60"/>
      <c r="R34" s="60"/>
      <c r="S34" s="60"/>
    </row>
    <row r="35" spans="1:19" ht="16.5" x14ac:dyDescent="0.2">
      <c r="A35" s="57" t="s">
        <v>28</v>
      </c>
      <c r="B35" s="52">
        <f>C35+D35</f>
        <v>1213000</v>
      </c>
      <c r="C35" s="52">
        <f>'[1]18.08.2022 '!AD60</f>
        <v>0</v>
      </c>
      <c r="D35" s="52">
        <f>'18.08.2022 '!AF62</f>
        <v>1213000</v>
      </c>
      <c r="E35" s="52">
        <f>F35+G35</f>
        <v>1213000</v>
      </c>
      <c r="F35" s="52">
        <v>0</v>
      </c>
      <c r="G35" s="61">
        <v>1213000</v>
      </c>
      <c r="H35" s="52">
        <f>E35-B35</f>
        <v>0</v>
      </c>
      <c r="I35" s="52">
        <f t="shared" si="9"/>
        <v>0</v>
      </c>
      <c r="J35" s="52">
        <f t="shared" si="9"/>
        <v>0</v>
      </c>
      <c r="K35" s="59"/>
      <c r="L35" s="60"/>
      <c r="M35" s="60"/>
      <c r="N35" s="60"/>
      <c r="O35" s="60"/>
      <c r="P35" s="60"/>
      <c r="Q35" s="60"/>
      <c r="R35" s="60"/>
      <c r="S35" s="60"/>
    </row>
  </sheetData>
  <mergeCells count="43">
    <mergeCell ref="H27:H28"/>
    <mergeCell ref="I27:J27"/>
    <mergeCell ref="I15:J15"/>
    <mergeCell ref="A25:A28"/>
    <mergeCell ref="B25:J25"/>
    <mergeCell ref="B26:D26"/>
    <mergeCell ref="E26:G26"/>
    <mergeCell ref="H26:J26"/>
    <mergeCell ref="B27:B28"/>
    <mergeCell ref="C27:D27"/>
    <mergeCell ref="E27:E28"/>
    <mergeCell ref="F27:G27"/>
    <mergeCell ref="A13:A16"/>
    <mergeCell ref="B13:J13"/>
    <mergeCell ref="B14:D14"/>
    <mergeCell ref="E14:G14"/>
    <mergeCell ref="H14:J14"/>
    <mergeCell ref="B15:B16"/>
    <mergeCell ref="C15:D15"/>
    <mergeCell ref="E15:E16"/>
    <mergeCell ref="F15:G15"/>
    <mergeCell ref="H15:H16"/>
    <mergeCell ref="L3:M3"/>
    <mergeCell ref="N3:N4"/>
    <mergeCell ref="O3:P3"/>
    <mergeCell ref="Q3:Q4"/>
    <mergeCell ref="R3:S3"/>
    <mergeCell ref="K3:K4"/>
    <mergeCell ref="A1:A4"/>
    <mergeCell ref="B1:J1"/>
    <mergeCell ref="K1:S1"/>
    <mergeCell ref="B2:D2"/>
    <mergeCell ref="E2:G2"/>
    <mergeCell ref="H2:J2"/>
    <mergeCell ref="K2:M2"/>
    <mergeCell ref="N2:P2"/>
    <mergeCell ref="Q2:S2"/>
    <mergeCell ref="B3:B4"/>
    <mergeCell ref="C3:D3"/>
    <mergeCell ref="E3:E4"/>
    <mergeCell ref="F3:G3"/>
    <mergeCell ref="H3:H4"/>
    <mergeCell ref="I3:J3"/>
  </mergeCells>
  <pageMargins left="0.7" right="0.7" top="0.75" bottom="0.75" header="0.3" footer="0.3"/>
  <pageSetup paperSize="9" scale="4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18.08.2022 </vt:lpstr>
      <vt:lpstr>СБР</vt:lpstr>
      <vt:lpstr>'18.08.2022 '!Заголовки_для_печати</vt:lpstr>
      <vt:lpstr>'18.08.2022 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mintrans-48</dc:creator>
  <cp:lastModifiedBy> АГ</cp:lastModifiedBy>
  <cp:lastPrinted>2022-12-22T07:13:34Z</cp:lastPrinted>
  <dcterms:created xsi:type="dcterms:W3CDTF">2017-03-06T08:27:37Z</dcterms:created>
  <dcterms:modified xsi:type="dcterms:W3CDTF">2022-12-22T07:13:36Z</dcterms:modified>
</cp:coreProperties>
</file>