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/>
  </bookViews>
  <sheets>
    <sheet name="18.08.2022 " sheetId="6" r:id="rId1"/>
  </sheets>
  <definedNames>
    <definedName name="_xlnm.Print_Titles" localSheetId="0">'18.08.2022 '!$22:$22</definedName>
    <definedName name="_xlnm.Print_Area" localSheetId="0">'18.08.2022 '!$B$1:$X$102</definedName>
  </definedNames>
  <calcPr calcId="152511"/>
</workbook>
</file>

<file path=xl/calcChain.xml><?xml version="1.0" encoding="utf-8"?>
<calcChain xmlns="http://schemas.openxmlformats.org/spreadsheetml/2006/main">
  <c r="N68" i="6" l="1"/>
  <c r="N64" i="6"/>
  <c r="N58" i="6" s="1"/>
  <c r="Q97" i="6"/>
  <c r="Q96" i="6"/>
  <c r="Q95" i="6"/>
  <c r="Q86" i="6" s="1"/>
  <c r="L94" i="6"/>
  <c r="L93" i="6"/>
  <c r="L92" i="6"/>
  <c r="L91" i="6"/>
  <c r="M90" i="6"/>
  <c r="L90" i="6"/>
  <c r="L89" i="6"/>
  <c r="M88" i="6"/>
  <c r="L88" i="6" s="1"/>
  <c r="L86" i="6" s="1"/>
  <c r="X86" i="6"/>
  <c r="W86" i="6"/>
  <c r="V86" i="6"/>
  <c r="U86" i="6"/>
  <c r="T86" i="6"/>
  <c r="S86" i="6"/>
  <c r="R86" i="6"/>
  <c r="P86" i="6"/>
  <c r="O86" i="6"/>
  <c r="N86" i="6"/>
  <c r="K86" i="6"/>
  <c r="J86" i="6"/>
  <c r="V83" i="6"/>
  <c r="S83" i="6"/>
  <c r="Q83" i="6" s="1"/>
  <c r="N83" i="6"/>
  <c r="L83" i="6" s="1"/>
  <c r="X82" i="6"/>
  <c r="V82" i="6" s="1"/>
  <c r="S82" i="6"/>
  <c r="Q82" i="6" s="1"/>
  <c r="N82" i="6"/>
  <c r="L82" i="6" s="1"/>
  <c r="X80" i="6"/>
  <c r="V80" i="6" s="1"/>
  <c r="S80" i="6"/>
  <c r="Q80" i="6" s="1"/>
  <c r="Q78" i="6" s="1"/>
  <c r="L80" i="6"/>
  <c r="X76" i="6"/>
  <c r="V76" i="6" s="1"/>
  <c r="S76" i="6"/>
  <c r="Q76" i="6"/>
  <c r="L76" i="6"/>
  <c r="L75" i="6"/>
  <c r="W74" i="6"/>
  <c r="S74" i="6"/>
  <c r="Q74" i="6" s="1"/>
  <c r="R74" i="6"/>
  <c r="X73" i="6"/>
  <c r="W73" i="6"/>
  <c r="V73" i="6" s="1"/>
  <c r="S73" i="6"/>
  <c r="Q73" i="6" s="1"/>
  <c r="R73" i="6"/>
  <c r="W72" i="6"/>
  <c r="V72" i="6" s="1"/>
  <c r="S72" i="6"/>
  <c r="R72" i="6"/>
  <c r="Q72" i="6" s="1"/>
  <c r="Q67" i="6" s="1"/>
  <c r="S71" i="6"/>
  <c r="R71" i="6"/>
  <c r="N71" i="6"/>
  <c r="L71" i="6" s="1"/>
  <c r="L67" i="6" s="1"/>
  <c r="M71" i="6"/>
  <c r="Q70" i="6"/>
  <c r="L70" i="6"/>
  <c r="M68" i="6"/>
  <c r="M67" i="6" s="1"/>
  <c r="U67" i="6"/>
  <c r="T67" i="6"/>
  <c r="P67" i="6"/>
  <c r="O67" i="6"/>
  <c r="K67" i="6"/>
  <c r="J67" i="6"/>
  <c r="Q66" i="6"/>
  <c r="M64" i="6"/>
  <c r="L64" i="6" s="1"/>
  <c r="M63" i="6"/>
  <c r="M62" i="6"/>
  <c r="L62" i="6" s="1"/>
  <c r="X61" i="6"/>
  <c r="V61" i="6"/>
  <c r="Q61" i="6"/>
  <c r="L60" i="6"/>
  <c r="X59" i="6"/>
  <c r="Q59" i="6"/>
  <c r="Q58" i="6"/>
  <c r="W58" i="6"/>
  <c r="U58" i="6"/>
  <c r="T58" i="6"/>
  <c r="S58" i="6"/>
  <c r="R58" i="6"/>
  <c r="P58" i="6"/>
  <c r="O58" i="6"/>
  <c r="K58" i="6"/>
  <c r="J58" i="6"/>
  <c r="I58" i="6"/>
  <c r="H58" i="6"/>
  <c r="G58" i="6"/>
  <c r="F58" i="6"/>
  <c r="E58" i="6"/>
  <c r="D58" i="6"/>
  <c r="L57" i="6"/>
  <c r="L56" i="6"/>
  <c r="N55" i="6"/>
  <c r="L55" i="6" s="1"/>
  <c r="Q54" i="6"/>
  <c r="Q53" i="6" s="1"/>
  <c r="L54" i="6"/>
  <c r="L53" i="6" s="1"/>
  <c r="X53" i="6"/>
  <c r="W53" i="6"/>
  <c r="V53" i="6"/>
  <c r="U53" i="6"/>
  <c r="U25" i="6" s="1"/>
  <c r="U23" i="6" s="1"/>
  <c r="T53" i="6"/>
  <c r="S53" i="6"/>
  <c r="R53" i="6"/>
  <c r="P53" i="6"/>
  <c r="P25" i="6" s="1"/>
  <c r="P23" i="6" s="1"/>
  <c r="O53" i="6"/>
  <c r="N53" i="6"/>
  <c r="M53" i="6"/>
  <c r="K53" i="6"/>
  <c r="J53" i="6"/>
  <c r="V52" i="6"/>
  <c r="Q52" i="6"/>
  <c r="X51" i="6"/>
  <c r="V51" i="6" s="1"/>
  <c r="S51" i="6"/>
  <c r="Q51" i="6" s="1"/>
  <c r="W50" i="6"/>
  <c r="V50" i="6" s="1"/>
  <c r="Q49" i="6"/>
  <c r="L49" i="6"/>
  <c r="L48" i="6"/>
  <c r="X47" i="6"/>
  <c r="W47" i="6"/>
  <c r="V47" i="6" s="1"/>
  <c r="X46" i="6"/>
  <c r="W46" i="6"/>
  <c r="S46" i="6"/>
  <c r="Q46" i="6" s="1"/>
  <c r="N45" i="6"/>
  <c r="L45" i="6" s="1"/>
  <c r="V44" i="6"/>
  <c r="L42" i="6"/>
  <c r="V41" i="6"/>
  <c r="Q40" i="6"/>
  <c r="N40" i="6"/>
  <c r="M40" i="6"/>
  <c r="Q39" i="6"/>
  <c r="M39" i="6"/>
  <c r="L39" i="6"/>
  <c r="V38" i="6"/>
  <c r="X37" i="6"/>
  <c r="V37" i="6" s="1"/>
  <c r="W37" i="6"/>
  <c r="Q37" i="6"/>
  <c r="N37" i="6"/>
  <c r="L37" i="6"/>
  <c r="X36" i="6"/>
  <c r="V36" i="6"/>
  <c r="S36" i="6"/>
  <c r="Q36" i="6"/>
  <c r="X35" i="6"/>
  <c r="W35" i="6"/>
  <c r="S35" i="6"/>
  <c r="R35" i="6"/>
  <c r="Q35" i="6" s="1"/>
  <c r="N35" i="6"/>
  <c r="L35" i="6" s="1"/>
  <c r="N34" i="6"/>
  <c r="L34" i="6" s="1"/>
  <c r="X33" i="6"/>
  <c r="V33" i="6" s="1"/>
  <c r="Q33" i="6"/>
  <c r="N33" i="6"/>
  <c r="L33" i="6"/>
  <c r="V32" i="6"/>
  <c r="X31" i="6"/>
  <c r="V31" i="6" s="1"/>
  <c r="V30" i="6"/>
  <c r="Q30" i="6"/>
  <c r="N30" i="6"/>
  <c r="L30" i="6" s="1"/>
  <c r="V29" i="6"/>
  <c r="S29" i="6"/>
  <c r="Q29" i="6"/>
  <c r="Q27" i="6" s="1"/>
  <c r="Q25" i="6" s="1"/>
  <c r="Q23" i="6" s="1"/>
  <c r="R29" i="6"/>
  <c r="R27" i="6" s="1"/>
  <c r="X28" i="6"/>
  <c r="X27" i="6" s="1"/>
  <c r="X25" i="6" s="1"/>
  <c r="X23" i="6" s="1"/>
  <c r="X18" i="6" s="1"/>
  <c r="U27" i="6"/>
  <c r="T27" i="6"/>
  <c r="P27" i="6"/>
  <c r="O27" i="6"/>
  <c r="K27" i="6"/>
  <c r="J27" i="6"/>
  <c r="J25" i="6" s="1"/>
  <c r="J23" i="6" s="1"/>
  <c r="I25" i="6"/>
  <c r="I23" i="6"/>
  <c r="H25" i="6"/>
  <c r="H23" i="6"/>
  <c r="G25" i="6"/>
  <c r="F25" i="6"/>
  <c r="F23" i="6" s="1"/>
  <c r="E25" i="6"/>
  <c r="E23" i="6" s="1"/>
  <c r="D25" i="6"/>
  <c r="D23" i="6" s="1"/>
  <c r="G23" i="6"/>
  <c r="W27" i="6"/>
  <c r="X78" i="6"/>
  <c r="X58" i="6"/>
  <c r="Q71" i="6"/>
  <c r="M27" i="6"/>
  <c r="L40" i="6"/>
  <c r="L68" i="6"/>
  <c r="V35" i="6"/>
  <c r="X67" i="6"/>
  <c r="N78" i="6"/>
  <c r="M86" i="6"/>
  <c r="V46" i="6"/>
  <c r="O25" i="6"/>
  <c r="O23" i="6" s="1"/>
  <c r="K25" i="6"/>
  <c r="K23" i="6" s="1"/>
  <c r="T25" i="6"/>
  <c r="T23" i="6" s="1"/>
  <c r="V59" i="6"/>
  <c r="V58" i="6"/>
  <c r="L63" i="6"/>
  <c r="S67" i="6"/>
  <c r="V74" i="6"/>
  <c r="S78" i="6"/>
  <c r="V28" i="6"/>
  <c r="V27" i="6" l="1"/>
  <c r="V78" i="6"/>
  <c r="V67" i="6"/>
  <c r="L27" i="6"/>
  <c r="L58" i="6"/>
  <c r="L78" i="6"/>
  <c r="N27" i="6"/>
  <c r="M58" i="6"/>
  <c r="M25" i="6" s="1"/>
  <c r="M23" i="6" s="1"/>
  <c r="R67" i="6"/>
  <c r="R25" i="6" s="1"/>
  <c r="R23" i="6" s="1"/>
  <c r="N67" i="6"/>
  <c r="W67" i="6"/>
  <c r="W25" i="6" s="1"/>
  <c r="W23" i="6" s="1"/>
  <c r="S27" i="6"/>
  <c r="S25" i="6" s="1"/>
  <c r="S23" i="6" s="1"/>
  <c r="S18" i="6" s="1"/>
  <c r="L25" i="6" l="1"/>
  <c r="L23" i="6" s="1"/>
  <c r="N25" i="6"/>
  <c r="N23" i="6" s="1"/>
  <c r="N18" i="6" s="1"/>
  <c r="V25" i="6"/>
  <c r="V23" i="6" s="1"/>
</calcChain>
</file>

<file path=xl/sharedStrings.xml><?xml version="1.0" encoding="utf-8"?>
<sst xmlns="http://schemas.openxmlformats.org/spreadsheetml/2006/main" count="183" uniqueCount="127">
  <si>
    <t>№ 
пп</t>
  </si>
  <si>
    <t>км</t>
  </si>
  <si>
    <t>тыс. рублей</t>
  </si>
  <si>
    <t>I.</t>
  </si>
  <si>
    <t xml:space="preserve">   в том числе:</t>
  </si>
  <si>
    <t>Проектные и изыскательские работы, строительный контроль, авторский надзор</t>
  </si>
  <si>
    <t>III.</t>
  </si>
  <si>
    <t>Чувашской Республики</t>
  </si>
  <si>
    <r>
      <t xml:space="preserve">Планируемые объемы работ по капитальному ремонту, ремонту и содержанию автомобильных дорог по выделенным на </t>
    </r>
    <r>
      <rPr>
        <b/>
        <sz val="13"/>
        <rFont val="Times New Roman"/>
        <family val="1"/>
      </rPr>
      <t>2015 год</t>
    </r>
    <r>
      <rPr>
        <sz val="13"/>
        <rFont val="Times New Roman"/>
        <family val="1"/>
      </rPr>
      <t xml:space="preserve"> лимитам после уточнения
</t>
    </r>
  </si>
  <si>
    <r>
      <t xml:space="preserve">Планируемые объемы работ по капитальному ремонту, ремонту и содержанию автомобильных дорог по выделенным на </t>
    </r>
    <r>
      <rPr>
        <b/>
        <sz val="13"/>
        <rFont val="Times New Roman"/>
        <family val="1"/>
      </rPr>
      <t>2016 год</t>
    </r>
    <r>
      <rPr>
        <sz val="13"/>
        <rFont val="Times New Roman"/>
        <family val="1"/>
      </rPr>
      <t xml:space="preserve"> лимитам 
</t>
    </r>
  </si>
  <si>
    <t>пог. м</t>
  </si>
  <si>
    <t>УТВЕРЖДЕНО</t>
  </si>
  <si>
    <t xml:space="preserve">постановлением Кабинета Министров </t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</si>
  <si>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</si>
  <si>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</si>
  <si>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</si>
  <si>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</si>
  <si>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</si>
  <si>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</si>
  <si>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</si>
  <si>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</si>
  <si>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</si>
  <si>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12.</t>
  </si>
  <si>
    <t>13.</t>
  </si>
  <si>
    <t>Р А С П Р Е Д Е Л Е Н И Е
средств республиканского бюджета Чувашской Республики на капитальный ремонт, ремонт 
и содержание автомобильных дорог общего пользования регионального и межмуниципального значения 
и искусственных сооружений на них на 2018 год и на плановый период 2019 и 2020 годов</t>
  </si>
  <si>
    <t>в том числе</t>
  </si>
  <si>
    <t>из республи-
канского 
бюджета 
Чувашской 
Республики</t>
  </si>
  <si>
    <t>10.</t>
  </si>
  <si>
    <t xml:space="preserve">Капитальный ремонт автомобильных дорог </t>
  </si>
  <si>
    <t xml:space="preserve">Содержание автомобильных дорог </t>
  </si>
  <si>
    <t>Приложение</t>
  </si>
  <si>
    <t>Ремонт автомобильных дорог</t>
  </si>
  <si>
    <t>Нанесение дорожной разметки</t>
  </si>
  <si>
    <t>Финансирование объемов дорожных работ по разделу I ‒ всего</t>
  </si>
  <si>
    <t xml:space="preserve">к постановлению Кабинета Министров </t>
  </si>
  <si>
    <t>Финансирование объемов дорожных работ по разделу II ‒ всего</t>
  </si>
  <si>
    <t>Проведение диагностики после капитального ремонта и ремонта автомобильных дорог</t>
  </si>
  <si>
    <t>II. 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</t>
  </si>
  <si>
    <t>14.</t>
  </si>
  <si>
    <t>15.</t>
  </si>
  <si>
    <t xml:space="preserve">                   от </t>
  </si>
  <si>
    <t>Чувашской Республики
от</t>
  </si>
  <si>
    <t>Обеспечение транспортной безопасности</t>
  </si>
  <si>
    <t>16.</t>
  </si>
  <si>
    <r>
      <t xml:space="preserve">Планируемые объемы работ по капитальному ремонту, 
ремонту и содержанию автомобильных дорог по выделенным </t>
    </r>
    <r>
      <rPr>
        <sz val="13"/>
        <rFont val="Times New Roman"/>
        <family val="1"/>
        <charset val="204"/>
      </rPr>
      <t>на 2022 год</t>
    </r>
    <r>
      <rPr>
        <sz val="13"/>
        <rFont val="Times New Roman"/>
        <family val="1"/>
      </rPr>
      <t xml:space="preserve"> лимитам </t>
    </r>
  </si>
  <si>
    <r>
      <t xml:space="preserve">Планируемые объемы работ по капитальному ремонту, 
ремонту и содержанию автомобильных дорог по выделенным </t>
    </r>
    <r>
      <rPr>
        <sz val="13"/>
        <rFont val="Times New Roman"/>
        <family val="1"/>
        <charset val="204"/>
      </rPr>
      <t>на 2023 год</t>
    </r>
    <r>
      <rPr>
        <sz val="13"/>
        <rFont val="Times New Roman"/>
        <family val="1"/>
      </rPr>
      <t xml:space="preserve"> лимитам </t>
    </r>
  </si>
  <si>
    <t>всего,
тыс. рублей</t>
  </si>
  <si>
    <t>I. Капитальный ремонт и ремонт автомобильных дорог общего пользования регионального и межмуниципального значения и нанесение дорожной разметки на них 
в рамках реализации национального проекта «Безопасные качественные дороги»</t>
  </si>
  <si>
    <t>Капитальный ремонт автомобильной дороги Чебоксары – Сурское (до границы Ульяновской области) на участке км 200+015 – км 200+715  в Алатырском районе Чувашской Республики (кадастровый номер а.д. 21:00:000000:262)</t>
  </si>
  <si>
    <t>18.</t>
  </si>
  <si>
    <t>19.</t>
  </si>
  <si>
    <t>20.</t>
  </si>
  <si>
    <t>Капитальный ремонт автомобильной дороги Ибреси – Березовка – Кудеиха, км 0+000 – км 10+000 в Ибресинском районе Чувашской Республики (кадастровый номер а.д. 21:00:000000:261)</t>
  </si>
  <si>
    <t>Капитальный ремонт автомобильной дороги Калинино – Батырево – Яльчики, км 42+680 – км 50+060 в Ибресинском районе Чувашской Республики (кадастровый номер а.д. 21:09:000000:2355)</t>
  </si>
  <si>
    <t xml:space="preserve">Капитальный ремонт автомобильной дороги Никольское – Ядрин – Калинино, км 21+372 – км 31+660 в Ядринском районе Чувашской Республики (кадастровый номер а.д. 21:24:000000:2333)  </t>
  </si>
  <si>
    <t>Ремонт автомобильной дороги «Волга» – Козловка на участке км 0+135 – км 9+400 в Козловском районе Чувашской Республики (кадастровый номер а.д. 21:12:000000:184)</t>
  </si>
  <si>
    <t>Наименование автомобильных дорог,             объектов</t>
  </si>
  <si>
    <r>
      <t xml:space="preserve">Финансирование объемов дорожных работ по разделам I, II, III </t>
    </r>
    <r>
      <rPr>
        <b/>
        <sz val="13"/>
        <rFont val="Times New Roman"/>
        <family val="1"/>
        <charset val="204"/>
      </rPr>
      <t>‒</t>
    </r>
    <r>
      <rPr>
        <b/>
        <sz val="13"/>
        <rFont val="Times New Roman"/>
        <family val="1"/>
      </rPr>
      <t xml:space="preserve"> всего</t>
    </r>
  </si>
  <si>
    <t xml:space="preserve">Капитальный ремонт автомобильной дороги Комсомольское – Яльчики – Буинск (до границы Республики Татарстан) на участке км 9+060 – км 18+800 в Яльчикском районе Чувашской Республики  (кадастровый номер а.д. 21:13:000000:659)  </t>
  </si>
  <si>
    <t xml:space="preserve">Ремонт автомобильной дороги Калинино – Батырево – Яльчики (в том числе подъезд к с. Яльчики), км 56+794 – км 63+300 в Комсомольском районе Чувашской Республики (кадастровый номер а.д. 21:09:000000:2355)  </t>
  </si>
  <si>
    <t xml:space="preserve">Ремонт автомобильной дороги 
Чебоксары – Сурское (до границы Ульяновской области) на участке 
км 198+850 – км 200+015, км 200+715 − км 204+740 в Алатырском районе Чувашской Республики (кадастровый номер а.д. 21:00:000000:262)  </t>
  </si>
  <si>
    <t>Ремонт моста через р. Алатырь на км 191+281 автомобильной дороги 
Чебоксары − Сурское в Алатырском районе Чувашской Республики (кадастровый номер а.д. 21:00:000000:262)</t>
  </si>
  <si>
    <t>Капитальный ремонт автомобильной дороги Чебоксары – Сурское (до границы Ульяновской области), км 41+330 – км 53+120 в Красноармейском районе Чувашской Республики (1 этап, 
км 48+125 − км 53+120) (кадастровый номер а.д. 21:00:000000:262)</t>
  </si>
  <si>
    <r>
      <t xml:space="preserve">Планируемые объемы работ по капитальному ремонту, 
ремонту и содержанию автомобильных дорог по выделенным </t>
    </r>
    <r>
      <rPr>
        <sz val="13"/>
        <rFont val="Times New Roman"/>
        <family val="1"/>
        <charset val="204"/>
      </rPr>
      <t>на 2024 год</t>
    </r>
    <r>
      <rPr>
        <sz val="13"/>
        <rFont val="Times New Roman"/>
        <family val="1"/>
      </rPr>
      <t xml:space="preserve"> лимитам </t>
    </r>
  </si>
  <si>
    <t>6.</t>
  </si>
  <si>
    <t>17.</t>
  </si>
  <si>
    <t>Капитальный ремонт автомобильной дороги «Цивильск – Ульяновск» – Яманчурино, км 22+245 − км 28+430 в Яльчикском районе Чувашской Республики (кадастровый номер а.д. 21:08:000000:3656)</t>
  </si>
  <si>
    <t>Ремонт искусственных дорожных сооружений</t>
  </si>
  <si>
    <t>Капитальный ремонт искусственных дорожных сооружений</t>
  </si>
  <si>
    <t>Ремонт путепровода через ж.д. на км 77+987 автомобильной дороги «Сура» в Шумерлинском районе Чувашской Республики (кадастровый номер а.д. 21:17:000000:2682)</t>
  </si>
  <si>
    <t>к постановлению Кабинета Министров</t>
  </si>
  <si>
    <t xml:space="preserve">Р А С П Р Е Д Е Л Е Н И Е 
средств республиканского бюджета Чувашской Республики на капитальный ремонт и ремонт автомобильных дорог общего пользования регионального и межмуниципального значения и нанесение дорожной разметки на них в рамках реализации национального проекта «Безопасные качественные дороги», на 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 на 2022 год и на плановый период 2023 и 2024 годов </t>
  </si>
  <si>
    <t>21.</t>
  </si>
  <si>
    <t>22.</t>
  </si>
  <si>
    <t>Финансирование объемов дорожных работ по разделу III ‒ всего</t>
  </si>
  <si>
    <t xml:space="preserve">Ремонт автомобильной дороги Калинино – Батырево – Яльчики (в том числе подъезд к с. Яльчики), км 78+600 – км 93+740 в Батыревском районе Чувашской Республики (кадастровый номер а.д. 21:09:000000:2355)  </t>
  </si>
  <si>
    <t xml:space="preserve"> </t>
  </si>
  <si>
    <r>
      <t>от 30.12.2021 № 736</t>
    </r>
    <r>
      <rPr>
        <sz val="13"/>
        <rFont val="Times New Roman"/>
        <family val="1"/>
        <charset val="204"/>
      </rPr>
      <t xml:space="preserve"> </t>
    </r>
  </si>
  <si>
    <t>24.</t>
  </si>
  <si>
    <t>26.</t>
  </si>
  <si>
    <t>28.</t>
  </si>
  <si>
    <t>III. Капитальный ремонт и ремонт автомобильных дорог общего пользования регионального и межмуниципального значения в рамках федерального проекта «Содействие развитию автомобильных дорог регионального, межмуниципального и местного значения» государственной программы Российской Федерации «Развитие транспортной системы» на 2022 и 2023 годы</t>
  </si>
  <si>
    <t>_____________________</t>
  </si>
  <si>
    <t>из федерального бюджета</t>
  </si>
  <si>
    <t>Капитальный ремонт автомобильной дороги Вурнары − Убеево − Красноармейское на участке км 11+967 − км 20+377 в Вурнарском районе Чувашской Республики (1 этап ПК0+00 − ПК40+00) (кадастровый номер а.д. 21:09:000000:402)</t>
  </si>
  <si>
    <t xml:space="preserve">Капитальный ремонт автомобильной дороги Канаш –Тюлькой – Словаши – а.д. «Волга» на участке км 22+000 – км 28+364 в Канашском районе Чувашской Республики (2 этап ПК0+00 − ПК35+80) (кадастровый номер а.д. 21:04:000000:674) </t>
  </si>
  <si>
    <t xml:space="preserve">Капитальный ремонт автомобильной дороги «Аниш» (а.д. «Волга» – Урмары – Канаш – Ибреси – Алатырь) на участке км 0+000 – км 15+000 в Урмарском районе Чувашской Республики (1 этап ПК0+00 − ПК5+00) (кадастровый номер а.д. 21:19:000000:123)  </t>
  </si>
  <si>
    <t xml:space="preserve">Капитальный ремонт автомобильной дороги «Аниш» (а.д. «Волга» – Урмары – Канаш – Ибреси – Алатырь) на участке км 0+000 – км 15+000 в Урмарском районе Чувашской Республики (2 этап ПК5+00 − ПК10+00) (кадастровый номер а.д. 21:19:000000:123)  </t>
  </si>
  <si>
    <t xml:space="preserve">Капитальный ремонт автомобильной дороги «Аниш» на участке км 83+285 – км 96+600 в Ибресинском районе Чувашской Республики  (кадастровый номер а.д. 21:19:000000:123)  </t>
  </si>
  <si>
    <t>25.</t>
  </si>
  <si>
    <t>27.</t>
  </si>
  <si>
    <t xml:space="preserve">Ремонт (восстановление слоев износа) автомобильной дороги Авданкасы − Моргауши − Козьмодемьянск (до границы Республики Марий Эл) на участке км 34+275 – км 37+609 в Моргаушском районе Чувашской Республики (кадастровый номер а.д. 21:17:000000:2687)  </t>
  </si>
  <si>
    <t xml:space="preserve">Ремонт автомобильной дороги Канаш − Тюлькой − Словаши − а.д. «Волга» на участке км 12+000 − км 16+000 в Канашском районе Чувашской Республики (кадастровый номер а.д. 21:04:000000:674) </t>
  </si>
  <si>
    <t xml:space="preserve">Ремонт моста через р. Шатьма на км 48+015 автомобильной дороги 
Чебоксары – Сурское (до границы Ульяновской области) в Красноармейском районе Чувашской Республики (кадастровый номер а.д.  21:00:000000:262) </t>
  </si>
  <si>
    <t xml:space="preserve">Ремонт (восстановление слоев износа) автомобильной дороги Моргауши − Тораево − а.д. «Сура» на участке 
км 0+000 – км 5+300 в Козловском районе Чувашской Республики  (кадастровый номер а.д. 21:17:000000:2382)  </t>
  </si>
  <si>
    <t>Ремонт моста через р. Сура на км 163+568 автомобильной дороги «Аниш» 
(а.д. «Волга» – Урмары – Канаш – 
Ибреси – Алатырь) в Алатырском районе Чувашской Республики (кадастровый номер а.д. 21:19:000000:123)</t>
  </si>
  <si>
    <t xml:space="preserve">Ремонт моста через р. Киря на км 122+799 автомобильной дороги «Аниш»  
(а.д. «Волга» – Урмары – Канаш – 
Ибреси – Алатырь) в Ибресинском районе Чувашской Республики (кадастровый номер а.д. 21:19:000000:123) </t>
  </si>
  <si>
    <t xml:space="preserve">Ремонт трубы на км 6+080 автомобильной дороги «Чебоксары – Сурское» − Мишуково − Ардатов (до границы Мордовской Республики) в Порецком районе Чувашской Республики (кадастровый номер а.д. 21:18:000000:4709) </t>
  </si>
  <si>
    <t xml:space="preserve">Ремонт (восстановление слоев износа) автомобильной дороги «Волга» − Вурманкасы − ГРУ «Реабилитационный центр для ветеранов и инвалидов» на участке км 0+000 – км 3+224 в Чебоксарском районе Чувашской Республики (кадастровый номер а.д. 21:21:000000:1239)  </t>
  </si>
  <si>
    <t>23.</t>
  </si>
  <si>
    <t>Капитальный ремонт трубы на км 11+510 автомобильной дороги «Чебоксары − Сурское» – Мишуково – Ардатов (до границы Мордовской Республики) в Порецком районе Чувашской Республики (кадастровый номер а.д. 21:18:000000:4709)</t>
  </si>
  <si>
    <t>Капитальный ремонт трубы на км 10+930 автомобильной дороги «Чебоксары − Сурское» – Мишуково – Ардатов (до границы Мордовской Республики) в Порецком районе Чувашской Республики (кадастровый номер а.д. 21:18:000000:4709)</t>
  </si>
  <si>
    <t>Капитальный ремонт трубы на км 10+300 автомобильной дороги «Чебоксары − Сурское» – Мишуково – Ардатов (до границы Мордовской Республики) в Порецком районе Чувашской Республики (кадастровый номер а.д. 21:18:000000:4709)</t>
  </si>
  <si>
    <t xml:space="preserve">Капитальный ремонт автомобильной дороги «Чебоксары – Сурское» – Мишуково – Ардатов (до границы Мордовской Республики), км 12+150 – км 20+000 в Порецком районе Чувашской Республики (кадастровый номер а.д. 21:18:000000:4709)  </t>
  </si>
  <si>
    <t>Капитальный ремонт автомобильной дороги Шихазаны – Калинино, км 15+624 – км 28+000 в Вурнарском районе Чувашской Республики (кадастровый номер а.д. 21:11:000000:1267)</t>
  </si>
  <si>
    <t xml:space="preserve">Капитальный ремонт автомобильной дороги Канаш –Тюлькой – Словаши – а.д. «Волга» на участке км 22+000 – км 28+364 в Канашском районе Чувашской Республики (1 этап ПК35+80 − ПК63+64) (кадастровый номер а.д. 21:04:000000:674) </t>
  </si>
  <si>
    <t xml:space="preserve">Ремонт автомобильной дороги Чебоксары – Сурское (до границы Ульяновской области) на участке км 192+850 – км 198+850 в Алатырском районе Чувашской Республики (кадастровый номер а.д. 21:00:000000:262)  </t>
  </si>
  <si>
    <t xml:space="preserve">Ремонт автомобильной дороги Авданкасы − Моргауши − Козьмодемьянск (до границы Республики Марий Эл) на участке км 10+000 − км 17+300 в Моргаушском районе Чувашской Республики (кадастровый номер а.д. 21:17:000000:2687) </t>
  </si>
  <si>
    <t>Капитальный ремонт автомобильной доро-ги «Цивильск – Ульяновск» – Ачакасы – Янгорчино – «Вурнары – Убеево – Красноармейское» на участке км 5+000 – км 21+315 в Канашском районе Чувашской Республики (2 этап ПК0+00 − ПК108+00) (кадастровый номер а.д. 21:11:000000:1266)</t>
  </si>
  <si>
    <t>Капитальный ремонт автомобильной дороги Чебоксары – Сурское (до границы Ульяновской области), км 41+330 – км 53+120 в Красноармейском районе Чу-вашской Республики (2Б этап, км 44+000 – км 48+125) (кадастровый номер а.д. 21:00:000000:262)</t>
  </si>
  <si>
    <t xml:space="preserve">Капитальный ремонт автомобильной доро-ги «Волга» – Марпосад – Октябрьское – Козловка, км 8+500 – км 18+500 в Мариинско-Посадском районе Чувашской Республики (кадастровый номер а.д. 21:16:000000:7615)  </t>
  </si>
  <si>
    <t xml:space="preserve">Ремонт (восстановление слоев износа) автомобильной дороги Авданкасы − Моргауши − Козьмодемьянск (до границы Республики Марий Эл) на участке                 км 0+000 – км 10+000 в Моргаушском районе Чувашской Республики (кадастровый номер а.д. 21:17:000000:2687)  </t>
  </si>
  <si>
    <t xml:space="preserve">Ремонт автомобильной дороги Комсо-мольское – Яльчики − Буинск (до границы Республики Татарстан), км 20+000 – км 29+500 в Яльчикском районе Чувашской Республики (кадастровый номер а.д. 21:12:000000:659)  </t>
  </si>
  <si>
    <t xml:space="preserve">Ремонт (восстановление слоев износа) автомобильной дороги Моргауши − Тораево − а.д. «Сура» на участке                   км 0+000 – км 5+300 в Козловском районе Чувашской Республики  (кадастровый номер а.д. 21:17:000000:2382)  </t>
  </si>
  <si>
    <t>Капитальный ремонт автомобильной дороги Вурнары − Убеево − Красноармейское на участке км 11+967 − км 20+377 в Вурнарском районе Чувашской Республики (2А этап ПК40+00 − ПК76+83) (кадастровый номер а.д. 21:09:000000:402)</t>
  </si>
  <si>
    <t>Капитальный ремонт автомобильной дороги Вурнары − Убеево − Красноармейское на участке км 11+967 − км 20+377 в Вурнарском районе Чувашской Республики (2Б этап ПК76+83 − ПК84+00) (кадастровый номер а.д. 21:09:000000:402)</t>
  </si>
  <si>
    <t xml:space="preserve">Капитальный ремонт моста через реку 
Б. Аниш на км 11+954 автомобильной дороги «Волга» – Марпосад – 
Октябрьское – Козловка  в Мариинско-Посадском районе Чувашской Республики (кадастровый номер а.д. 21:16:000000:7615)  </t>
  </si>
  <si>
    <t xml:space="preserve">Ремонт моста через р. Сорма на км 47+795 автомобильной дороги Никольское – 
Ядрин – Калинино в Аликовском районе Чувашской Республики (кадастровый номер а.д. 21:24:000000:2333) </t>
  </si>
  <si>
    <t>29.</t>
  </si>
  <si>
    <t>Капитальный ремонт автомобильной доро-ги «Цивильск – Ульяновск» – Ачакасы – Янгорчино – «Вурнары – Убеево – Красноармейское» на участке км 5+000 – км 21+315 в Канашском районе Чувашской Республики, 1 этап, км 15+843 − км 21+315 (кадастровый номер а.д. 21:11:000000:1266)</t>
  </si>
  <si>
    <t>Капитальный ремонт автомобильной дороги Чебоксары – Сурское (до границы Ульяновской области), км 41+330 – км 53+120 в Красноармейском районе Чувашской Республики (2А этап, 
км 41+330 – км 44+000) (кадастровый номер а.д. 21:00:000000:262)</t>
  </si>
  <si>
    <t xml:space="preserve"> Капитальный ремонт автомобильной дороги Моргауши – Тораево – а.д. «Сура», км 16+800 – км 24+020 в Моргаушском и Ядринском районах Чувашской Республики, 2 этап, км 17+760 − км 20+420 (кадастровый номер а.д. 21:17:000000:2382)</t>
  </si>
  <si>
    <t xml:space="preserve"> Капитальный ремонт автомобильной дороги Моргауши – Тораево – а.д. «Сура», км 16+800 – км 24+020 в Моргаушском и Ядринском районах Чувашской Республики, 3 этап, км 20+420 − км 24+020 (кадастровый номер а.д. 21:17:000000:2382)</t>
  </si>
  <si>
    <t xml:space="preserve">Капитальный ремонт автомобильной доро-ги «Волга» − Марпосад − Октябрьское − Козловка на участке км 40+100 – км 49+400 в Козловском районе Чувашской Республики  (кадастровый номер а.д. 21:16:000000:7615)  </t>
  </si>
  <si>
    <t xml:space="preserve">Ремонт автомобильной дороги «Вятка» − пос. Северный, км 0+000 − км 16+900 в Чебоксарском районе Чувашской Республики, II этап, км 2+900 − км 4+500 (кадастровый номер а.д. 21:01:000000:1198) </t>
  </si>
  <si>
    <t xml:space="preserve"> Капитальный ремонт автомобильной дороги Моргауши – Тораево – а.д. «Сура», км 16+800 – км 24+020 в Моргаушском и Ядринском районах Чувашской Республики, 1 этап, км 16+800 − км 17+760 (кадастровый номер а.д. 21:17:000000:2382)</t>
  </si>
  <si>
    <r>
      <t xml:space="preserve">от </t>
    </r>
    <r>
      <rPr>
        <sz val="13"/>
        <color theme="1"/>
        <rFont val="Times New Roman"/>
        <family val="1"/>
        <charset val="204"/>
      </rPr>
      <t>29.08.2022   № 425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</si>
</sst>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3"/>
      <color theme="1"/>
      <name val="Times New Roman"/>
      <family val="1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/>
    <xf numFmtId="0" fontId="19" fillId="0" borderId="0" xfId="0" applyFont="1" applyFill="1" applyBorder="1" applyAlignment="1">
      <alignment vertical="top" wrapText="1"/>
    </xf>
    <xf numFmtId="166" fontId="19" fillId="0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66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vertical="center" wrapText="1"/>
    </xf>
    <xf numFmtId="0" fontId="22" fillId="0" borderId="0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vertical="center" wrapText="1"/>
    </xf>
    <xf numFmtId="0" fontId="22" fillId="0" borderId="0" xfId="0" quotePrefix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vertical="center" wrapText="1"/>
    </xf>
    <xf numFmtId="0" fontId="21" fillId="0" borderId="0" xfId="0" quotePrefix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quotePrefix="1" applyFont="1" applyFill="1" applyBorder="1" applyAlignment="1">
      <alignment horizontal="left" vertical="top" wrapText="1"/>
    </xf>
    <xf numFmtId="0" fontId="19" fillId="0" borderId="0" xfId="0" quotePrefix="1" applyFont="1" applyFill="1" applyBorder="1" applyAlignment="1">
      <alignment vertical="top" wrapText="1"/>
    </xf>
    <xf numFmtId="0" fontId="22" fillId="0" borderId="0" xfId="0" quotePrefix="1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vertical="top" wrapText="1"/>
    </xf>
    <xf numFmtId="0" fontId="19" fillId="0" borderId="0" xfId="0" quotePrefix="1" applyFont="1" applyFill="1" applyBorder="1" applyAlignment="1">
      <alignment horizontal="left" vertical="top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wrapText="1"/>
    </xf>
    <xf numFmtId="166" fontId="21" fillId="0" borderId="0" xfId="0" applyNumberFormat="1" applyFont="1" applyFill="1" applyBorder="1" applyAlignment="1">
      <alignment wrapText="1"/>
    </xf>
    <xf numFmtId="166" fontId="21" fillId="0" borderId="0" xfId="0" applyNumberFormat="1" applyFont="1" applyFill="1" applyBorder="1" applyAlignment="1">
      <alignment horizontal="center" wrapText="1"/>
    </xf>
    <xf numFmtId="166" fontId="19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19" fillId="0" borderId="0" xfId="0" quotePrefix="1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9" fillId="0" borderId="11" xfId="0" quotePrefix="1" applyFont="1" applyFill="1" applyBorder="1" applyAlignment="1">
      <alignment horizontal="center" vertical="top" wrapText="1"/>
    </xf>
    <xf numFmtId="166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166" fontId="22" fillId="0" borderId="0" xfId="0" applyNumberFormat="1" applyFont="1" applyFill="1" applyBorder="1" applyAlignment="1">
      <alignment horizontal="center" vertical="top" wrapText="1"/>
    </xf>
    <xf numFmtId="166" fontId="21" fillId="0" borderId="0" xfId="0" applyNumberFormat="1" applyFont="1" applyFill="1" applyBorder="1" applyAlignment="1">
      <alignment horizontal="center" vertical="top" wrapText="1"/>
    </xf>
    <xf numFmtId="166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166" fontId="22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12" xfId="0" quotePrefix="1" applyFont="1" applyFill="1" applyBorder="1" applyAlignment="1">
      <alignment horizontal="center" vertical="center" wrapText="1"/>
    </xf>
    <xf numFmtId="0" fontId="19" fillId="0" borderId="13" xfId="0" quotePrefix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quotePrefix="1" applyFont="1" applyFill="1" applyBorder="1" applyAlignment="1">
      <alignment horizontal="center" vertical="top" wrapText="1"/>
    </xf>
    <xf numFmtId="0" fontId="19" fillId="0" borderId="0" xfId="0" quotePrefix="1" applyFont="1" applyFill="1" applyBorder="1" applyAlignment="1">
      <alignment horizontal="center" vertical="top" wrapText="1"/>
    </xf>
    <xf numFmtId="0" fontId="19" fillId="0" borderId="15" xfId="0" quotePrefix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quotePrefix="1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center" wrapText="1"/>
    </xf>
    <xf numFmtId="0" fontId="19" fillId="0" borderId="10" xfId="0" quotePrefix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quotePrefix="1" applyFont="1" applyFill="1" applyBorder="1" applyAlignment="1">
      <alignment horizontal="center" vertical="top" wrapText="1"/>
    </xf>
    <xf numFmtId="166" fontId="21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tabSelected="1" view="pageBreakPreview" topLeftCell="B25" zoomScale="85" zoomScaleSheetLayoutView="85" workbookViewId="0">
      <selection activeCell="V14" sqref="V14:X14"/>
    </sheetView>
  </sheetViews>
  <sheetFormatPr defaultColWidth="9.28515625" defaultRowHeight="16.5" x14ac:dyDescent="0.25"/>
  <cols>
    <col min="1" max="1" width="4.5703125" style="4" hidden="1" customWidth="1"/>
    <col min="2" max="2" width="5" style="50" customWidth="1"/>
    <col min="3" max="3" width="45.7109375" style="54" customWidth="1"/>
    <col min="4" max="4" width="8.5703125" style="50" hidden="1" customWidth="1"/>
    <col min="5" max="5" width="8.42578125" style="50" hidden="1" customWidth="1"/>
    <col min="6" max="6" width="13" style="50" hidden="1" customWidth="1"/>
    <col min="7" max="7" width="9.28515625" style="50" hidden="1" customWidth="1"/>
    <col min="8" max="8" width="8.5703125" style="50" hidden="1" customWidth="1"/>
    <col min="9" max="9" width="4.5703125" style="50" hidden="1" customWidth="1"/>
    <col min="10" max="10" width="11.28515625" style="50" customWidth="1"/>
    <col min="11" max="11" width="12.7109375" style="50" customWidth="1"/>
    <col min="12" max="12" width="19.28515625" style="50" customWidth="1"/>
    <col min="13" max="13" width="20" style="50" customWidth="1"/>
    <col min="14" max="14" width="18.42578125" style="50" customWidth="1"/>
    <col min="15" max="15" width="10.28515625" style="50" customWidth="1"/>
    <col min="16" max="16" width="10.7109375" style="50" customWidth="1"/>
    <col min="17" max="17" width="20.42578125" style="50" customWidth="1"/>
    <col min="18" max="18" width="19.140625" style="1" customWidth="1"/>
    <col min="19" max="19" width="18.42578125" style="1" customWidth="1"/>
    <col min="20" max="20" width="10.28515625" style="50" customWidth="1"/>
    <col min="21" max="21" width="12.28515625" style="50" customWidth="1"/>
    <col min="22" max="22" width="18.7109375" style="50" customWidth="1"/>
    <col min="23" max="23" width="19.28515625" style="1" customWidth="1"/>
    <col min="24" max="24" width="18.42578125" style="1" customWidth="1"/>
    <col min="25" max="25" width="20.7109375" style="2" customWidth="1"/>
    <col min="26" max="26" width="20.7109375" style="41" customWidth="1"/>
    <col min="27" max="27" width="20.28515625" style="9" customWidth="1"/>
    <col min="28" max="28" width="20.28515625" style="1" customWidth="1"/>
    <col min="29" max="33" width="13.7109375" style="1" customWidth="1"/>
    <col min="34" max="16384" width="9.28515625" style="1"/>
  </cols>
  <sheetData>
    <row r="1" spans="1:27" hidden="1" x14ac:dyDescent="0.25">
      <c r="Q1" s="58" t="s">
        <v>30</v>
      </c>
      <c r="R1" s="58"/>
      <c r="S1" s="58"/>
      <c r="V1" s="58" t="s">
        <v>30</v>
      </c>
      <c r="W1" s="58"/>
      <c r="X1" s="58"/>
      <c r="Y1" s="7"/>
    </row>
    <row r="2" spans="1:27" hidden="1" x14ac:dyDescent="0.25">
      <c r="Q2" s="58" t="s">
        <v>34</v>
      </c>
      <c r="R2" s="58"/>
      <c r="S2" s="58"/>
      <c r="V2" s="58" t="s">
        <v>34</v>
      </c>
      <c r="W2" s="58"/>
      <c r="X2" s="58"/>
      <c r="Y2" s="7"/>
    </row>
    <row r="3" spans="1:27" hidden="1" x14ac:dyDescent="0.25">
      <c r="Q3" s="58" t="s">
        <v>7</v>
      </c>
      <c r="R3" s="58"/>
      <c r="S3" s="58"/>
      <c r="V3" s="58" t="s">
        <v>7</v>
      </c>
      <c r="W3" s="58"/>
      <c r="X3" s="58"/>
      <c r="Y3" s="7"/>
    </row>
    <row r="4" spans="1:27" ht="17.25" hidden="1" customHeight="1" x14ac:dyDescent="0.25">
      <c r="C4" s="10"/>
      <c r="Q4" s="60" t="s">
        <v>40</v>
      </c>
      <c r="R4" s="60"/>
      <c r="S4" s="60"/>
      <c r="V4" s="60" t="s">
        <v>40</v>
      </c>
      <c r="W4" s="60"/>
      <c r="X4" s="60"/>
      <c r="Y4" s="44"/>
    </row>
    <row r="5" spans="1:27" ht="10.5" hidden="1" customHeight="1" x14ac:dyDescent="0.25">
      <c r="C5" s="10"/>
      <c r="R5" s="50"/>
      <c r="S5" s="50"/>
      <c r="W5" s="50"/>
      <c r="X5" s="50"/>
      <c r="Y5" s="7"/>
    </row>
    <row r="6" spans="1:27" ht="10.5" hidden="1" customHeight="1" x14ac:dyDescent="0.25">
      <c r="L6" s="1"/>
      <c r="M6" s="1"/>
      <c r="N6" s="1"/>
      <c r="O6" s="1"/>
      <c r="P6" s="1"/>
      <c r="Q6" s="1"/>
      <c r="T6" s="1"/>
      <c r="U6" s="1"/>
      <c r="V6" s="1"/>
    </row>
    <row r="7" spans="1:27" ht="17.25" customHeight="1" x14ac:dyDescent="0.25">
      <c r="L7" s="1"/>
      <c r="M7" s="1"/>
      <c r="N7" s="1"/>
      <c r="O7" s="1"/>
      <c r="P7" s="1"/>
      <c r="Q7" s="1"/>
      <c r="T7" s="1"/>
      <c r="U7" s="1"/>
      <c r="V7" s="58" t="s">
        <v>30</v>
      </c>
      <c r="W7" s="58"/>
      <c r="X7" s="58"/>
      <c r="Y7" s="7"/>
    </row>
    <row r="8" spans="1:27" ht="17.25" customHeight="1" x14ac:dyDescent="0.25">
      <c r="L8" s="1"/>
      <c r="M8" s="1"/>
      <c r="N8" s="1"/>
      <c r="O8" s="1"/>
      <c r="P8" s="1"/>
      <c r="Q8" s="1"/>
      <c r="T8" s="1"/>
      <c r="U8" s="1"/>
      <c r="V8" s="58" t="s">
        <v>70</v>
      </c>
      <c r="W8" s="58"/>
      <c r="X8" s="58"/>
      <c r="Y8" s="7"/>
    </row>
    <row r="9" spans="1:27" ht="17.25" customHeight="1" x14ac:dyDescent="0.25">
      <c r="L9" s="1"/>
      <c r="M9" s="1"/>
      <c r="N9" s="1"/>
      <c r="O9" s="1"/>
      <c r="P9" s="1"/>
      <c r="Q9" s="1"/>
      <c r="T9" s="1"/>
      <c r="U9" s="1"/>
      <c r="V9" s="58" t="s">
        <v>7</v>
      </c>
      <c r="W9" s="58"/>
      <c r="X9" s="58"/>
      <c r="Y9" s="7"/>
    </row>
    <row r="10" spans="1:27" ht="17.25" customHeight="1" x14ac:dyDescent="0.25">
      <c r="L10" s="1"/>
      <c r="M10" s="1"/>
      <c r="N10" s="1"/>
      <c r="O10" s="1"/>
      <c r="P10" s="1"/>
      <c r="Q10" s="1"/>
      <c r="T10" s="1"/>
      <c r="U10" s="1"/>
      <c r="V10" s="61" t="s">
        <v>126</v>
      </c>
      <c r="W10" s="62"/>
      <c r="X10" s="62"/>
      <c r="Y10" s="45"/>
    </row>
    <row r="11" spans="1:27" ht="17.25" customHeight="1" x14ac:dyDescent="0.25">
      <c r="L11" s="1"/>
      <c r="M11" s="1"/>
      <c r="N11" s="1"/>
      <c r="O11" s="1"/>
      <c r="P11" s="1"/>
      <c r="Q11" s="1"/>
      <c r="T11" s="1"/>
      <c r="U11" s="1"/>
      <c r="W11" s="50"/>
      <c r="X11" s="50"/>
      <c r="Y11" s="7"/>
    </row>
    <row r="12" spans="1:27" ht="16.5" customHeight="1" x14ac:dyDescent="0.25">
      <c r="L12" s="1"/>
      <c r="M12" s="1"/>
      <c r="N12" s="1"/>
      <c r="O12" s="1"/>
      <c r="P12" s="1"/>
      <c r="Q12" s="1"/>
      <c r="T12" s="1"/>
      <c r="U12" s="1"/>
      <c r="V12" s="58" t="s">
        <v>11</v>
      </c>
      <c r="W12" s="58"/>
      <c r="X12" s="58"/>
      <c r="Y12" s="7"/>
    </row>
    <row r="13" spans="1:27" ht="16.5" customHeight="1" x14ac:dyDescent="0.25">
      <c r="L13" s="1"/>
      <c r="M13" s="1"/>
      <c r="N13" s="1"/>
      <c r="O13" s="1"/>
      <c r="P13" s="1"/>
      <c r="Q13" s="1"/>
      <c r="T13" s="1"/>
      <c r="U13" s="1"/>
      <c r="V13" s="58" t="s">
        <v>12</v>
      </c>
      <c r="W13" s="58"/>
      <c r="X13" s="58"/>
      <c r="Y13" s="7"/>
    </row>
    <row r="14" spans="1:27" ht="19.5" customHeight="1" x14ac:dyDescent="0.25">
      <c r="L14" s="1"/>
      <c r="M14" s="1"/>
      <c r="N14" s="2"/>
      <c r="O14" s="1"/>
      <c r="P14" s="1"/>
      <c r="Q14" s="1"/>
      <c r="T14" s="1"/>
      <c r="U14" s="1"/>
      <c r="V14" s="58" t="s">
        <v>41</v>
      </c>
      <c r="W14" s="58"/>
      <c r="X14" s="58"/>
      <c r="Y14" s="7"/>
    </row>
    <row r="15" spans="1:27" ht="25.5" customHeight="1" x14ac:dyDescent="0.25">
      <c r="L15" s="1"/>
      <c r="M15" s="1"/>
      <c r="N15" s="2"/>
      <c r="O15" s="1"/>
      <c r="P15" s="1"/>
      <c r="Q15" s="1"/>
      <c r="T15" s="1"/>
      <c r="U15" s="1"/>
      <c r="V15" s="58" t="s">
        <v>77</v>
      </c>
      <c r="W15" s="63"/>
      <c r="X15" s="63"/>
      <c r="Y15" s="45"/>
    </row>
    <row r="16" spans="1:27" s="12" customFormat="1" ht="97.5" customHeight="1" x14ac:dyDescent="0.25">
      <c r="A16" s="1" t="s">
        <v>24</v>
      </c>
      <c r="B16" s="64" t="s">
        <v>71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59"/>
      <c r="Z16" s="59"/>
      <c r="AA16" s="11"/>
    </row>
    <row r="17" spans="1:34" ht="18.7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s="1"/>
      <c r="U17" s="1"/>
      <c r="V17" s="1"/>
      <c r="Z17" s="13"/>
      <c r="AA17" s="14"/>
      <c r="AB17" s="15"/>
      <c r="AC17" s="15"/>
    </row>
    <row r="18" spans="1:34" ht="17.649999999999999" hidden="1" customHeight="1" x14ac:dyDescent="0.25">
      <c r="C18" s="16"/>
      <c r="D18" s="3"/>
      <c r="E18" s="3"/>
      <c r="F18" s="3"/>
      <c r="I18" s="3"/>
      <c r="J18" s="3"/>
      <c r="K18" s="3"/>
      <c r="L18" s="3"/>
      <c r="M18" s="3"/>
      <c r="N18" s="3">
        <f>N17-N23</f>
        <v>-1690010.9189999998</v>
      </c>
      <c r="O18" s="3"/>
      <c r="P18" s="3"/>
      <c r="Q18" s="3"/>
      <c r="R18" s="4"/>
      <c r="S18" s="3">
        <f>S17-S23</f>
        <v>-1730286.81971</v>
      </c>
      <c r="T18" s="3"/>
      <c r="U18" s="3"/>
      <c r="V18" s="3"/>
      <c r="W18" s="4"/>
      <c r="X18" s="3">
        <f>X17-X23</f>
        <v>-1997825.943</v>
      </c>
      <c r="Y18" s="3"/>
      <c r="Z18" s="13"/>
      <c r="AA18" s="14"/>
      <c r="AB18" s="15"/>
      <c r="AC18" s="15"/>
    </row>
    <row r="19" spans="1:34" s="50" customFormat="1" ht="51.75" customHeight="1" x14ac:dyDescent="0.25">
      <c r="A19" s="66" t="s">
        <v>0</v>
      </c>
      <c r="B19" s="68" t="s">
        <v>0</v>
      </c>
      <c r="C19" s="71" t="s">
        <v>56</v>
      </c>
      <c r="D19" s="72" t="s">
        <v>8</v>
      </c>
      <c r="E19" s="72"/>
      <c r="F19" s="72"/>
      <c r="G19" s="72" t="s">
        <v>9</v>
      </c>
      <c r="H19" s="72"/>
      <c r="I19" s="72"/>
      <c r="J19" s="65" t="s">
        <v>44</v>
      </c>
      <c r="K19" s="65"/>
      <c r="L19" s="65"/>
      <c r="M19" s="65"/>
      <c r="N19" s="65"/>
      <c r="O19" s="73" t="s">
        <v>45</v>
      </c>
      <c r="P19" s="65"/>
      <c r="Q19" s="65"/>
      <c r="R19" s="65"/>
      <c r="S19" s="74"/>
      <c r="T19" s="65" t="s">
        <v>63</v>
      </c>
      <c r="U19" s="65"/>
      <c r="V19" s="65"/>
      <c r="W19" s="65"/>
      <c r="X19" s="74"/>
      <c r="Y19" s="49"/>
      <c r="Z19" s="49"/>
      <c r="AA19" s="9"/>
      <c r="AB19" s="1"/>
      <c r="AC19" s="1"/>
      <c r="AD19" s="1"/>
      <c r="AE19" s="1"/>
      <c r="AF19" s="1"/>
      <c r="AG19" s="1"/>
      <c r="AH19" s="1"/>
    </row>
    <row r="20" spans="1:34" s="50" customFormat="1" ht="18" customHeight="1" x14ac:dyDescent="0.25">
      <c r="A20" s="67"/>
      <c r="B20" s="69"/>
      <c r="C20" s="71"/>
      <c r="D20" s="51" t="s">
        <v>1</v>
      </c>
      <c r="E20" s="51" t="s">
        <v>10</v>
      </c>
      <c r="F20" s="52" t="s">
        <v>2</v>
      </c>
      <c r="G20" s="51" t="s">
        <v>1</v>
      </c>
      <c r="H20" s="51" t="s">
        <v>10</v>
      </c>
      <c r="I20" s="52" t="s">
        <v>2</v>
      </c>
      <c r="J20" s="71" t="s">
        <v>1</v>
      </c>
      <c r="K20" s="71" t="s">
        <v>10</v>
      </c>
      <c r="L20" s="71" t="s">
        <v>46</v>
      </c>
      <c r="M20" s="71" t="s">
        <v>25</v>
      </c>
      <c r="N20" s="72"/>
      <c r="O20" s="75" t="s">
        <v>1</v>
      </c>
      <c r="P20" s="71" t="s">
        <v>10</v>
      </c>
      <c r="Q20" s="71" t="s">
        <v>46</v>
      </c>
      <c r="R20" s="71" t="s">
        <v>25</v>
      </c>
      <c r="S20" s="76"/>
      <c r="T20" s="71" t="s">
        <v>1</v>
      </c>
      <c r="U20" s="71" t="s">
        <v>10</v>
      </c>
      <c r="V20" s="71" t="s">
        <v>46</v>
      </c>
      <c r="W20" s="71" t="s">
        <v>25</v>
      </c>
      <c r="X20" s="76"/>
      <c r="Y20" s="46"/>
      <c r="Z20" s="47"/>
      <c r="AA20" s="19"/>
    </row>
    <row r="21" spans="1:34" s="50" customFormat="1" ht="84" customHeight="1" x14ac:dyDescent="0.25">
      <c r="B21" s="70"/>
      <c r="C21" s="71"/>
      <c r="D21" s="51"/>
      <c r="E21" s="51"/>
      <c r="F21" s="52"/>
      <c r="G21" s="51"/>
      <c r="H21" s="51"/>
      <c r="I21" s="52"/>
      <c r="J21" s="71"/>
      <c r="K21" s="71"/>
      <c r="L21" s="72"/>
      <c r="M21" s="52" t="s">
        <v>83</v>
      </c>
      <c r="N21" s="51" t="s">
        <v>26</v>
      </c>
      <c r="O21" s="75"/>
      <c r="P21" s="71"/>
      <c r="Q21" s="72"/>
      <c r="R21" s="51" t="s">
        <v>83</v>
      </c>
      <c r="S21" s="5" t="s">
        <v>26</v>
      </c>
      <c r="T21" s="71"/>
      <c r="U21" s="71"/>
      <c r="V21" s="72"/>
      <c r="W21" s="51" t="s">
        <v>83</v>
      </c>
      <c r="X21" s="5" t="s">
        <v>26</v>
      </c>
      <c r="Y21" s="47"/>
      <c r="Z21" s="47"/>
      <c r="AA21" s="19"/>
    </row>
    <row r="22" spans="1:34" s="50" customFormat="1" x14ac:dyDescent="0.25">
      <c r="B22" s="48">
        <v>1</v>
      </c>
      <c r="C22" s="51">
        <v>2</v>
      </c>
      <c r="D22" s="51"/>
      <c r="E22" s="51"/>
      <c r="F22" s="51"/>
      <c r="G22" s="51"/>
      <c r="H22" s="51"/>
      <c r="I22" s="51"/>
      <c r="J22" s="51">
        <v>3</v>
      </c>
      <c r="K22" s="51">
        <v>4</v>
      </c>
      <c r="L22" s="51">
        <v>5</v>
      </c>
      <c r="M22" s="51">
        <v>6</v>
      </c>
      <c r="N22" s="51">
        <v>7</v>
      </c>
      <c r="O22" s="51">
        <v>8</v>
      </c>
      <c r="P22" s="51">
        <v>9</v>
      </c>
      <c r="Q22" s="51">
        <v>10</v>
      </c>
      <c r="R22" s="51">
        <v>11</v>
      </c>
      <c r="S22" s="51">
        <v>12</v>
      </c>
      <c r="T22" s="51">
        <v>13</v>
      </c>
      <c r="U22" s="51">
        <v>14</v>
      </c>
      <c r="V22" s="51">
        <v>15</v>
      </c>
      <c r="W22" s="51">
        <v>16</v>
      </c>
      <c r="X22" s="5">
        <v>17</v>
      </c>
      <c r="Y22" s="47"/>
      <c r="Z22" s="47"/>
      <c r="AA22" s="18"/>
    </row>
    <row r="23" spans="1:34" s="21" customFormat="1" ht="39" customHeight="1" x14ac:dyDescent="0.2">
      <c r="A23" s="20"/>
      <c r="C23" s="22" t="s">
        <v>57</v>
      </c>
      <c r="D23" s="23" t="e">
        <f>D25+#REF!+D80</f>
        <v>#REF!</v>
      </c>
      <c r="E23" s="23" t="e">
        <f>E25+#REF!+E80</f>
        <v>#REF!</v>
      </c>
      <c r="F23" s="23" t="e">
        <f>F25+#REF!+F80</f>
        <v>#REF!</v>
      </c>
      <c r="G23" s="23" t="e">
        <f>G25+#REF!+G80</f>
        <v>#REF!</v>
      </c>
      <c r="H23" s="23" t="e">
        <f>H25+#REF!+H80</f>
        <v>#REF!</v>
      </c>
      <c r="I23" s="23" t="e">
        <f>I25+#REF!+I80</f>
        <v>#REF!</v>
      </c>
      <c r="J23" s="6">
        <f t="shared" ref="J23:X23" si="0">J25+J78+J86</f>
        <v>97.306999999999988</v>
      </c>
      <c r="K23" s="6">
        <f t="shared" si="0"/>
        <v>267.99</v>
      </c>
      <c r="L23" s="6">
        <f t="shared" si="0"/>
        <v>3215850.3190000001</v>
      </c>
      <c r="M23" s="6">
        <f t="shared" si="0"/>
        <v>1525839.4</v>
      </c>
      <c r="N23" s="6">
        <f t="shared" si="0"/>
        <v>1690010.9189999998</v>
      </c>
      <c r="O23" s="6">
        <f t="shared" si="0"/>
        <v>28.876000000000005</v>
      </c>
      <c r="P23" s="6">
        <f t="shared" si="0"/>
        <v>525.21</v>
      </c>
      <c r="Q23" s="6">
        <f t="shared" si="0"/>
        <v>2956167.7199999997</v>
      </c>
      <c r="R23" s="6">
        <f t="shared" si="0"/>
        <v>1225880.90029</v>
      </c>
      <c r="S23" s="6">
        <f t="shared" si="0"/>
        <v>1730286.81971</v>
      </c>
      <c r="T23" s="6">
        <f t="shared" si="0"/>
        <v>31.726000000000003</v>
      </c>
      <c r="U23" s="6">
        <f t="shared" si="0"/>
        <v>173.04999999999998</v>
      </c>
      <c r="V23" s="6">
        <f t="shared" si="0"/>
        <v>3602208.8430000003</v>
      </c>
      <c r="W23" s="6">
        <f t="shared" si="0"/>
        <v>1604382.9000000001</v>
      </c>
      <c r="X23" s="6">
        <f t="shared" si="0"/>
        <v>1997825.943</v>
      </c>
      <c r="Y23" s="57"/>
      <c r="Z23" s="57"/>
    </row>
    <row r="24" spans="1:34" s="50" customFormat="1" ht="39.75" customHeight="1" x14ac:dyDescent="0.25">
      <c r="B24" s="78" t="s">
        <v>47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57"/>
      <c r="Z24" s="43"/>
      <c r="AA24" s="18"/>
    </row>
    <row r="25" spans="1:34" s="4" customFormat="1" ht="34.5" customHeight="1" x14ac:dyDescent="0.25">
      <c r="A25" s="4" t="s">
        <v>3</v>
      </c>
      <c r="B25" s="24"/>
      <c r="C25" s="25" t="s">
        <v>33</v>
      </c>
      <c r="D25" s="26" t="e">
        <f>#REF!+#REF!</f>
        <v>#REF!</v>
      </c>
      <c r="E25" s="26" t="e">
        <f>#REF!+#REF!</f>
        <v>#REF!</v>
      </c>
      <c r="F25" s="26" t="e">
        <f>#REF!+#REF!</f>
        <v>#REF!</v>
      </c>
      <c r="G25" s="26" t="e">
        <f>#REF!+#REF!</f>
        <v>#REF!</v>
      </c>
      <c r="H25" s="26" t="e">
        <f>#REF!+#REF!</f>
        <v>#REF!</v>
      </c>
      <c r="I25" s="26" t="e">
        <f>#REF!+#REF!</f>
        <v>#REF!</v>
      </c>
      <c r="J25" s="55">
        <f t="shared" ref="J25:X25" si="1">J27+J53+J58+J67+J76</f>
        <v>57.756999999999998</v>
      </c>
      <c r="K25" s="55">
        <f t="shared" si="1"/>
        <v>267.99</v>
      </c>
      <c r="L25" s="55">
        <f t="shared" si="1"/>
        <v>1387695.3</v>
      </c>
      <c r="M25" s="55">
        <f t="shared" si="1"/>
        <v>537684.39999999991</v>
      </c>
      <c r="N25" s="55">
        <f t="shared" si="1"/>
        <v>850010.89999999991</v>
      </c>
      <c r="O25" s="55">
        <f t="shared" si="1"/>
        <v>24.692000000000004</v>
      </c>
      <c r="P25" s="55">
        <f t="shared" si="1"/>
        <v>525.21</v>
      </c>
      <c r="Q25" s="55">
        <f t="shared" si="1"/>
        <v>1770161.02</v>
      </c>
      <c r="R25" s="55">
        <f t="shared" si="1"/>
        <v>1096725.90029</v>
      </c>
      <c r="S25" s="55">
        <f t="shared" si="1"/>
        <v>673435.11971</v>
      </c>
      <c r="T25" s="55">
        <f t="shared" si="1"/>
        <v>31.726000000000003</v>
      </c>
      <c r="U25" s="55">
        <f t="shared" si="1"/>
        <v>173.04999999999998</v>
      </c>
      <c r="V25" s="55">
        <f t="shared" si="1"/>
        <v>2389208.8430000003</v>
      </c>
      <c r="W25" s="55">
        <f t="shared" si="1"/>
        <v>1604382.9000000001</v>
      </c>
      <c r="X25" s="55">
        <f t="shared" si="1"/>
        <v>784825.94300000009</v>
      </c>
      <c r="Y25" s="56"/>
      <c r="Z25" s="43"/>
      <c r="AA25" s="17"/>
    </row>
    <row r="26" spans="1:34" s="4" customFormat="1" ht="15.75" customHeight="1" x14ac:dyDescent="0.25">
      <c r="B26" s="8"/>
      <c r="C26" s="27" t="s">
        <v>4</v>
      </c>
      <c r="D26" s="28"/>
      <c r="E26" s="28"/>
      <c r="F26" s="26"/>
      <c r="G26" s="28"/>
      <c r="H26" s="28"/>
      <c r="I26" s="2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43"/>
      <c r="AA26" s="17"/>
    </row>
    <row r="27" spans="1:34" s="4" customFormat="1" ht="33" customHeight="1" x14ac:dyDescent="0.25">
      <c r="B27" s="8"/>
      <c r="C27" s="25" t="s">
        <v>28</v>
      </c>
      <c r="D27" s="28"/>
      <c r="E27" s="28"/>
      <c r="F27" s="26"/>
      <c r="G27" s="28"/>
      <c r="H27" s="28"/>
      <c r="I27" s="26"/>
      <c r="J27" s="55">
        <f>SUM(J28:J52)</f>
        <v>31.204000000000001</v>
      </c>
      <c r="K27" s="55">
        <f t="shared" ref="K27:X27" si="2">SUM(K28:K52)</f>
        <v>0</v>
      </c>
      <c r="L27" s="55">
        <f t="shared" si="2"/>
        <v>966710.11</v>
      </c>
      <c r="M27" s="55">
        <f t="shared" si="2"/>
        <v>266081.49099999998</v>
      </c>
      <c r="N27" s="55">
        <f t="shared" si="2"/>
        <v>700628.61899999995</v>
      </c>
      <c r="O27" s="55">
        <f t="shared" si="2"/>
        <v>19.392000000000003</v>
      </c>
      <c r="P27" s="55">
        <f t="shared" si="2"/>
        <v>0</v>
      </c>
      <c r="Q27" s="55">
        <f t="shared" si="2"/>
        <v>1209777.58571</v>
      </c>
      <c r="R27" s="55">
        <f t="shared" si="2"/>
        <v>562873.73300000001</v>
      </c>
      <c r="S27" s="55">
        <f t="shared" si="2"/>
        <v>646903.85271000001</v>
      </c>
      <c r="T27" s="55">
        <f t="shared" si="2"/>
        <v>20.028000000000002</v>
      </c>
      <c r="U27" s="55">
        <f t="shared" si="2"/>
        <v>0</v>
      </c>
      <c r="V27" s="55">
        <f t="shared" si="2"/>
        <v>1890916.7720000001</v>
      </c>
      <c r="W27" s="55">
        <f t="shared" si="2"/>
        <v>1203203.1510000001</v>
      </c>
      <c r="X27" s="55">
        <f t="shared" si="2"/>
        <v>687713.62100000004</v>
      </c>
      <c r="Y27" s="56"/>
      <c r="Z27" s="43"/>
      <c r="AA27" s="17"/>
      <c r="AC27" s="17"/>
      <c r="AE27" s="17"/>
    </row>
    <row r="28" spans="1:34" s="4" customFormat="1" ht="105.6" customHeight="1" x14ac:dyDescent="0.2">
      <c r="B28" s="8" t="s">
        <v>13</v>
      </c>
      <c r="C28" s="29" t="s">
        <v>48</v>
      </c>
      <c r="D28" s="30"/>
      <c r="E28" s="30"/>
      <c r="F28" s="31"/>
      <c r="G28" s="30"/>
      <c r="H28" s="30"/>
      <c r="I28" s="3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>
        <v>0.7</v>
      </c>
      <c r="U28" s="56"/>
      <c r="V28" s="56">
        <f>W28+X28</f>
        <v>115241.105</v>
      </c>
      <c r="W28" s="56"/>
      <c r="X28" s="56">
        <f>104241.105+11000</f>
        <v>115241.105</v>
      </c>
      <c r="Y28" s="77"/>
      <c r="Z28" s="77"/>
    </row>
    <row r="29" spans="1:34" s="4" customFormat="1" ht="86.45" customHeight="1" x14ac:dyDescent="0.2">
      <c r="B29" s="8" t="s">
        <v>14</v>
      </c>
      <c r="C29" s="29" t="s">
        <v>104</v>
      </c>
      <c r="D29" s="30"/>
      <c r="E29" s="30"/>
      <c r="F29" s="31"/>
      <c r="G29" s="30"/>
      <c r="H29" s="30"/>
      <c r="I29" s="31"/>
      <c r="J29" s="56"/>
      <c r="K29" s="55"/>
      <c r="L29" s="56"/>
      <c r="M29" s="56"/>
      <c r="N29" s="56"/>
      <c r="O29" s="56"/>
      <c r="P29" s="55"/>
      <c r="Q29" s="56">
        <f>S29+R29</f>
        <v>28714.493999999999</v>
      </c>
      <c r="R29" s="56">
        <f>28427.349</f>
        <v>28427.348999999998</v>
      </c>
      <c r="S29" s="56">
        <f>287.145</f>
        <v>287.14499999999998</v>
      </c>
      <c r="T29" s="56"/>
      <c r="U29" s="55"/>
      <c r="V29" s="56">
        <f>X29</f>
        <v>80000</v>
      </c>
      <c r="W29" s="56"/>
      <c r="X29" s="56">
        <v>80000</v>
      </c>
      <c r="Y29" s="77"/>
      <c r="Z29" s="77"/>
    </row>
    <row r="30" spans="1:34" s="4" customFormat="1" ht="103.5" customHeight="1" x14ac:dyDescent="0.2">
      <c r="B30" s="8" t="s">
        <v>15</v>
      </c>
      <c r="C30" s="32" t="s">
        <v>114</v>
      </c>
      <c r="D30" s="56"/>
      <c r="E30" s="56"/>
      <c r="F30" s="55"/>
      <c r="G30" s="56"/>
      <c r="H30" s="56"/>
      <c r="I30" s="55"/>
      <c r="J30" s="56"/>
      <c r="K30" s="56"/>
      <c r="L30" s="56">
        <f>N30</f>
        <v>6486.549</v>
      </c>
      <c r="M30" s="56"/>
      <c r="N30" s="56">
        <f>5000+1486.549</f>
        <v>6486.549</v>
      </c>
      <c r="O30" s="56"/>
      <c r="P30" s="56"/>
      <c r="Q30" s="56">
        <f>R30+S30</f>
        <v>90000</v>
      </c>
      <c r="R30" s="56"/>
      <c r="S30" s="56">
        <v>90000</v>
      </c>
      <c r="T30" s="56">
        <v>3.6829999999999998</v>
      </c>
      <c r="U30" s="56"/>
      <c r="V30" s="56">
        <f>W30+X30</f>
        <v>145781.45199999999</v>
      </c>
      <c r="W30" s="56">
        <v>144323.63699999999</v>
      </c>
      <c r="X30" s="56">
        <v>1457.8150000000001</v>
      </c>
      <c r="Y30" s="77"/>
      <c r="Z30" s="77"/>
    </row>
    <row r="31" spans="1:34" s="4" customFormat="1" ht="123" customHeight="1" x14ac:dyDescent="0.2">
      <c r="B31" s="8" t="s">
        <v>16</v>
      </c>
      <c r="C31" s="32" t="s">
        <v>115</v>
      </c>
      <c r="D31" s="56"/>
      <c r="E31" s="56"/>
      <c r="F31" s="55"/>
      <c r="G31" s="56"/>
      <c r="H31" s="56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>
        <v>0.71699999999999997</v>
      </c>
      <c r="U31" s="56"/>
      <c r="V31" s="56">
        <f>W31+X31</f>
        <v>37066.718999999997</v>
      </c>
      <c r="W31" s="56"/>
      <c r="X31" s="56">
        <f>37066.719</f>
        <v>37066.718999999997</v>
      </c>
      <c r="Y31" s="56"/>
      <c r="Z31" s="56"/>
    </row>
    <row r="32" spans="1:34" s="4" customFormat="1" ht="111" customHeight="1" x14ac:dyDescent="0.2">
      <c r="B32" s="8" t="s">
        <v>17</v>
      </c>
      <c r="C32" s="32" t="s">
        <v>84</v>
      </c>
      <c r="D32" s="56"/>
      <c r="E32" s="56"/>
      <c r="F32" s="55"/>
      <c r="G32" s="56"/>
      <c r="H32" s="56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>
        <v>4</v>
      </c>
      <c r="U32" s="56"/>
      <c r="V32" s="56">
        <f>W32+X32</f>
        <v>245731.20000000001</v>
      </c>
      <c r="W32" s="56">
        <v>243273.88800000001</v>
      </c>
      <c r="X32" s="56">
        <v>2457.3119999999999</v>
      </c>
      <c r="Y32" s="77"/>
      <c r="Z32" s="77"/>
    </row>
    <row r="33" spans="2:28" s="4" customFormat="1" ht="88.15" customHeight="1" x14ac:dyDescent="0.2">
      <c r="B33" s="8" t="s">
        <v>64</v>
      </c>
      <c r="C33" s="33" t="s">
        <v>52</v>
      </c>
      <c r="D33" s="56"/>
      <c r="E33" s="56"/>
      <c r="F33" s="55"/>
      <c r="G33" s="56"/>
      <c r="H33" s="56"/>
      <c r="I33" s="55"/>
      <c r="J33" s="55"/>
      <c r="K33" s="55"/>
      <c r="L33" s="56">
        <f>N33+M33</f>
        <v>100</v>
      </c>
      <c r="M33" s="56"/>
      <c r="N33" s="56">
        <f>100</f>
        <v>100</v>
      </c>
      <c r="O33" s="55"/>
      <c r="P33" s="55"/>
      <c r="Q33" s="56">
        <f>R33+S33</f>
        <v>2953.9920000000002</v>
      </c>
      <c r="R33" s="56"/>
      <c r="S33" s="56">
        <v>2953.9920000000002</v>
      </c>
      <c r="T33" s="55"/>
      <c r="U33" s="55"/>
      <c r="V33" s="56">
        <f>W33+X33</f>
        <v>238462.62900000002</v>
      </c>
      <c r="W33" s="56"/>
      <c r="X33" s="56">
        <f>485306.467-63689.669-150000-30000-3154.169</f>
        <v>238462.62900000002</v>
      </c>
      <c r="Y33" s="77"/>
      <c r="Z33" s="77"/>
    </row>
    <row r="34" spans="2:28" s="4" customFormat="1" ht="86.45" customHeight="1" x14ac:dyDescent="0.2">
      <c r="B34" s="8" t="s">
        <v>18</v>
      </c>
      <c r="C34" s="33" t="s">
        <v>53</v>
      </c>
      <c r="D34" s="56"/>
      <c r="E34" s="56"/>
      <c r="F34" s="55"/>
      <c r="G34" s="56"/>
      <c r="H34" s="56"/>
      <c r="I34" s="55"/>
      <c r="J34" s="56">
        <v>7.41</v>
      </c>
      <c r="K34" s="56"/>
      <c r="L34" s="56">
        <f>N34</f>
        <v>253380.56600000002</v>
      </c>
      <c r="M34" s="56"/>
      <c r="N34" s="56">
        <f>243696.415+9684.151</f>
        <v>253380.56600000002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7"/>
      <c r="Z34" s="77"/>
    </row>
    <row r="35" spans="2:28" s="4" customFormat="1" ht="109.5" customHeight="1" x14ac:dyDescent="0.2">
      <c r="B35" s="8" t="s">
        <v>19</v>
      </c>
      <c r="C35" s="29" t="s">
        <v>105</v>
      </c>
      <c r="D35" s="56"/>
      <c r="E35" s="56"/>
      <c r="F35" s="55"/>
      <c r="G35" s="56"/>
      <c r="H35" s="56"/>
      <c r="I35" s="55"/>
      <c r="J35" s="56"/>
      <c r="K35" s="56"/>
      <c r="L35" s="56">
        <f>N35+M35</f>
        <v>5000</v>
      </c>
      <c r="M35" s="56"/>
      <c r="N35" s="56">
        <f>5000</f>
        <v>5000</v>
      </c>
      <c r="O35" s="56"/>
      <c r="P35" s="56"/>
      <c r="Q35" s="56">
        <f>S35+R35</f>
        <v>28826.753000000001</v>
      </c>
      <c r="R35" s="56">
        <f>28538.485</f>
        <v>28538.485000000001</v>
      </c>
      <c r="S35" s="56">
        <f>288.268</f>
        <v>288.26799999999997</v>
      </c>
      <c r="T35" s="56">
        <v>2.7839999999999998</v>
      </c>
      <c r="U35" s="56"/>
      <c r="V35" s="56">
        <f>X35+W35</f>
        <v>131415.98699999999</v>
      </c>
      <c r="W35" s="56">
        <f>130101.827</f>
        <v>130101.827</v>
      </c>
      <c r="X35" s="56">
        <f>1314.16</f>
        <v>1314.16</v>
      </c>
      <c r="Y35" s="77"/>
      <c r="Z35" s="77"/>
      <c r="AB35" s="36"/>
    </row>
    <row r="36" spans="2:28" s="4" customFormat="1" ht="106.15" customHeight="1" x14ac:dyDescent="0.2">
      <c r="B36" s="8" t="s">
        <v>20</v>
      </c>
      <c r="C36" s="29" t="s">
        <v>85</v>
      </c>
      <c r="D36" s="56"/>
      <c r="E36" s="56"/>
      <c r="F36" s="55"/>
      <c r="G36" s="56"/>
      <c r="H36" s="56"/>
      <c r="I36" s="55"/>
      <c r="J36" s="56"/>
      <c r="K36" s="56"/>
      <c r="L36" s="56"/>
      <c r="M36" s="56"/>
      <c r="N36" s="56"/>
      <c r="O36" s="56"/>
      <c r="P36" s="56"/>
      <c r="Q36" s="56">
        <f>R36+S36</f>
        <v>3652.6817099999998</v>
      </c>
      <c r="R36" s="56"/>
      <c r="S36" s="56">
        <f>2334.56171+23.582+1294.538</f>
        <v>3652.6817099999998</v>
      </c>
      <c r="T36" s="56"/>
      <c r="U36" s="56"/>
      <c r="V36" s="56">
        <f>X36+W36</f>
        <v>45120.489000000001</v>
      </c>
      <c r="W36" s="56"/>
      <c r="X36" s="56">
        <f>44578.742-4365.769+54907.516-50000</f>
        <v>45120.489000000001</v>
      </c>
      <c r="Y36" s="77"/>
      <c r="Z36" s="77"/>
      <c r="AB36" s="36"/>
    </row>
    <row r="37" spans="2:28" s="4" customFormat="1" ht="126.75" customHeight="1" x14ac:dyDescent="0.2">
      <c r="B37" s="8" t="s">
        <v>27</v>
      </c>
      <c r="C37" s="29" t="s">
        <v>119</v>
      </c>
      <c r="D37" s="56"/>
      <c r="E37" s="56"/>
      <c r="F37" s="55"/>
      <c r="G37" s="56"/>
      <c r="H37" s="56"/>
      <c r="I37" s="55"/>
      <c r="J37" s="56"/>
      <c r="K37" s="56"/>
      <c r="L37" s="56">
        <f>N37</f>
        <v>6052.6859999999997</v>
      </c>
      <c r="M37" s="56"/>
      <c r="N37" s="56">
        <f>4568.843+1483.843</f>
        <v>6052.6859999999997</v>
      </c>
      <c r="O37" s="56"/>
      <c r="P37" s="56"/>
      <c r="Q37" s="56">
        <f>S37+R37</f>
        <v>18137.969000000001</v>
      </c>
      <c r="R37" s="56">
        <v>17956.589</v>
      </c>
      <c r="S37" s="56">
        <v>181.38</v>
      </c>
      <c r="T37" s="56">
        <v>5.4720000000000004</v>
      </c>
      <c r="U37" s="56"/>
      <c r="V37" s="56">
        <f>X37+W37</f>
        <v>248170.182</v>
      </c>
      <c r="W37" s="56">
        <f>245688.48</f>
        <v>245688.48</v>
      </c>
      <c r="X37" s="56">
        <f>2481.702</f>
        <v>2481.7020000000002</v>
      </c>
      <c r="Y37" s="77"/>
      <c r="Z37" s="77"/>
      <c r="AB37" s="36"/>
    </row>
    <row r="38" spans="2:28" s="4" customFormat="1" ht="124.15" customHeight="1" x14ac:dyDescent="0.2">
      <c r="B38" s="8" t="s">
        <v>21</v>
      </c>
      <c r="C38" s="29" t="s">
        <v>108</v>
      </c>
      <c r="D38" s="56"/>
      <c r="E38" s="56"/>
      <c r="F38" s="55"/>
      <c r="G38" s="56"/>
      <c r="H38" s="56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>
        <f>X38+W38</f>
        <v>0</v>
      </c>
      <c r="W38" s="56"/>
      <c r="X38" s="56">
        <v>0</v>
      </c>
      <c r="Y38" s="77"/>
      <c r="Z38" s="77"/>
    </row>
    <row r="39" spans="2:28" s="4" customFormat="1" ht="124.5" customHeight="1" x14ac:dyDescent="0.2">
      <c r="B39" s="8" t="s">
        <v>22</v>
      </c>
      <c r="C39" s="29" t="s">
        <v>62</v>
      </c>
      <c r="D39" s="30"/>
      <c r="E39" s="30"/>
      <c r="F39" s="31"/>
      <c r="G39" s="30"/>
      <c r="H39" s="30"/>
      <c r="I39" s="31"/>
      <c r="J39" s="56"/>
      <c r="K39" s="56"/>
      <c r="L39" s="56">
        <f>N39+M39</f>
        <v>5458.2330000000002</v>
      </c>
      <c r="M39" s="56">
        <f>5376.845+26.805</f>
        <v>5403.6500000000005</v>
      </c>
      <c r="N39" s="56">
        <v>54.582999999999998</v>
      </c>
      <c r="O39" s="56">
        <v>5.0220000000000002</v>
      </c>
      <c r="P39" s="56"/>
      <c r="Q39" s="56">
        <f>R39+S39</f>
        <v>332205.60800000001</v>
      </c>
      <c r="R39" s="56">
        <v>328883.55200000003</v>
      </c>
      <c r="S39" s="56">
        <v>3322.056</v>
      </c>
      <c r="T39" s="56"/>
      <c r="U39" s="56"/>
      <c r="V39" s="56"/>
      <c r="W39" s="56"/>
      <c r="X39" s="56"/>
      <c r="Y39" s="77"/>
      <c r="Z39" s="77"/>
    </row>
    <row r="40" spans="2:28" s="4" customFormat="1" ht="124.9" customHeight="1" x14ac:dyDescent="0.2">
      <c r="B40" s="50" t="s">
        <v>23</v>
      </c>
      <c r="C40" s="34" t="s">
        <v>109</v>
      </c>
      <c r="D40" s="7"/>
      <c r="E40" s="7"/>
      <c r="F40" s="3"/>
      <c r="G40" s="7"/>
      <c r="H40" s="7"/>
      <c r="I40" s="3"/>
      <c r="J40" s="7"/>
      <c r="K40" s="7"/>
      <c r="L40" s="7">
        <f>N40+M40</f>
        <v>96739.91</v>
      </c>
      <c r="M40" s="7">
        <f>93559.158+2213.353</f>
        <v>95772.510999999999</v>
      </c>
      <c r="N40" s="7">
        <f>967.399</f>
        <v>967.399</v>
      </c>
      <c r="O40" s="7">
        <v>3.9289999999999998</v>
      </c>
      <c r="P40" s="7"/>
      <c r="Q40" s="7">
        <f>R40+S40</f>
        <v>155825.87900000002</v>
      </c>
      <c r="R40" s="7">
        <v>154267.62100000001</v>
      </c>
      <c r="S40" s="7">
        <v>1558.258</v>
      </c>
      <c r="T40" s="7"/>
      <c r="U40" s="7"/>
      <c r="V40" s="7"/>
      <c r="W40" s="7"/>
      <c r="X40" s="7"/>
      <c r="Y40" s="77"/>
      <c r="Z40" s="77"/>
    </row>
    <row r="41" spans="2:28" s="4" customFormat="1" ht="123" customHeight="1" x14ac:dyDescent="0.2">
      <c r="B41" s="50" t="s">
        <v>38</v>
      </c>
      <c r="C41" s="34" t="s">
        <v>120</v>
      </c>
      <c r="D41" s="7"/>
      <c r="E41" s="7"/>
      <c r="F41" s="3"/>
      <c r="G41" s="7"/>
      <c r="H41" s="7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2.6720000000000002</v>
      </c>
      <c r="U41" s="7"/>
      <c r="V41" s="7">
        <f>W41+X41</f>
        <v>253102.41999999998</v>
      </c>
      <c r="W41" s="7">
        <v>250571.39799999999</v>
      </c>
      <c r="X41" s="7">
        <v>2531.0219999999999</v>
      </c>
      <c r="Y41" s="77"/>
      <c r="Z41" s="77"/>
    </row>
    <row r="42" spans="2:28" s="4" customFormat="1" ht="106.15" customHeight="1" x14ac:dyDescent="0.2">
      <c r="B42" s="8" t="s">
        <v>39</v>
      </c>
      <c r="C42" s="32" t="s">
        <v>110</v>
      </c>
      <c r="D42" s="56"/>
      <c r="E42" s="56"/>
      <c r="F42" s="55"/>
      <c r="G42" s="56"/>
      <c r="H42" s="56"/>
      <c r="I42" s="55"/>
      <c r="J42" s="56">
        <v>9.7360000000000007</v>
      </c>
      <c r="K42" s="56"/>
      <c r="L42" s="56">
        <f>M42+N42</f>
        <v>166571.041</v>
      </c>
      <c r="M42" s="56">
        <v>164905.32999999999</v>
      </c>
      <c r="N42" s="56">
        <v>1665.711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77"/>
      <c r="Z42" s="77"/>
    </row>
    <row r="43" spans="2:28" s="4" customFormat="1" ht="106.5" customHeight="1" x14ac:dyDescent="0.2">
      <c r="B43" s="8" t="s">
        <v>43</v>
      </c>
      <c r="C43" s="32" t="s">
        <v>121</v>
      </c>
      <c r="D43" s="56"/>
      <c r="E43" s="56"/>
      <c r="F43" s="55"/>
      <c r="G43" s="56"/>
      <c r="H43" s="56"/>
      <c r="I43" s="55"/>
      <c r="J43" s="56"/>
      <c r="K43" s="56"/>
      <c r="L43" s="56"/>
      <c r="M43" s="56"/>
      <c r="N43" s="56"/>
      <c r="O43" s="56"/>
      <c r="P43" s="56"/>
      <c r="Q43" s="56">
        <v>100000</v>
      </c>
      <c r="R43" s="56"/>
      <c r="S43" s="56">
        <v>100000</v>
      </c>
      <c r="T43" s="56"/>
      <c r="U43" s="56"/>
      <c r="V43" s="56">
        <v>53726.745000000003</v>
      </c>
      <c r="W43" s="56"/>
      <c r="X43" s="56">
        <v>53726.745000000003</v>
      </c>
      <c r="Y43" s="77"/>
      <c r="Z43" s="77"/>
    </row>
    <row r="44" spans="2:28" s="4" customFormat="1" ht="107.25" customHeight="1" x14ac:dyDescent="0.2">
      <c r="B44" s="8" t="s">
        <v>65</v>
      </c>
      <c r="C44" s="32" t="s">
        <v>122</v>
      </c>
      <c r="D44" s="56"/>
      <c r="E44" s="56"/>
      <c r="F44" s="55"/>
      <c r="G44" s="56"/>
      <c r="H44" s="56"/>
      <c r="I44" s="5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>
        <f>W44+X44</f>
        <v>30000</v>
      </c>
      <c r="W44" s="56"/>
      <c r="X44" s="56">
        <v>30000</v>
      </c>
      <c r="Y44" s="77"/>
      <c r="Z44" s="77"/>
    </row>
    <row r="45" spans="2:28" s="4" customFormat="1" ht="121.5" customHeight="1" x14ac:dyDescent="0.2">
      <c r="B45" s="8" t="s">
        <v>49</v>
      </c>
      <c r="C45" s="29" t="s">
        <v>103</v>
      </c>
      <c r="D45" s="30"/>
      <c r="E45" s="30"/>
      <c r="F45" s="31"/>
      <c r="G45" s="30"/>
      <c r="H45" s="30"/>
      <c r="I45" s="31"/>
      <c r="J45" s="56">
        <v>7.8650000000000002</v>
      </c>
      <c r="K45" s="56"/>
      <c r="L45" s="56">
        <f>M45+N45</f>
        <v>261754.40000000002</v>
      </c>
      <c r="M45" s="56"/>
      <c r="N45" s="56">
        <f>304988.944-43234.544</f>
        <v>261754.40000000002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77"/>
      <c r="Z45" s="77"/>
    </row>
    <row r="46" spans="2:28" s="4" customFormat="1" ht="125.25" customHeight="1" x14ac:dyDescent="0.2">
      <c r="B46" s="8" t="s">
        <v>50</v>
      </c>
      <c r="C46" s="12" t="s">
        <v>86</v>
      </c>
      <c r="D46" s="30"/>
      <c r="E46" s="30"/>
      <c r="F46" s="31"/>
      <c r="G46" s="30"/>
      <c r="H46" s="30"/>
      <c r="I46" s="31"/>
      <c r="J46" s="56"/>
      <c r="K46" s="56"/>
      <c r="L46" s="56"/>
      <c r="M46" s="56"/>
      <c r="N46" s="56"/>
      <c r="O46" s="56"/>
      <c r="P46" s="56"/>
      <c r="Q46" s="56">
        <f>R46+S46</f>
        <v>705.31599999999889</v>
      </c>
      <c r="R46" s="56"/>
      <c r="S46" s="56">
        <f>25705.316-25000</f>
        <v>705.31599999999889</v>
      </c>
      <c r="T46" s="56"/>
      <c r="U46" s="56"/>
      <c r="V46" s="56">
        <f>W46+X46</f>
        <v>50000</v>
      </c>
      <c r="W46" s="56">
        <f>49500</f>
        <v>49500</v>
      </c>
      <c r="X46" s="56">
        <f>500</f>
        <v>500</v>
      </c>
      <c r="Y46" s="77"/>
      <c r="Z46" s="77"/>
    </row>
    <row r="47" spans="2:28" s="4" customFormat="1" ht="124.5" customHeight="1" x14ac:dyDescent="0.2">
      <c r="B47" s="8" t="s">
        <v>51</v>
      </c>
      <c r="C47" s="12" t="s">
        <v>87</v>
      </c>
      <c r="D47" s="30"/>
      <c r="E47" s="30"/>
      <c r="F47" s="31"/>
      <c r="G47" s="30"/>
      <c r="H47" s="30"/>
      <c r="I47" s="31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>
        <f>W47+X47</f>
        <v>50000</v>
      </c>
      <c r="W47" s="56">
        <f>49500</f>
        <v>49500</v>
      </c>
      <c r="X47" s="56">
        <f>500</f>
        <v>500</v>
      </c>
      <c r="Y47" s="56"/>
      <c r="Z47" s="56"/>
    </row>
    <row r="48" spans="2:28" s="4" customFormat="1" ht="100.5" customHeight="1" x14ac:dyDescent="0.2">
      <c r="B48" s="8" t="s">
        <v>72</v>
      </c>
      <c r="C48" s="12" t="s">
        <v>66</v>
      </c>
      <c r="D48" s="30"/>
      <c r="E48" s="30"/>
      <c r="F48" s="31"/>
      <c r="G48" s="30"/>
      <c r="H48" s="30"/>
      <c r="I48" s="31"/>
      <c r="J48" s="56">
        <v>6.1929999999999996</v>
      </c>
      <c r="K48" s="56"/>
      <c r="L48" s="56">
        <f>M48+N48</f>
        <v>135166.72500000001</v>
      </c>
      <c r="M48" s="56"/>
      <c r="N48" s="56">
        <v>135166.72500000001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77"/>
      <c r="Z48" s="77"/>
    </row>
    <row r="49" spans="2:30" s="4" customFormat="1" ht="86.45" customHeight="1" x14ac:dyDescent="0.2">
      <c r="B49" s="8" t="s">
        <v>73</v>
      </c>
      <c r="C49" s="29" t="s">
        <v>54</v>
      </c>
      <c r="D49" s="30"/>
      <c r="E49" s="30"/>
      <c r="F49" s="31"/>
      <c r="G49" s="30"/>
      <c r="H49" s="30"/>
      <c r="I49" s="31"/>
      <c r="J49" s="56"/>
      <c r="K49" s="56"/>
      <c r="L49" s="56">
        <f>M49+N49</f>
        <v>30000</v>
      </c>
      <c r="M49" s="56"/>
      <c r="N49" s="56">
        <v>30000</v>
      </c>
      <c r="O49" s="56">
        <v>10.441000000000001</v>
      </c>
      <c r="P49" s="56"/>
      <c r="Q49" s="56">
        <f>R49+S49</f>
        <v>416800.15299999999</v>
      </c>
      <c r="R49" s="56"/>
      <c r="S49" s="56">
        <v>416800.15299999999</v>
      </c>
      <c r="T49" s="56"/>
      <c r="U49" s="56"/>
      <c r="V49" s="56"/>
      <c r="W49" s="56"/>
      <c r="X49" s="56"/>
      <c r="Y49" s="56"/>
      <c r="Z49" s="56"/>
    </row>
    <row r="50" spans="2:30" s="4" customFormat="1" ht="87" customHeight="1" x14ac:dyDescent="0.2">
      <c r="B50" s="8" t="s">
        <v>99</v>
      </c>
      <c r="C50" s="12" t="s">
        <v>88</v>
      </c>
      <c r="D50" s="30"/>
      <c r="E50" s="30"/>
      <c r="F50" s="31"/>
      <c r="G50" s="30"/>
      <c r="H50" s="30"/>
      <c r="I50" s="31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>
        <f>W50+X50</f>
        <v>41155.476000000002</v>
      </c>
      <c r="W50" s="56">
        <f>40743.921</f>
        <v>40743.921000000002</v>
      </c>
      <c r="X50" s="56">
        <v>411.55500000000001</v>
      </c>
      <c r="Y50" s="77"/>
      <c r="Z50" s="77"/>
    </row>
    <row r="51" spans="2:30" s="4" customFormat="1" ht="107.45" customHeight="1" x14ac:dyDescent="0.2">
      <c r="B51" s="8" t="s">
        <v>78</v>
      </c>
      <c r="C51" s="12" t="s">
        <v>123</v>
      </c>
      <c r="D51" s="30"/>
      <c r="E51" s="30"/>
      <c r="F51" s="31"/>
      <c r="G51" s="30"/>
      <c r="H51" s="30"/>
      <c r="I51" s="31"/>
      <c r="J51" s="56"/>
      <c r="K51" s="56"/>
      <c r="L51" s="56"/>
      <c r="M51" s="56"/>
      <c r="N51" s="56"/>
      <c r="O51" s="56"/>
      <c r="P51" s="56"/>
      <c r="Q51" s="56">
        <f>R51+S51</f>
        <v>27106.116000000002</v>
      </c>
      <c r="R51" s="56"/>
      <c r="S51" s="56">
        <f>5819.263+7.033+21279.82</f>
        <v>27106.116000000002</v>
      </c>
      <c r="T51" s="56"/>
      <c r="U51" s="56"/>
      <c r="V51" s="56">
        <f>W51+X51</f>
        <v>75942.368000000002</v>
      </c>
      <c r="W51" s="56"/>
      <c r="X51" s="56">
        <f>75942.368</f>
        <v>75942.368000000002</v>
      </c>
      <c r="Y51" s="77"/>
      <c r="Z51" s="77"/>
    </row>
    <row r="52" spans="2:30" s="4" customFormat="1" ht="121.5" customHeight="1" x14ac:dyDescent="0.2">
      <c r="B52" s="8" t="s">
        <v>89</v>
      </c>
      <c r="C52" s="12" t="s">
        <v>58</v>
      </c>
      <c r="D52" s="30"/>
      <c r="E52" s="30"/>
      <c r="F52" s="31"/>
      <c r="G52" s="30"/>
      <c r="H52" s="30"/>
      <c r="I52" s="31"/>
      <c r="J52" s="56"/>
      <c r="K52" s="56"/>
      <c r="L52" s="56"/>
      <c r="M52" s="56"/>
      <c r="N52" s="56"/>
      <c r="O52" s="56"/>
      <c r="P52" s="56"/>
      <c r="Q52" s="56">
        <f>R52+S52</f>
        <v>4848.6239999999998</v>
      </c>
      <c r="R52" s="56">
        <v>4800.1369999999997</v>
      </c>
      <c r="S52" s="56">
        <v>48.487000000000002</v>
      </c>
      <c r="T52" s="56"/>
      <c r="U52" s="56"/>
      <c r="V52" s="56">
        <f>W52+X52</f>
        <v>50000</v>
      </c>
      <c r="W52" s="56">
        <v>49500</v>
      </c>
      <c r="X52" s="56">
        <v>500</v>
      </c>
      <c r="Y52" s="77"/>
      <c r="Z52" s="77"/>
    </row>
    <row r="53" spans="2:30" s="53" customFormat="1" ht="35.25" customHeight="1" x14ac:dyDescent="0.2">
      <c r="C53" s="25" t="s">
        <v>68</v>
      </c>
      <c r="D53" s="31"/>
      <c r="E53" s="31"/>
      <c r="F53" s="31"/>
      <c r="G53" s="31"/>
      <c r="H53" s="31"/>
      <c r="I53" s="31"/>
      <c r="J53" s="55">
        <f>SUM(J54:J57)</f>
        <v>0</v>
      </c>
      <c r="K53" s="55">
        <f t="shared" ref="K53:X53" si="3">SUM(K54:K57)</f>
        <v>48.53</v>
      </c>
      <c r="L53" s="55">
        <f t="shared" si="3"/>
        <v>22530.417999999998</v>
      </c>
      <c r="M53" s="55">
        <f t="shared" si="3"/>
        <v>22305.114999999998</v>
      </c>
      <c r="N53" s="55">
        <f t="shared" si="3"/>
        <v>225.303</v>
      </c>
      <c r="O53" s="55">
        <f t="shared" si="3"/>
        <v>0</v>
      </c>
      <c r="P53" s="55">
        <f t="shared" si="3"/>
        <v>48.81</v>
      </c>
      <c r="Q53" s="55">
        <f t="shared" si="3"/>
        <v>80399.707000000009</v>
      </c>
      <c r="R53" s="55">
        <f t="shared" si="3"/>
        <v>79595.710000000006</v>
      </c>
      <c r="S53" s="55">
        <f t="shared" si="3"/>
        <v>803.99699999999996</v>
      </c>
      <c r="T53" s="55">
        <f t="shared" si="3"/>
        <v>0</v>
      </c>
      <c r="U53" s="55">
        <f t="shared" si="3"/>
        <v>0</v>
      </c>
      <c r="V53" s="55">
        <f t="shared" si="3"/>
        <v>0</v>
      </c>
      <c r="W53" s="55">
        <f t="shared" si="3"/>
        <v>0</v>
      </c>
      <c r="X53" s="55">
        <f t="shared" si="3"/>
        <v>0</v>
      </c>
      <c r="Y53" s="56"/>
      <c r="Z53" s="56"/>
    </row>
    <row r="54" spans="2:30" s="4" customFormat="1" ht="105" customHeight="1" x14ac:dyDescent="0.2">
      <c r="B54" s="50" t="s">
        <v>79</v>
      </c>
      <c r="C54" s="32" t="s">
        <v>116</v>
      </c>
      <c r="D54" s="7"/>
      <c r="E54" s="7"/>
      <c r="F54" s="3"/>
      <c r="G54" s="7"/>
      <c r="H54" s="7"/>
      <c r="I54" s="3"/>
      <c r="J54" s="7"/>
      <c r="K54" s="7"/>
      <c r="L54" s="7">
        <f>N54+M54</f>
        <v>2780.5499999999997</v>
      </c>
      <c r="M54" s="7">
        <v>2752.7449999999999</v>
      </c>
      <c r="N54" s="7">
        <v>27.805</v>
      </c>
      <c r="O54" s="7"/>
      <c r="P54" s="7">
        <v>48.81</v>
      </c>
      <c r="Q54" s="7">
        <f>S54+R54</f>
        <v>80399.707000000009</v>
      </c>
      <c r="R54" s="7">
        <v>79595.710000000006</v>
      </c>
      <c r="S54" s="7">
        <v>803.99699999999996</v>
      </c>
      <c r="T54" s="56"/>
      <c r="U54" s="56"/>
      <c r="V54" s="56"/>
      <c r="W54" s="56"/>
      <c r="X54" s="56"/>
      <c r="Y54" s="77"/>
      <c r="Z54" s="77"/>
    </row>
    <row r="55" spans="2:30" s="4" customFormat="1" ht="103.5" customHeight="1" x14ac:dyDescent="0.2">
      <c r="B55" s="50" t="s">
        <v>90</v>
      </c>
      <c r="C55" s="32" t="s">
        <v>100</v>
      </c>
      <c r="D55" s="7"/>
      <c r="E55" s="7"/>
      <c r="F55" s="3"/>
      <c r="G55" s="7"/>
      <c r="H55" s="7"/>
      <c r="I55" s="3"/>
      <c r="J55" s="7"/>
      <c r="K55" s="7">
        <v>16.78</v>
      </c>
      <c r="L55" s="7">
        <f>N55+M55</f>
        <v>6403.1949999999997</v>
      </c>
      <c r="M55" s="7">
        <v>6339.1629999999996</v>
      </c>
      <c r="N55" s="7">
        <f>64.032</f>
        <v>64.031999999999996</v>
      </c>
      <c r="O55" s="7"/>
      <c r="P55" s="7"/>
      <c r="Q55" s="7"/>
      <c r="R55" s="7"/>
      <c r="S55" s="7"/>
      <c r="T55" s="56"/>
      <c r="U55" s="56"/>
      <c r="V55" s="56"/>
      <c r="W55" s="56"/>
      <c r="X55" s="56"/>
      <c r="Y55" s="77"/>
      <c r="Z55" s="77"/>
    </row>
    <row r="56" spans="2:30" s="4" customFormat="1" ht="107.25" customHeight="1" x14ac:dyDescent="0.2">
      <c r="B56" s="50" t="s">
        <v>80</v>
      </c>
      <c r="C56" s="32" t="s">
        <v>101</v>
      </c>
      <c r="D56" s="7"/>
      <c r="E56" s="7"/>
      <c r="F56" s="3"/>
      <c r="G56" s="7"/>
      <c r="H56" s="7"/>
      <c r="I56" s="3"/>
      <c r="J56" s="7"/>
      <c r="K56" s="7">
        <v>15.3</v>
      </c>
      <c r="L56" s="7">
        <f>N56+M56</f>
        <v>3358.6959999999999</v>
      </c>
      <c r="M56" s="7">
        <v>3325.1089999999999</v>
      </c>
      <c r="N56" s="7">
        <v>33.587000000000003</v>
      </c>
      <c r="O56" s="7"/>
      <c r="P56" s="7"/>
      <c r="Q56" s="7"/>
      <c r="R56" s="7"/>
      <c r="S56" s="7"/>
      <c r="T56" s="56"/>
      <c r="U56" s="56"/>
      <c r="V56" s="56"/>
      <c r="W56" s="56"/>
      <c r="X56" s="56"/>
      <c r="Y56" s="77"/>
      <c r="Z56" s="77"/>
    </row>
    <row r="57" spans="2:30" s="4" customFormat="1" ht="122.25" customHeight="1" x14ac:dyDescent="0.2">
      <c r="B57" s="50" t="s">
        <v>118</v>
      </c>
      <c r="C57" s="32" t="s">
        <v>102</v>
      </c>
      <c r="D57" s="7"/>
      <c r="E57" s="7"/>
      <c r="F57" s="3"/>
      <c r="G57" s="7"/>
      <c r="H57" s="7"/>
      <c r="I57" s="3"/>
      <c r="J57" s="7"/>
      <c r="K57" s="7">
        <v>16.45</v>
      </c>
      <c r="L57" s="7">
        <f>N57+M57</f>
        <v>9987.9770000000008</v>
      </c>
      <c r="M57" s="7">
        <v>9888.098</v>
      </c>
      <c r="N57" s="7">
        <v>99.879000000000005</v>
      </c>
      <c r="O57" s="7"/>
      <c r="P57" s="7"/>
      <c r="Q57" s="7"/>
      <c r="R57" s="7"/>
      <c r="S57" s="7"/>
      <c r="T57" s="56"/>
      <c r="U57" s="56"/>
      <c r="V57" s="56"/>
      <c r="W57" s="56"/>
      <c r="X57" s="56"/>
      <c r="Y57" s="77"/>
      <c r="Z57" s="77"/>
    </row>
    <row r="58" spans="2:30" ht="17.25" customHeight="1" x14ac:dyDescent="0.2">
      <c r="B58" s="8"/>
      <c r="C58" s="10" t="s">
        <v>31</v>
      </c>
      <c r="D58" s="55" t="e">
        <f>#REF!+#REF!+#REF!+#REF!+#REF!+#REF!+#REF!+#REF!+#REF!+#REF!+#REF!+#REF!+#REF!+#REF!+#REF!+#REF!+#REF!+#REF!+#REF!</f>
        <v>#REF!</v>
      </c>
      <c r="E58" s="55" t="e">
        <f>#REF!+#REF!+#REF!+#REF!+#REF!+#REF!+#REF!+#REF!+#REF!+#REF!+#REF!+#REF!+#REF!+#REF!+#REF!+#REF!+#REF!+#REF!+#REF!</f>
        <v>#REF!</v>
      </c>
      <c r="F58" s="55" t="e">
        <f>#REF!+#REF!+#REF!+#REF!+#REF!+#REF!+#REF!+#REF!+#REF!+#REF!+#REF!+#REF!+#REF!+#REF!+#REF!+#REF!+#REF!+#REF!+#REF!</f>
        <v>#REF!</v>
      </c>
      <c r="G58" s="55" t="e">
        <f>#REF!+#REF!+#REF!+#REF!+#REF!+#REF!+#REF!+#REF!+#REF!+#REF!+#REF!+#REF!+#REF!+#REF!+#REF!+#REF!+#REF!+#REF!+#REF!</f>
        <v>#REF!</v>
      </c>
      <c r="H58" s="55" t="e">
        <f>#REF!+#REF!+#REF!+#REF!+#REF!+#REF!+#REF!+#REF!+#REF!+#REF!+#REF!+#REF!+#REF!+#REF!+#REF!+#REF!+#REF!+#REF!+#REF!</f>
        <v>#REF!</v>
      </c>
      <c r="I58" s="55" t="e">
        <f>#REF!+#REF!+#REF!+#REF!+#REF!+#REF!+#REF!+#REF!+#REF!+#REF!+#REF!+#REF!+#REF!+#REF!+#REF!+#REF!+#REF!</f>
        <v>#REF!</v>
      </c>
      <c r="J58" s="55">
        <f>SUM(J59:J66)</f>
        <v>26.552999999999997</v>
      </c>
      <c r="K58" s="55">
        <f t="shared" ref="K58:X58" si="4">SUM(K59:K66)</f>
        <v>0</v>
      </c>
      <c r="L58" s="55">
        <f t="shared" si="4"/>
        <v>162681.715</v>
      </c>
      <c r="M58" s="55">
        <f t="shared" si="4"/>
        <v>97204.436000000002</v>
      </c>
      <c r="N58" s="55">
        <f t="shared" si="4"/>
        <v>65477.27900000001</v>
      </c>
      <c r="O58" s="55">
        <f t="shared" si="4"/>
        <v>5.3</v>
      </c>
      <c r="P58" s="55">
        <f t="shared" si="4"/>
        <v>0</v>
      </c>
      <c r="Q58" s="55">
        <f t="shared" si="4"/>
        <v>102857.644</v>
      </c>
      <c r="R58" s="55">
        <f t="shared" si="4"/>
        <v>80901.634000000005</v>
      </c>
      <c r="S58" s="55">
        <f t="shared" si="4"/>
        <v>21956.010000000002</v>
      </c>
      <c r="T58" s="55">
        <f t="shared" si="4"/>
        <v>11.698</v>
      </c>
      <c r="U58" s="55">
        <f t="shared" si="4"/>
        <v>0</v>
      </c>
      <c r="V58" s="55">
        <f t="shared" si="4"/>
        <v>252306.12700000001</v>
      </c>
      <c r="W58" s="55">
        <f t="shared" si="4"/>
        <v>157653.66500000001</v>
      </c>
      <c r="X58" s="55">
        <f t="shared" si="4"/>
        <v>94652.462</v>
      </c>
      <c r="Y58" s="56"/>
      <c r="Z58" s="30"/>
      <c r="AA58" s="1"/>
    </row>
    <row r="59" spans="2:30" ht="127.5" customHeight="1" x14ac:dyDescent="0.2">
      <c r="B59" s="8" t="s">
        <v>13</v>
      </c>
      <c r="C59" s="29" t="s">
        <v>60</v>
      </c>
      <c r="D59" s="55"/>
      <c r="E59" s="55"/>
      <c r="F59" s="55"/>
      <c r="G59" s="55"/>
      <c r="H59" s="55"/>
      <c r="I59" s="55"/>
      <c r="J59" s="56"/>
      <c r="K59" s="56"/>
      <c r="L59" s="56"/>
      <c r="M59" s="56"/>
      <c r="N59" s="56"/>
      <c r="O59" s="56"/>
      <c r="P59" s="56"/>
      <c r="Q59" s="56">
        <f>S59+R59</f>
        <v>3336.2489999999998</v>
      </c>
      <c r="R59" s="56">
        <v>3302.886</v>
      </c>
      <c r="S59" s="56">
        <v>33.363</v>
      </c>
      <c r="T59" s="56">
        <v>5.1920000000000002</v>
      </c>
      <c r="U59" s="56"/>
      <c r="V59" s="56">
        <f>X59+W59</f>
        <v>159246.12700000001</v>
      </c>
      <c r="W59" s="56">
        <v>157653.66500000001</v>
      </c>
      <c r="X59" s="56">
        <f>1592.462</f>
        <v>1592.462</v>
      </c>
      <c r="Y59" s="77"/>
      <c r="Z59" s="77"/>
      <c r="AA59" s="1"/>
    </row>
    <row r="60" spans="2:30" ht="88.5" customHeight="1" x14ac:dyDescent="0.2">
      <c r="B60" s="50" t="s">
        <v>14</v>
      </c>
      <c r="C60" s="54" t="s">
        <v>55</v>
      </c>
      <c r="D60" s="3"/>
      <c r="E60" s="3"/>
      <c r="F60" s="3"/>
      <c r="G60" s="3"/>
      <c r="H60" s="3"/>
      <c r="I60" s="3"/>
      <c r="J60" s="7">
        <v>9.1809999999999992</v>
      </c>
      <c r="K60" s="3"/>
      <c r="L60" s="7">
        <f>N60+M60</f>
        <v>34334</v>
      </c>
      <c r="M60" s="7"/>
      <c r="N60" s="7">
        <v>34334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7"/>
      <c r="Z60" s="77"/>
      <c r="AA60" s="1"/>
    </row>
    <row r="61" spans="2:30" ht="105.75" customHeight="1" x14ac:dyDescent="0.2">
      <c r="B61" s="8" t="s">
        <v>15</v>
      </c>
      <c r="C61" s="33" t="s">
        <v>59</v>
      </c>
      <c r="D61" s="55"/>
      <c r="E61" s="55"/>
      <c r="F61" s="55"/>
      <c r="G61" s="55"/>
      <c r="H61" s="55"/>
      <c r="I61" s="55"/>
      <c r="J61" s="56"/>
      <c r="K61" s="56"/>
      <c r="L61" s="56"/>
      <c r="M61" s="56"/>
      <c r="N61" s="56"/>
      <c r="O61" s="56"/>
      <c r="P61" s="56"/>
      <c r="Q61" s="56">
        <f>R61+S61</f>
        <v>78382.573000000004</v>
      </c>
      <c r="R61" s="56">
        <v>77598.748000000007</v>
      </c>
      <c r="S61" s="56">
        <v>783.82500000000005</v>
      </c>
      <c r="T61" s="56">
        <v>6.5060000000000002</v>
      </c>
      <c r="U61" s="56"/>
      <c r="V61" s="56">
        <f>W61+X61</f>
        <v>93060</v>
      </c>
      <c r="W61" s="56"/>
      <c r="X61" s="56">
        <f>93060</f>
        <v>93060</v>
      </c>
      <c r="Y61" s="77"/>
      <c r="Z61" s="77"/>
      <c r="AA61" s="1"/>
    </row>
    <row r="62" spans="2:30" ht="119.25" customHeight="1" x14ac:dyDescent="0.2">
      <c r="B62" s="50" t="s">
        <v>16</v>
      </c>
      <c r="C62" s="39" t="s">
        <v>111</v>
      </c>
      <c r="D62" s="3"/>
      <c r="E62" s="3"/>
      <c r="F62" s="3"/>
      <c r="G62" s="3"/>
      <c r="H62" s="3"/>
      <c r="I62" s="3"/>
      <c r="J62" s="7">
        <v>10</v>
      </c>
      <c r="K62" s="7"/>
      <c r="L62" s="7">
        <f>M62+N62</f>
        <v>51094.047000000006</v>
      </c>
      <c r="M62" s="7">
        <f>50583.107</f>
        <v>50583.107000000004</v>
      </c>
      <c r="N62" s="7">
        <v>510.94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7"/>
      <c r="Z62" s="77"/>
      <c r="AA62" s="1"/>
    </row>
    <row r="63" spans="2:30" ht="127.5" customHeight="1" x14ac:dyDescent="0.2">
      <c r="B63" s="50" t="s">
        <v>17</v>
      </c>
      <c r="C63" s="39" t="s">
        <v>91</v>
      </c>
      <c r="D63" s="3"/>
      <c r="E63" s="3"/>
      <c r="F63" s="3"/>
      <c r="G63" s="3"/>
      <c r="H63" s="3"/>
      <c r="I63" s="3"/>
      <c r="J63" s="7">
        <v>3.34</v>
      </c>
      <c r="K63" s="7"/>
      <c r="L63" s="7">
        <f>M63+N63</f>
        <v>19992.184999999998</v>
      </c>
      <c r="M63" s="7">
        <f>19792.264</f>
        <v>19792.263999999999</v>
      </c>
      <c r="N63" s="7">
        <v>199.92099999999999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7"/>
      <c r="Z63" s="77"/>
      <c r="AA63" s="1"/>
    </row>
    <row r="64" spans="2:30" ht="87" customHeight="1" x14ac:dyDescent="0.2">
      <c r="B64" s="50" t="s">
        <v>64</v>
      </c>
      <c r="C64" s="1" t="s">
        <v>92</v>
      </c>
      <c r="D64" s="3"/>
      <c r="E64" s="3"/>
      <c r="F64" s="3"/>
      <c r="G64" s="3"/>
      <c r="H64" s="3"/>
      <c r="I64" s="3"/>
      <c r="J64" s="7">
        <v>4.032</v>
      </c>
      <c r="K64" s="7"/>
      <c r="L64" s="7">
        <f>M64+N64</f>
        <v>57261.483</v>
      </c>
      <c r="M64" s="7">
        <f>26829.065</f>
        <v>26829.064999999999</v>
      </c>
      <c r="N64" s="7">
        <f>271.001+30161.417</f>
        <v>30432.418000000001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9"/>
      <c r="Z64" s="79"/>
      <c r="AA64" s="1"/>
      <c r="AD64" s="2"/>
    </row>
    <row r="65" spans="1:30" ht="95.45" hidden="1" customHeight="1" x14ac:dyDescent="0.2">
      <c r="B65" s="50" t="s">
        <v>18</v>
      </c>
      <c r="C65" s="1" t="s">
        <v>92</v>
      </c>
      <c r="D65" s="3"/>
      <c r="E65" s="3"/>
      <c r="F65" s="3"/>
      <c r="G65" s="3"/>
      <c r="H65" s="3"/>
      <c r="I65" s="3"/>
      <c r="J65" s="7"/>
      <c r="K65" s="7"/>
      <c r="L65" s="7">
        <v>0</v>
      </c>
      <c r="M65" s="7"/>
      <c r="N65" s="7">
        <v>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9"/>
      <c r="Z65" s="79"/>
      <c r="AA65" s="1"/>
      <c r="AD65" s="2"/>
    </row>
    <row r="66" spans="1:30" ht="122.25" customHeight="1" x14ac:dyDescent="0.2">
      <c r="B66" s="50" t="s">
        <v>18</v>
      </c>
      <c r="C66" s="12" t="s">
        <v>94</v>
      </c>
      <c r="D66" s="3"/>
      <c r="E66" s="3"/>
      <c r="F66" s="3"/>
      <c r="G66" s="3"/>
      <c r="H66" s="3"/>
      <c r="I66" s="3"/>
      <c r="J66" s="7"/>
      <c r="K66" s="7"/>
      <c r="L66" s="7"/>
      <c r="M66" s="7"/>
      <c r="N66" s="7"/>
      <c r="O66" s="7">
        <v>5.3</v>
      </c>
      <c r="P66" s="7"/>
      <c r="Q66" s="7">
        <f>R66+S66</f>
        <v>21138.822</v>
      </c>
      <c r="R66" s="7"/>
      <c r="S66" s="7">
        <v>21138.822</v>
      </c>
      <c r="T66" s="7"/>
      <c r="U66" s="7"/>
      <c r="V66" s="7"/>
      <c r="W66" s="7"/>
      <c r="X66" s="7"/>
      <c r="Y66" s="56"/>
      <c r="Z66" s="30"/>
      <c r="AA66" s="1"/>
    </row>
    <row r="67" spans="1:30" s="25" customFormat="1" ht="36.75" customHeight="1" x14ac:dyDescent="0.2">
      <c r="A67" s="53"/>
      <c r="B67" s="53"/>
      <c r="C67" s="35" t="s">
        <v>67</v>
      </c>
      <c r="D67" s="55"/>
      <c r="E67" s="55"/>
      <c r="F67" s="55"/>
      <c r="G67" s="55"/>
      <c r="H67" s="55"/>
      <c r="I67" s="55"/>
      <c r="J67" s="55">
        <f t="shared" ref="J67:X67" si="5">SUM(J68:J75)</f>
        <v>0</v>
      </c>
      <c r="K67" s="55">
        <f t="shared" si="5"/>
        <v>219.46</v>
      </c>
      <c r="L67" s="55">
        <f t="shared" si="5"/>
        <v>165773.057</v>
      </c>
      <c r="M67" s="55">
        <f t="shared" si="5"/>
        <v>152093.35799999998</v>
      </c>
      <c r="N67" s="55">
        <f t="shared" si="5"/>
        <v>13679.698999999999</v>
      </c>
      <c r="O67" s="55">
        <f t="shared" si="5"/>
        <v>0</v>
      </c>
      <c r="P67" s="55">
        <f t="shared" si="5"/>
        <v>476.4</v>
      </c>
      <c r="Q67" s="55">
        <f>SUM(Q68:Q75)</f>
        <v>377126.08329000004</v>
      </c>
      <c r="R67" s="55">
        <f>SUM(R68:R75)</f>
        <v>373354.82329000003</v>
      </c>
      <c r="S67" s="55">
        <f t="shared" si="5"/>
        <v>3771.2599999999998</v>
      </c>
      <c r="T67" s="55">
        <f t="shared" si="5"/>
        <v>0</v>
      </c>
      <c r="U67" s="55">
        <f t="shared" si="5"/>
        <v>173.04999999999998</v>
      </c>
      <c r="V67" s="55">
        <f t="shared" si="5"/>
        <v>245985.94400000002</v>
      </c>
      <c r="W67" s="55">
        <f t="shared" si="5"/>
        <v>243526.084</v>
      </c>
      <c r="X67" s="55">
        <f t="shared" si="5"/>
        <v>2459.8599999999997</v>
      </c>
      <c r="Y67" s="56"/>
      <c r="Z67" s="30"/>
    </row>
    <row r="68" spans="1:30" ht="87.6" customHeight="1" x14ac:dyDescent="0.2">
      <c r="B68" s="8" t="s">
        <v>19</v>
      </c>
      <c r="C68" s="29" t="s">
        <v>61</v>
      </c>
      <c r="D68" s="55"/>
      <c r="E68" s="55"/>
      <c r="F68" s="55"/>
      <c r="G68" s="55"/>
      <c r="H68" s="55"/>
      <c r="I68" s="55"/>
      <c r="J68" s="55"/>
      <c r="K68" s="56">
        <v>205.9</v>
      </c>
      <c r="L68" s="56">
        <f>N68+M68</f>
        <v>143753.1</v>
      </c>
      <c r="M68" s="56">
        <f>130293.601</f>
        <v>130293.601</v>
      </c>
      <c r="N68" s="56">
        <f>1316.097+12143.402</f>
        <v>13459.499</v>
      </c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79"/>
      <c r="Z68" s="79"/>
      <c r="AA68" s="1"/>
    </row>
    <row r="69" spans="1:30" ht="88.9" hidden="1" customHeight="1" x14ac:dyDescent="0.2">
      <c r="B69" s="8" t="s">
        <v>27</v>
      </c>
      <c r="C69" s="29" t="s">
        <v>61</v>
      </c>
      <c r="D69" s="55"/>
      <c r="E69" s="55"/>
      <c r="F69" s="55"/>
      <c r="G69" s="55"/>
      <c r="H69" s="55"/>
      <c r="I69" s="55"/>
      <c r="J69" s="55"/>
      <c r="K69" s="56"/>
      <c r="L69" s="56">
        <v>0</v>
      </c>
      <c r="M69" s="56"/>
      <c r="N69" s="56">
        <v>0</v>
      </c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79"/>
      <c r="Z69" s="79"/>
      <c r="AA69" s="1"/>
    </row>
    <row r="70" spans="1:30" ht="102.75" customHeight="1" x14ac:dyDescent="0.2">
      <c r="B70" s="8" t="s">
        <v>20</v>
      </c>
      <c r="C70" s="29" t="s">
        <v>95</v>
      </c>
      <c r="D70" s="55"/>
      <c r="E70" s="55"/>
      <c r="F70" s="55"/>
      <c r="G70" s="55"/>
      <c r="H70" s="55"/>
      <c r="I70" s="55"/>
      <c r="J70" s="55"/>
      <c r="K70" s="56"/>
      <c r="L70" s="56">
        <f>N70+M70</f>
        <v>10000</v>
      </c>
      <c r="M70" s="56">
        <v>9900</v>
      </c>
      <c r="N70" s="56">
        <v>100</v>
      </c>
      <c r="O70" s="56"/>
      <c r="P70" s="56">
        <v>388</v>
      </c>
      <c r="Q70" s="56">
        <f>S70+R70</f>
        <v>235608.06299999999</v>
      </c>
      <c r="R70" s="56">
        <v>233251.98300000001</v>
      </c>
      <c r="S70" s="56">
        <v>2356.08</v>
      </c>
      <c r="T70" s="56"/>
      <c r="U70" s="56"/>
      <c r="V70" s="56"/>
      <c r="W70" s="56"/>
      <c r="X70" s="56"/>
      <c r="Y70" s="77"/>
      <c r="Z70" s="77"/>
      <c r="AA70" s="1"/>
    </row>
    <row r="71" spans="1:30" ht="85.5" customHeight="1" x14ac:dyDescent="0.2">
      <c r="B71" s="8" t="s">
        <v>27</v>
      </c>
      <c r="C71" s="33" t="s">
        <v>69</v>
      </c>
      <c r="D71" s="55"/>
      <c r="E71" s="55"/>
      <c r="F71" s="55"/>
      <c r="G71" s="55"/>
      <c r="H71" s="55"/>
      <c r="I71" s="55"/>
      <c r="J71" s="56"/>
      <c r="K71" s="56"/>
      <c r="L71" s="56">
        <f>N71+M71</f>
        <v>11592.666999999999</v>
      </c>
      <c r="M71" s="56">
        <f>11476.74</f>
        <v>11476.74</v>
      </c>
      <c r="N71" s="56">
        <f>115.927</f>
        <v>115.92700000000001</v>
      </c>
      <c r="O71" s="56"/>
      <c r="P71" s="56">
        <v>88.4</v>
      </c>
      <c r="Q71" s="56">
        <f>S71+R71</f>
        <v>83876.164000000004</v>
      </c>
      <c r="R71" s="56">
        <f>83037.402</f>
        <v>83037.402000000002</v>
      </c>
      <c r="S71" s="56">
        <f>838.762</f>
        <v>838.76199999999994</v>
      </c>
      <c r="T71" s="56"/>
      <c r="U71" s="56"/>
      <c r="V71" s="56"/>
      <c r="W71" s="56"/>
      <c r="X71" s="56"/>
      <c r="Y71" s="77"/>
      <c r="Z71" s="77"/>
      <c r="AA71" s="1"/>
    </row>
    <row r="72" spans="1:30" ht="88.15" customHeight="1" x14ac:dyDescent="0.2">
      <c r="B72" s="8" t="s">
        <v>21</v>
      </c>
      <c r="C72" s="1" t="s">
        <v>117</v>
      </c>
      <c r="D72" s="3"/>
      <c r="E72" s="3"/>
      <c r="F72" s="3"/>
      <c r="G72" s="3"/>
      <c r="H72" s="3"/>
      <c r="I72" s="3"/>
      <c r="J72" s="7"/>
      <c r="K72" s="56"/>
      <c r="L72" s="56"/>
      <c r="M72" s="56"/>
      <c r="N72" s="56"/>
      <c r="O72" s="56"/>
      <c r="P72" s="56"/>
      <c r="Q72" s="56">
        <f>S72+R72</f>
        <v>17641.85629</v>
      </c>
      <c r="R72" s="56">
        <f>19800-2334.56171</f>
        <v>17465.438289999998</v>
      </c>
      <c r="S72" s="56">
        <f>200-23.582</f>
        <v>176.41800000000001</v>
      </c>
      <c r="T72" s="56"/>
      <c r="U72" s="56">
        <v>53.05</v>
      </c>
      <c r="V72" s="56">
        <f>X72+W72</f>
        <v>63453.99</v>
      </c>
      <c r="W72" s="56">
        <f>62819.45</f>
        <v>62819.45</v>
      </c>
      <c r="X72" s="56">
        <v>634.54</v>
      </c>
      <c r="Y72" s="56"/>
      <c r="Z72" s="30"/>
      <c r="AA72" s="1"/>
      <c r="AD72" s="2"/>
    </row>
    <row r="73" spans="1:30" ht="105.6" customHeight="1" x14ac:dyDescent="0.2">
      <c r="B73" s="8" t="s">
        <v>22</v>
      </c>
      <c r="C73" s="12" t="s">
        <v>96</v>
      </c>
      <c r="D73" s="55"/>
      <c r="E73" s="55"/>
      <c r="F73" s="55"/>
      <c r="G73" s="55"/>
      <c r="H73" s="55"/>
      <c r="I73" s="55"/>
      <c r="J73" s="56"/>
      <c r="K73" s="56"/>
      <c r="L73" s="56"/>
      <c r="M73" s="56"/>
      <c r="N73" s="56"/>
      <c r="O73" s="56"/>
      <c r="P73" s="56"/>
      <c r="Q73" s="56">
        <f>S73+R73</f>
        <v>20000</v>
      </c>
      <c r="R73" s="56">
        <f>19800</f>
        <v>19800</v>
      </c>
      <c r="S73" s="56">
        <f>200</f>
        <v>200</v>
      </c>
      <c r="T73" s="56"/>
      <c r="U73" s="56">
        <v>42.4</v>
      </c>
      <c r="V73" s="56">
        <f>X73+W73</f>
        <v>67800</v>
      </c>
      <c r="W73" s="56">
        <f>67122</f>
        <v>67122</v>
      </c>
      <c r="X73" s="56">
        <f>678</f>
        <v>678</v>
      </c>
      <c r="Y73" s="56"/>
      <c r="Z73" s="30"/>
      <c r="AA73" s="1"/>
      <c r="AD73" s="2"/>
    </row>
    <row r="74" spans="1:30" ht="106.5" customHeight="1" x14ac:dyDescent="0.2">
      <c r="B74" s="8" t="s">
        <v>23</v>
      </c>
      <c r="C74" s="12" t="s">
        <v>93</v>
      </c>
      <c r="D74" s="55"/>
      <c r="E74" s="55"/>
      <c r="F74" s="55"/>
      <c r="G74" s="55"/>
      <c r="H74" s="55"/>
      <c r="I74" s="55"/>
      <c r="J74" s="56"/>
      <c r="K74" s="56"/>
      <c r="L74" s="56"/>
      <c r="M74" s="56"/>
      <c r="N74" s="56"/>
      <c r="O74" s="56"/>
      <c r="P74" s="56"/>
      <c r="Q74" s="56">
        <f>S74+R74</f>
        <v>20000</v>
      </c>
      <c r="R74" s="56">
        <f>19800</f>
        <v>19800</v>
      </c>
      <c r="S74" s="56">
        <f>200</f>
        <v>200</v>
      </c>
      <c r="T74" s="56"/>
      <c r="U74" s="56">
        <v>77.599999999999994</v>
      </c>
      <c r="V74" s="56">
        <f>X74+W74</f>
        <v>114731.95400000001</v>
      </c>
      <c r="W74" s="56">
        <f>113584.634</f>
        <v>113584.63400000001</v>
      </c>
      <c r="X74" s="56">
        <v>1147.32</v>
      </c>
      <c r="Y74" s="56"/>
      <c r="Z74" s="30"/>
      <c r="AA74" s="1"/>
      <c r="AD74" s="2"/>
    </row>
    <row r="75" spans="1:30" ht="119.25" customHeight="1" x14ac:dyDescent="0.2">
      <c r="B75" s="8" t="s">
        <v>38</v>
      </c>
      <c r="C75" s="12" t="s">
        <v>97</v>
      </c>
      <c r="D75" s="55"/>
      <c r="E75" s="55"/>
      <c r="F75" s="55"/>
      <c r="G75" s="55"/>
      <c r="H75" s="55"/>
      <c r="I75" s="55"/>
      <c r="J75" s="56"/>
      <c r="K75" s="56">
        <v>13.56</v>
      </c>
      <c r="L75" s="56">
        <f>M75+N75</f>
        <v>427.29</v>
      </c>
      <c r="M75" s="56">
        <v>423.017</v>
      </c>
      <c r="N75" s="56">
        <v>4.2729999999999997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30"/>
      <c r="AA75" s="1"/>
      <c r="AD75" s="2"/>
    </row>
    <row r="76" spans="1:30" ht="24.6" customHeight="1" x14ac:dyDescent="0.2">
      <c r="B76" s="8"/>
      <c r="C76" s="27" t="s">
        <v>32</v>
      </c>
      <c r="D76" s="55"/>
      <c r="E76" s="55"/>
      <c r="F76" s="55"/>
      <c r="G76" s="55"/>
      <c r="H76" s="55"/>
      <c r="I76" s="55"/>
      <c r="J76" s="55"/>
      <c r="K76" s="55"/>
      <c r="L76" s="55">
        <f>N76</f>
        <v>70000</v>
      </c>
      <c r="M76" s="55"/>
      <c r="N76" s="55">
        <v>70000</v>
      </c>
      <c r="O76" s="55"/>
      <c r="P76" s="55"/>
      <c r="Q76" s="55">
        <f>S76</f>
        <v>0</v>
      </c>
      <c r="R76" s="55"/>
      <c r="S76" s="55">
        <f>70000-70000</f>
        <v>0</v>
      </c>
      <c r="T76" s="55"/>
      <c r="U76" s="55"/>
      <c r="V76" s="55">
        <f>X76</f>
        <v>0</v>
      </c>
      <c r="W76" s="55"/>
      <c r="X76" s="55">
        <f>70000-70000</f>
        <v>0</v>
      </c>
      <c r="Y76" s="77"/>
      <c r="Z76" s="77"/>
      <c r="AA76" s="1"/>
      <c r="AD76" s="2"/>
    </row>
    <row r="77" spans="1:30" ht="30" customHeight="1" x14ac:dyDescent="0.2">
      <c r="B77" s="64" t="s">
        <v>37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56"/>
      <c r="Z77" s="30"/>
      <c r="AA77" s="1"/>
    </row>
    <row r="78" spans="1:30" ht="36" customHeight="1" x14ac:dyDescent="0.2">
      <c r="B78" s="8"/>
      <c r="C78" s="27" t="s">
        <v>35</v>
      </c>
      <c r="D78" s="8"/>
      <c r="E78" s="8"/>
      <c r="F78" s="8">
        <v>361.82900000000001</v>
      </c>
      <c r="G78" s="8"/>
      <c r="H78" s="8"/>
      <c r="I78" s="8"/>
      <c r="J78" s="55"/>
      <c r="K78" s="55"/>
      <c r="L78" s="55">
        <f>L80+L82+L83</f>
        <v>840000.01899999997</v>
      </c>
      <c r="M78" s="55"/>
      <c r="N78" s="55">
        <f>N80+N82+N83</f>
        <v>840000.01899999997</v>
      </c>
      <c r="O78" s="55"/>
      <c r="P78" s="55"/>
      <c r="Q78" s="55">
        <f>Q80+Q82+Q83</f>
        <v>1056851.7</v>
      </c>
      <c r="R78" s="55"/>
      <c r="S78" s="55">
        <f>S80+S82+S83</f>
        <v>1056851.7</v>
      </c>
      <c r="T78" s="55"/>
      <c r="U78" s="55"/>
      <c r="V78" s="55">
        <f>V80+V82+V83</f>
        <v>1213000</v>
      </c>
      <c r="W78" s="55"/>
      <c r="X78" s="55">
        <f>X80+X82+X83</f>
        <v>1213000</v>
      </c>
      <c r="Y78" s="56"/>
      <c r="Z78" s="30"/>
      <c r="AA78" s="1"/>
    </row>
    <row r="79" spans="1:30" ht="16.5" customHeight="1" x14ac:dyDescent="0.2">
      <c r="B79" s="8"/>
      <c r="C79" s="27" t="s">
        <v>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56"/>
      <c r="Z79" s="30"/>
      <c r="AA79" s="1"/>
    </row>
    <row r="80" spans="1:30" ht="33.6" customHeight="1" x14ac:dyDescent="0.2">
      <c r="A80" s="4" t="s">
        <v>6</v>
      </c>
      <c r="B80" s="8"/>
      <c r="C80" s="27" t="s">
        <v>29</v>
      </c>
      <c r="D80" s="8"/>
      <c r="E80" s="8"/>
      <c r="F80" s="55">
        <v>319561.90600000002</v>
      </c>
      <c r="G80" s="55"/>
      <c r="H80" s="55"/>
      <c r="I80" s="55">
        <v>312815.76699999999</v>
      </c>
      <c r="J80" s="8"/>
      <c r="K80" s="8"/>
      <c r="L80" s="56">
        <f>M80+N80</f>
        <v>795000.01899999997</v>
      </c>
      <c r="M80" s="56"/>
      <c r="N80" s="56">
        <v>795000.01899999997</v>
      </c>
      <c r="O80" s="8"/>
      <c r="P80" s="8"/>
      <c r="Q80" s="56">
        <f>R80+S80</f>
        <v>1012851.7</v>
      </c>
      <c r="R80" s="56"/>
      <c r="S80" s="56">
        <f>1012851.7</f>
        <v>1012851.7</v>
      </c>
      <c r="T80" s="8"/>
      <c r="U80" s="8"/>
      <c r="V80" s="56">
        <f>W80+X80</f>
        <v>1169000</v>
      </c>
      <c r="W80" s="56"/>
      <c r="X80" s="56">
        <f>1169000</f>
        <v>1169000</v>
      </c>
      <c r="Y80" s="77"/>
      <c r="Z80" s="77"/>
      <c r="AA80" s="2"/>
    </row>
    <row r="81" spans="1:30" ht="33" customHeight="1" x14ac:dyDescent="0.2">
      <c r="B81" s="8"/>
      <c r="C81" s="25" t="s">
        <v>42</v>
      </c>
      <c r="D81" s="8"/>
      <c r="E81" s="8"/>
      <c r="F81" s="55"/>
      <c r="G81" s="55"/>
      <c r="H81" s="55"/>
      <c r="I81" s="55"/>
      <c r="J81" s="8"/>
      <c r="K81" s="8"/>
      <c r="L81" s="55"/>
      <c r="M81" s="55"/>
      <c r="N81" s="55"/>
      <c r="O81" s="8"/>
      <c r="P81" s="8"/>
      <c r="Q81" s="55"/>
      <c r="R81" s="55"/>
      <c r="S81" s="55"/>
      <c r="T81" s="8"/>
      <c r="U81" s="8"/>
      <c r="V81" s="55"/>
      <c r="W81" s="55"/>
      <c r="X81" s="55"/>
      <c r="Y81" s="56"/>
      <c r="Z81" s="30"/>
      <c r="AA81" s="1"/>
    </row>
    <row r="82" spans="1:30" ht="51.6" customHeight="1" x14ac:dyDescent="0.2">
      <c r="B82" s="8"/>
      <c r="C82" s="27" t="s">
        <v>36</v>
      </c>
      <c r="D82" s="8"/>
      <c r="E82" s="8"/>
      <c r="F82" s="55">
        <v>2967.884</v>
      </c>
      <c r="G82" s="55"/>
      <c r="H82" s="55"/>
      <c r="I82" s="55">
        <v>2967.884</v>
      </c>
      <c r="J82" s="8"/>
      <c r="K82" s="8"/>
      <c r="L82" s="56">
        <f>N82</f>
        <v>2000</v>
      </c>
      <c r="M82" s="56"/>
      <c r="N82" s="56">
        <f>2000</f>
        <v>2000</v>
      </c>
      <c r="O82" s="8"/>
      <c r="P82" s="8"/>
      <c r="Q82" s="56">
        <f>S82</f>
        <v>2000</v>
      </c>
      <c r="R82" s="56"/>
      <c r="S82" s="56">
        <f>2000</f>
        <v>2000</v>
      </c>
      <c r="T82" s="8"/>
      <c r="U82" s="8"/>
      <c r="V82" s="56">
        <f>X82</f>
        <v>2000</v>
      </c>
      <c r="W82" s="56"/>
      <c r="X82" s="56">
        <f>2000</f>
        <v>2000</v>
      </c>
      <c r="Y82" s="56"/>
      <c r="Z82" s="30"/>
      <c r="AA82" s="1"/>
    </row>
    <row r="83" spans="1:30" ht="52.5" customHeight="1" x14ac:dyDescent="0.2">
      <c r="B83" s="8"/>
      <c r="C83" s="27" t="s">
        <v>5</v>
      </c>
      <c r="D83" s="8"/>
      <c r="E83" s="8"/>
      <c r="F83" s="55">
        <v>4170.2290000000003</v>
      </c>
      <c r="G83" s="55"/>
      <c r="H83" s="55"/>
      <c r="I83" s="55">
        <v>4170.2290000000003</v>
      </c>
      <c r="J83" s="8"/>
      <c r="K83" s="8"/>
      <c r="L83" s="56">
        <f>N83</f>
        <v>43000</v>
      </c>
      <c r="M83" s="56"/>
      <c r="N83" s="56">
        <f>43000</f>
        <v>43000</v>
      </c>
      <c r="O83" s="8"/>
      <c r="P83" s="8"/>
      <c r="Q83" s="56">
        <f>S83</f>
        <v>42000</v>
      </c>
      <c r="R83" s="56"/>
      <c r="S83" s="56">
        <f>42000</f>
        <v>42000</v>
      </c>
      <c r="T83" s="8"/>
      <c r="U83" s="8"/>
      <c r="V83" s="56">
        <f>X83</f>
        <v>42000</v>
      </c>
      <c r="W83" s="56"/>
      <c r="X83" s="56">
        <v>42000</v>
      </c>
      <c r="Y83" s="56"/>
      <c r="Z83" s="30"/>
      <c r="AA83" s="1"/>
    </row>
    <row r="84" spans="1:30" ht="16.5" customHeight="1" x14ac:dyDescent="0.2">
      <c r="B84" s="8"/>
      <c r="C84" s="27"/>
      <c r="D84" s="8"/>
      <c r="E84" s="8"/>
      <c r="F84" s="55"/>
      <c r="G84" s="55"/>
      <c r="H84" s="55"/>
      <c r="I84" s="55"/>
      <c r="J84" s="8"/>
      <c r="K84" s="8"/>
      <c r="L84" s="56"/>
      <c r="M84" s="56"/>
      <c r="N84" s="56"/>
      <c r="O84" s="8"/>
      <c r="P84" s="8"/>
      <c r="Q84" s="56"/>
      <c r="R84" s="56"/>
      <c r="S84" s="56"/>
      <c r="T84" s="8"/>
      <c r="U84" s="8"/>
      <c r="V84" s="56"/>
      <c r="W84" s="56"/>
      <c r="X84" s="56"/>
      <c r="Y84" s="56"/>
      <c r="Z84" s="30"/>
      <c r="AA84" s="1"/>
    </row>
    <row r="85" spans="1:30" ht="43.5" customHeight="1" x14ac:dyDescent="0.2">
      <c r="B85" s="64" t="s">
        <v>81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56"/>
      <c r="Z85" s="30"/>
      <c r="AA85" s="1"/>
    </row>
    <row r="86" spans="1:30" ht="36" customHeight="1" x14ac:dyDescent="0.2">
      <c r="B86" s="8"/>
      <c r="C86" s="27" t="s">
        <v>74</v>
      </c>
      <c r="D86" s="8"/>
      <c r="E86" s="8"/>
      <c r="F86" s="8">
        <v>361.82900000000001</v>
      </c>
      <c r="G86" s="8"/>
      <c r="H86" s="8"/>
      <c r="I86" s="8"/>
      <c r="J86" s="40">
        <f t="shared" ref="J86:X86" si="6">SUM(J88:J97)</f>
        <v>39.549999999999997</v>
      </c>
      <c r="K86" s="40">
        <f t="shared" si="6"/>
        <v>0</v>
      </c>
      <c r="L86" s="40">
        <f t="shared" si="6"/>
        <v>988155</v>
      </c>
      <c r="M86" s="40">
        <f t="shared" si="6"/>
        <v>988155</v>
      </c>
      <c r="N86" s="40">
        <f t="shared" si="6"/>
        <v>0</v>
      </c>
      <c r="O86" s="40">
        <f t="shared" si="6"/>
        <v>4.1840000000000002</v>
      </c>
      <c r="P86" s="40">
        <f t="shared" si="6"/>
        <v>0</v>
      </c>
      <c r="Q86" s="40">
        <f t="shared" si="6"/>
        <v>129155</v>
      </c>
      <c r="R86" s="40">
        <f t="shared" si="6"/>
        <v>129155</v>
      </c>
      <c r="S86" s="40">
        <f t="shared" si="6"/>
        <v>0</v>
      </c>
      <c r="T86" s="40">
        <f t="shared" si="6"/>
        <v>0</v>
      </c>
      <c r="U86" s="40">
        <f t="shared" si="6"/>
        <v>0</v>
      </c>
      <c r="V86" s="40">
        <f t="shared" si="6"/>
        <v>0</v>
      </c>
      <c r="W86" s="40">
        <f t="shared" si="6"/>
        <v>0</v>
      </c>
      <c r="X86" s="40">
        <f t="shared" si="6"/>
        <v>0</v>
      </c>
      <c r="Y86" s="57"/>
      <c r="Z86" s="30"/>
      <c r="AA86" s="1"/>
    </row>
    <row r="87" spans="1:30" s="12" customFormat="1" ht="23.1" customHeight="1" x14ac:dyDescent="0.2">
      <c r="A87" s="8"/>
      <c r="B87" s="8"/>
      <c r="C87" s="29" t="s">
        <v>4</v>
      </c>
      <c r="D87" s="8"/>
      <c r="E87" s="8"/>
      <c r="F87" s="8"/>
      <c r="G87" s="8"/>
      <c r="H87" s="8"/>
      <c r="I87" s="8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30"/>
    </row>
    <row r="88" spans="1:30" s="12" customFormat="1" ht="78" customHeight="1" x14ac:dyDescent="0.2">
      <c r="A88" s="8"/>
      <c r="B88" s="8" t="s">
        <v>13</v>
      </c>
      <c r="C88" s="12" t="s">
        <v>55</v>
      </c>
      <c r="D88" s="8"/>
      <c r="E88" s="8"/>
      <c r="F88" s="56"/>
      <c r="G88" s="56"/>
      <c r="H88" s="56"/>
      <c r="I88" s="56"/>
      <c r="J88" s="56"/>
      <c r="K88" s="56"/>
      <c r="L88" s="56">
        <f t="shared" ref="L88:L94" si="7">M88+N88</f>
        <v>129155</v>
      </c>
      <c r="M88" s="56">
        <f>129155</f>
        <v>129155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30"/>
    </row>
    <row r="89" spans="1:30" s="12" customFormat="1" ht="87" customHeight="1" x14ac:dyDescent="0.2">
      <c r="A89" s="53"/>
      <c r="B89" s="8" t="s">
        <v>14</v>
      </c>
      <c r="C89" s="29" t="s">
        <v>106</v>
      </c>
      <c r="D89" s="55"/>
      <c r="E89" s="55"/>
      <c r="F89" s="55"/>
      <c r="G89" s="55"/>
      <c r="H89" s="55"/>
      <c r="I89" s="55"/>
      <c r="J89" s="56">
        <v>5.9870000000000001</v>
      </c>
      <c r="K89" s="56"/>
      <c r="L89" s="56">
        <f t="shared" si="7"/>
        <v>193447.405</v>
      </c>
      <c r="M89" s="56">
        <v>193447.405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30"/>
    </row>
    <row r="90" spans="1:30" s="12" customFormat="1" ht="107.45" customHeight="1" x14ac:dyDescent="0.2">
      <c r="A90" s="53"/>
      <c r="B90" s="8" t="s">
        <v>15</v>
      </c>
      <c r="C90" s="33" t="s">
        <v>107</v>
      </c>
      <c r="D90" s="55"/>
      <c r="E90" s="55"/>
      <c r="F90" s="55"/>
      <c r="G90" s="55"/>
      <c r="H90" s="55"/>
      <c r="I90" s="55"/>
      <c r="J90" s="56">
        <v>7.319</v>
      </c>
      <c r="K90" s="56"/>
      <c r="L90" s="56">
        <f t="shared" si="7"/>
        <v>119446.43799999999</v>
      </c>
      <c r="M90" s="56">
        <f>119446.438</f>
        <v>119446.43799999999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30"/>
    </row>
    <row r="91" spans="1:30" s="12" customFormat="1" ht="104.1" customHeight="1" x14ac:dyDescent="0.2">
      <c r="A91" s="53"/>
      <c r="B91" s="8" t="s">
        <v>16</v>
      </c>
      <c r="C91" s="33" t="s">
        <v>112</v>
      </c>
      <c r="D91" s="55"/>
      <c r="E91" s="55"/>
      <c r="F91" s="55"/>
      <c r="G91" s="55"/>
      <c r="H91" s="55"/>
      <c r="I91" s="55"/>
      <c r="J91" s="56">
        <v>9.5259999999999998</v>
      </c>
      <c r="K91" s="56"/>
      <c r="L91" s="56">
        <f t="shared" si="7"/>
        <v>269086.348</v>
      </c>
      <c r="M91" s="56">
        <v>269086.348</v>
      </c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30"/>
    </row>
    <row r="92" spans="1:30" s="12" customFormat="1" ht="108.75" customHeight="1" x14ac:dyDescent="0.2">
      <c r="A92" s="53"/>
      <c r="B92" s="8" t="s">
        <v>17</v>
      </c>
      <c r="C92" s="33" t="s">
        <v>75</v>
      </c>
      <c r="D92" s="55"/>
      <c r="E92" s="55"/>
      <c r="F92" s="55"/>
      <c r="G92" s="55"/>
      <c r="H92" s="55"/>
      <c r="I92" s="55"/>
      <c r="J92" s="56">
        <v>15.122999999999999</v>
      </c>
      <c r="K92" s="56"/>
      <c r="L92" s="56">
        <f t="shared" si="7"/>
        <v>245850.24400000001</v>
      </c>
      <c r="M92" s="56">
        <v>245850.24400000001</v>
      </c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30"/>
    </row>
    <row r="93" spans="1:30" s="12" customFormat="1" ht="88.9" customHeight="1" x14ac:dyDescent="0.2">
      <c r="A93" s="53"/>
      <c r="B93" s="8" t="s">
        <v>64</v>
      </c>
      <c r="C93" s="12" t="s">
        <v>124</v>
      </c>
      <c r="D93" s="55"/>
      <c r="E93" s="55"/>
      <c r="F93" s="55"/>
      <c r="G93" s="55"/>
      <c r="H93" s="55"/>
      <c r="I93" s="55"/>
      <c r="J93" s="56">
        <v>1.595</v>
      </c>
      <c r="K93" s="56"/>
      <c r="L93" s="56">
        <f t="shared" si="7"/>
        <v>30386.565999999999</v>
      </c>
      <c r="M93" s="56">
        <v>30386.565999999999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30"/>
      <c r="AD93" s="30"/>
    </row>
    <row r="94" spans="1:30" s="12" customFormat="1" ht="91.15" customHeight="1" x14ac:dyDescent="0.2">
      <c r="A94" s="53"/>
      <c r="B94" s="8" t="s">
        <v>18</v>
      </c>
      <c r="C94" s="12" t="s">
        <v>92</v>
      </c>
      <c r="D94" s="55"/>
      <c r="E94" s="55"/>
      <c r="F94" s="55"/>
      <c r="G94" s="55"/>
      <c r="H94" s="55"/>
      <c r="I94" s="55"/>
      <c r="J94" s="56"/>
      <c r="K94" s="56"/>
      <c r="L94" s="56">
        <f t="shared" si="7"/>
        <v>782.99900000000002</v>
      </c>
      <c r="M94" s="56">
        <v>782.99900000000002</v>
      </c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30"/>
      <c r="AD94" s="30"/>
    </row>
    <row r="95" spans="1:30" s="4" customFormat="1" ht="141" customHeight="1" x14ac:dyDescent="0.2">
      <c r="B95" s="8" t="s">
        <v>19</v>
      </c>
      <c r="C95" s="39" t="s">
        <v>98</v>
      </c>
      <c r="D95" s="56"/>
      <c r="E95" s="56"/>
      <c r="F95" s="55"/>
      <c r="G95" s="56"/>
      <c r="H95" s="56"/>
      <c r="I95" s="55"/>
      <c r="J95" s="56"/>
      <c r="K95" s="56"/>
      <c r="L95" s="56"/>
      <c r="M95" s="56"/>
      <c r="N95" s="56"/>
      <c r="O95" s="56">
        <v>3.2240000000000002</v>
      </c>
      <c r="P95" s="56"/>
      <c r="Q95" s="56">
        <f>R95+S95</f>
        <v>15834.557000000001</v>
      </c>
      <c r="R95" s="56">
        <v>15834.557000000001</v>
      </c>
      <c r="S95" s="56"/>
      <c r="T95" s="56"/>
      <c r="U95" s="56"/>
      <c r="V95" s="56"/>
      <c r="W95" s="56"/>
      <c r="X95" s="56"/>
      <c r="Y95" s="56"/>
      <c r="Z95" s="56"/>
    </row>
    <row r="96" spans="1:30" s="12" customFormat="1" ht="104.25" customHeight="1" x14ac:dyDescent="0.2">
      <c r="A96" s="53"/>
      <c r="B96" s="8" t="s">
        <v>20</v>
      </c>
      <c r="C96" s="12" t="s">
        <v>113</v>
      </c>
      <c r="D96" s="55"/>
      <c r="E96" s="55"/>
      <c r="F96" s="55"/>
      <c r="G96" s="55"/>
      <c r="H96" s="55"/>
      <c r="I96" s="55"/>
      <c r="J96" s="56"/>
      <c r="K96" s="56"/>
      <c r="L96" s="56"/>
      <c r="M96" s="56"/>
      <c r="N96" s="56"/>
      <c r="O96" s="56"/>
      <c r="P96" s="56"/>
      <c r="Q96" s="56">
        <f>R96+S96</f>
        <v>7583.0479999999998</v>
      </c>
      <c r="R96" s="56">
        <v>7583.0479999999998</v>
      </c>
      <c r="S96" s="56"/>
      <c r="T96" s="56"/>
      <c r="U96" s="56"/>
      <c r="V96" s="56"/>
      <c r="W96" s="56"/>
      <c r="X96" s="56"/>
      <c r="Y96" s="56"/>
      <c r="Z96" s="30"/>
      <c r="AD96" s="30"/>
    </row>
    <row r="97" spans="1:27" s="4" customFormat="1" ht="108" customHeight="1" x14ac:dyDescent="0.2">
      <c r="B97" s="8" t="s">
        <v>27</v>
      </c>
      <c r="C97" s="32" t="s">
        <v>125</v>
      </c>
      <c r="D97" s="56"/>
      <c r="E97" s="56"/>
      <c r="F97" s="55"/>
      <c r="G97" s="56"/>
      <c r="H97" s="56"/>
      <c r="I97" s="55"/>
      <c r="J97" s="56"/>
      <c r="K97" s="56"/>
      <c r="L97" s="56"/>
      <c r="M97" s="56"/>
      <c r="N97" s="56"/>
      <c r="O97" s="56">
        <v>0.96</v>
      </c>
      <c r="P97" s="56"/>
      <c r="Q97" s="56">
        <f>R97+S97</f>
        <v>105737.395</v>
      </c>
      <c r="R97" s="56">
        <v>105737.395</v>
      </c>
      <c r="S97" s="56"/>
      <c r="T97" s="56"/>
      <c r="U97" s="56"/>
      <c r="V97" s="56"/>
      <c r="W97" s="56"/>
      <c r="X97" s="56"/>
      <c r="Y97" s="56"/>
      <c r="Z97" s="56"/>
    </row>
    <row r="98" spans="1:27" s="12" customFormat="1" ht="33.6" customHeight="1" x14ac:dyDescent="0.25">
      <c r="A98" s="8"/>
      <c r="B98" s="8"/>
      <c r="C98" s="32"/>
      <c r="D98" s="8"/>
      <c r="E98" s="8"/>
      <c r="F98" s="8"/>
      <c r="G98" s="8"/>
      <c r="H98" s="8"/>
      <c r="I98" s="8"/>
      <c r="J98" s="8"/>
      <c r="K98" s="8"/>
      <c r="L98" s="8"/>
      <c r="M98" s="8"/>
      <c r="N98" s="38" t="s">
        <v>76</v>
      </c>
      <c r="O98" s="38"/>
      <c r="P98" s="38"/>
      <c r="Q98" s="38"/>
      <c r="R98" s="38"/>
      <c r="S98" s="38"/>
      <c r="T98" s="37"/>
      <c r="U98" s="37"/>
      <c r="V98" s="37"/>
      <c r="W98" s="37"/>
      <c r="X98" s="37"/>
      <c r="Y98" s="56"/>
      <c r="Z98" s="42"/>
      <c r="AA98" s="11"/>
    </row>
    <row r="99" spans="1:27" s="12" customFormat="1" ht="12.75" hidden="1" customHeight="1" x14ac:dyDescent="0.25">
      <c r="A99" s="8"/>
      <c r="B99" s="8"/>
      <c r="C99" s="3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T99" s="8"/>
      <c r="U99" s="8"/>
      <c r="V99" s="8"/>
      <c r="Y99" s="30"/>
      <c r="Z99" s="42"/>
      <c r="AA99" s="11"/>
    </row>
    <row r="100" spans="1:27" ht="16.5" customHeight="1" x14ac:dyDescent="0.25">
      <c r="B100" s="58" t="s">
        <v>82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</sheetData>
  <mergeCells count="79">
    <mergeCell ref="Y48:Z48"/>
    <mergeCell ref="Y60:Z60"/>
    <mergeCell ref="Y80:Z80"/>
    <mergeCell ref="B85:X85"/>
    <mergeCell ref="B100:X100"/>
    <mergeCell ref="Y64:Z65"/>
    <mergeCell ref="Y68:Z69"/>
    <mergeCell ref="Y70:Z70"/>
    <mergeCell ref="Y71:Z71"/>
    <mergeCell ref="Y76:Z76"/>
    <mergeCell ref="B77:X77"/>
    <mergeCell ref="Y63:Z63"/>
    <mergeCell ref="Y50:Z50"/>
    <mergeCell ref="Y51:Z51"/>
    <mergeCell ref="Y52:Z52"/>
    <mergeCell ref="Y54:Z54"/>
    <mergeCell ref="Y55:Z55"/>
    <mergeCell ref="Y56:Z56"/>
    <mergeCell ref="Y57:Z57"/>
    <mergeCell ref="Y59:Z59"/>
    <mergeCell ref="Y61:Z61"/>
    <mergeCell ref="Y62:Z62"/>
    <mergeCell ref="Y36:Z36"/>
    <mergeCell ref="Y37:Z37"/>
    <mergeCell ref="Y38:Z38"/>
    <mergeCell ref="Y39:Z39"/>
    <mergeCell ref="Y40:Z40"/>
    <mergeCell ref="Y41:Z41"/>
    <mergeCell ref="Y43:Z43"/>
    <mergeCell ref="Y44:Z44"/>
    <mergeCell ref="Y45:Z45"/>
    <mergeCell ref="Y46:Z46"/>
    <mergeCell ref="Y42:Z42"/>
    <mergeCell ref="Y35:Z35"/>
    <mergeCell ref="T20:T21"/>
    <mergeCell ref="U20:U21"/>
    <mergeCell ref="V20:V21"/>
    <mergeCell ref="W20:X20"/>
    <mergeCell ref="B24:X24"/>
    <mergeCell ref="Y28:Z28"/>
    <mergeCell ref="Y29:Z29"/>
    <mergeCell ref="Y30:Z30"/>
    <mergeCell ref="Y32:Z32"/>
    <mergeCell ref="Y33:Z33"/>
    <mergeCell ref="Y34:Z34"/>
    <mergeCell ref="O19:S19"/>
    <mergeCell ref="T19:X19"/>
    <mergeCell ref="O20:O21"/>
    <mergeCell ref="P20:P21"/>
    <mergeCell ref="Q20:Q21"/>
    <mergeCell ref="R20:S20"/>
    <mergeCell ref="J19:N19"/>
    <mergeCell ref="A19:A20"/>
    <mergeCell ref="B19:B21"/>
    <mergeCell ref="C19:C21"/>
    <mergeCell ref="D19:F19"/>
    <mergeCell ref="G19:I19"/>
    <mergeCell ref="J20:J21"/>
    <mergeCell ref="K20:K21"/>
    <mergeCell ref="L20:L21"/>
    <mergeCell ref="M20:N20"/>
    <mergeCell ref="Y16:Z16"/>
    <mergeCell ref="Q4:S4"/>
    <mergeCell ref="V4:X4"/>
    <mergeCell ref="V7:X7"/>
    <mergeCell ref="V8:X8"/>
    <mergeCell ref="V9:X9"/>
    <mergeCell ref="V10:X10"/>
    <mergeCell ref="V12:X12"/>
    <mergeCell ref="V13:X13"/>
    <mergeCell ref="V14:X14"/>
    <mergeCell ref="V15:X15"/>
    <mergeCell ref="B16:X16"/>
    <mergeCell ref="Q1:S1"/>
    <mergeCell ref="V1:X1"/>
    <mergeCell ref="Q2:S2"/>
    <mergeCell ref="V2:X2"/>
    <mergeCell ref="Q3:S3"/>
    <mergeCell ref="V3:X3"/>
  </mergeCells>
  <phoneticPr fontId="23" type="noConversion"/>
  <printOptions horizontalCentered="1"/>
  <pageMargins left="0.78740157480314965" right="0.39370078740157483" top="0.98425196850393704" bottom="0.39370078740157483" header="0.6889763779527559" footer="0"/>
  <pageSetup paperSize="9" scale="47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18.08.2022 </vt:lpstr>
      <vt:lpstr>'18.08.2022 '!Заголовки_для_печати</vt:lpstr>
      <vt:lpstr>'18.08.2022 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mintrans-48</dc:creator>
  <cp:lastModifiedBy>Минтранс ЧР Петрова Наталия</cp:lastModifiedBy>
  <cp:lastPrinted>2022-08-29T11:09:08Z</cp:lastPrinted>
  <dcterms:created xsi:type="dcterms:W3CDTF">2017-03-06T08:27:37Z</dcterms:created>
  <dcterms:modified xsi:type="dcterms:W3CDTF">2022-08-30T07:00:55Z</dcterms:modified>
</cp:coreProperties>
</file>