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18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5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43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62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92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5111.xml" ContentType="application/vnd.openxmlformats-officedocument.spreadsheetml.revisionLog+xml"/>
  <Override PartName="/docProps/core.xml" ContentType="application/vnd.openxmlformats-package.core-properties+xml"/>
  <Override PartName="/xl/revisions/revisionLog2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6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38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userNames.xml" ContentType="application/vnd.openxmlformats-officedocument.spreadsheetml.userNames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1213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8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8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2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192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5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26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5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22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7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19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39.xml" ContentType="application/vnd.openxmlformats-officedocument.spreadsheetml.revisionLog+xml"/>
  <Override PartName="/xl/revisions/revisionLog191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12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</sheets>
  <definedNames>
    <definedName name="Z_1718F1EE_9F48_4DBE_9531_3B70F9C4A5DD_.wvu.Cols" localSheetId="1" hidden="1">Справка!$AY:$BA,Справка!$BE:$BG,Справка!$BK:$BS,Справка!$BW:$CB,Справка!$DA:$DI</definedName>
    <definedName name="Z_1718F1EE_9F48_4DBE_9531_3B70F9C4A5DD_.wvu.PrintArea" localSheetId="5" hidden="1">Иль!$A$1:$F$106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Справка!$A$1:$FB$31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Иль!$19:$24,Иль!$30:$41,Иль!$47:$47,Иль!$49:$52,Иль!$60:$60,Иль!$62:$64,Иль!$70:$71,Иль!$80:$81,Иль!$83:$83,Иль!$88:$92,Иль!$95:$102,Иль!$145:$145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Юсь!$19:$24,Юсь!$31:$33,Юсь!$37:$37,Юсь!$44:$50,Юсь!$58:$58,Юсь!$60:$62,Юсь!$68:$69,Юсь!$79:$80,Юсь!$84:$88,Юсь!$91:$98,Юсь!$142:$142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Справка!$AY:$BA,Справка!$BE:$BG,Справка!$BK:$BP,Справка!$BW:$CB,Справка!$DA:$DI</definedName>
    <definedName name="Z_1A52382B_3765_4E8C_903F_6B8919B7242E_.wvu.PrintArea" localSheetId="5" hidden="1">Иль!$A$1:$F$106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Справка!$A$1:$FB$31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Иль!$19:$24,Иль!$30:$31,Иль!$34:$34,Иль!$47:$47,Иль!$52:$52,Иль!$62:$63,Иль!$70:$71,Иль!$80:$81,Иль!$83:$83,Иль!$95:$99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Юсь!$20:$24,Юсь!$37:$37,Юсь!#REF!,Юсь!$44:$49,Юсь!$58:$58,Юсь!$60:$61,Юсь!$68:$69,Юсь!$79:$80,Юсь!$84:$88,Юсь!$91:$98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Справка!$AY:$BA,Справка!$BE:$BG,Справка!$BK:$BP,Справка!$BW:$CB,Справка!$DA:$DI</definedName>
    <definedName name="Z_3DCB9AAA_F09C_4EA6_B992_F93E466D374A_.wvu.PrintArea" localSheetId="5" hidden="1">Иль!$A$1:$F$106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Справка!$A$1:$FB$31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Иль!$19:$24,Иль!$30:$31,Иль!$34:$34,Иль!$47:$47,Иль!$52:$52,Иль!$62:$63,Иль!$70:$71,Иль!$80:$81,Иль!$83:$83,Иль!$85:$92,Иль!$95:$99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Справка!$AY:$BA,Справка!$BE:$BG,Справка!$BK:$BS,Справка!$BW:$CB,Справка!$DA:$DI</definedName>
    <definedName name="Z_42584DC0_1D41_4C93_9B38_C388E7B8DAC4_.wvu.PrintArea" localSheetId="5" hidden="1">Иль!$A$1:$F$106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Справка!$A$1:$FB$31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Иль!$19:$24,Иль!$30:$41,Иль!$47:$47,Иль!$49:$52,Иль!$60:$60,Иль!$62:$64,Иль!$70:$71,Иль!$80:$81,Иль!$83:$83,Иль!$88:$92,Иль!$95:$102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Юсь!$19:$24,Юсь!$31:$33,Юсь!$37:$37,Юсь!#REF!,Юсь!$44:$49,Юсь!$58:$58,Юсь!$60:$62,Юсь!$68:$69,Юсь!$79:$80,Юсь!$84:$88,Юсь!$91:$98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Справка!$AY:$BA,Справка!$BE:$BG,Справка!$BK:$BP,Справка!$BW:$CB,Справка!$DA:$DI</definedName>
    <definedName name="Z_5BFCA170_DEAE_4D2C_98A0_1E68B427AC01_.wvu.PrintArea" localSheetId="5" hidden="1">Иль!$A$1:$F$106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Справка!$A$1:$FB$31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Иль!$19:$24,Иль!$30:$31,Иль!$34:$34,Иль!$47:$47,Иль!$52:$52,Иль!$62:$63,Иль!$70:$71,Иль!$80:$81,Иль!$83:$83,Иль!$95:$99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Справка!$AY:$BA,Справка!$BE:$BG,Справка!$BK:$BM,Справка!$BO:$BP,Справка!$BW:$CB,Справка!$DA:$DI</definedName>
    <definedName name="Z_5C539BE6_C8E0_453F_AB5E_9E58094195EA_.wvu.PrintArea" localSheetId="3" hidden="1">Але!$A$1:$F$97</definedName>
    <definedName name="Z_5C539BE6_C8E0_453F_AB5E_9E58094195EA_.wvu.PrintArea" localSheetId="5" hidden="1">Иль!$A$1:$F$106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Справка!$A$1:$FB$31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Иль!$19:$23,Иль!$35:$35,Иль!$41:$41,Иль!$45:$45,Иль!$47:$47,Иль!$51:$52,Иль!$60:$60,Иль!$62:$64,Иль!$70:$71,Иль!$80:$81,Иль!$83:$83,Иль!$88:$92,Иль!$95:$102,Иль!$145:$145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Юсь!$19:$24,Юсь!$37:$37,Юсь!$44:$49,Юсь!$58:$58,Юсь!$60:$61,Юсь!$68:$69,Юсь!$84:$88,Юсь!$91:$98,Юсь!$142:$142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Справка!$AY:$BA,Справка!$BE:$BG,Справка!$BK:$BM,Справка!$BO:$BP,Справка!$BW:$CB,Справка!$DA:$DI</definedName>
    <definedName name="Z_61528DAC_5C4C_48F4_ADE2_8A724B05A086_.wvu.PrintArea" localSheetId="3" hidden="1">Але!$A$1:$F$97</definedName>
    <definedName name="Z_61528DAC_5C4C_48F4_ADE2_8A724B05A086_.wvu.PrintArea" localSheetId="5" hidden="1">Иль!$A$1:$F$106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Справка!$A$1:$FB$31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Иль!$19:$23,Иль!$35:$35,Иль!$41:$41,Иль!$45:$45,Иль!$47:$47,Иль!$51:$52,Иль!$60:$60,Иль!$62:$64,Иль!$70:$71,Иль!$77:$77,Иль!$80:$81,Иль!$83:$83,Иль!$88:$92,Иль!$95:$102,Иль!$145:$145</definedName>
    <definedName name="Z_61528DAC_5C4C_48F4_ADE2_8A724B05A086_.wvu.Rows" localSheetId="6" hidden="1">Кад!$19:$24,Кад!$31:$35,Кад!$38:$38,Кад!$42:$42,Кад!$44:$44,Кад!$48:$48,Кад!$56:$56,Кад!$58:$60,Кад!$66:$67,Кад!$72:$72,Кад!$77:$77,Кад!$82:$86,Кад!$89:$96,Кад!$142:$142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Мос!$19:$24,Мос!$42:$42,Мос!$44:$44,Мос!$48:$48,Мос!$50:$50,Мос!$58:$58,Мос!$60:$61,Мос!$68:$69,Мос!$74:$75,Мос!$82:$82,Мос!$85:$92,Мос!$95:$102,Мос!$143:$143</definedName>
    <definedName name="Z_61528DAC_5C4C_48F4_ADE2_8A724B05A086_.wvu.Rows" localSheetId="9" hidden="1">Ори!$19:$24,Ори!$31:$35,Ори!$44:$44,Ори!$48:$50,Ори!$57:$57,Ори!$59:$60,Ори!$67:$68,Ори!$78:$78,Ори!$81:$81,Ори!$84:$88,Ори!$91:$98,Ори!$142:$142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район!$19:$19,район!$26:$27,район!$36:$36,район!$39:$39,район!$51:$52,район!$72:$72,район!$123:$124</definedName>
    <definedName name="Z_61528DAC_5C4C_48F4_ADE2_8A724B05A086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Тор!$19:$24,Тор!$32:$34,Тор!$39:$39,Тор!$43:$43,Тор!$47:$47,Тор!$57:$57,Тор!$59:$60,Тор!$67:$68,Тор!$75:$75,Тор!$79:$79,Тор!$86:$95,Тор!$142:$142</definedName>
    <definedName name="Z_61528DAC_5C4C_48F4_ADE2_8A724B05A086_.wvu.Rows" localSheetId="12" hidden="1">Хор!$20:$22,Хор!$26:$31,Хор!$39:$39,Хор!$45:$47,Хор!$54:$54,Хор!$56:$57,Хор!$64:$65,Хор!$75:$75,Хор!$80:$84,Хор!$87:$94,Хор!$141:$141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Юсь!$19:$24,Юсь!$37:$37,Юсь!$44:$49,Юсь!$58:$58,Юсь!$60:$61,Юсь!$68:$69,Юсь!$74:$75,Юсь!$84:$88,Юсь!$91:$98,Юсь!$142:$142</definedName>
    <definedName name="Z_61528DAC_5C4C_48F4_ADE2_8A724B05A086_.wvu.Rows" localSheetId="17" hidden="1">Яра!$19:$24,Яра!$28:$29,Яра!$33:$33,Яра!$36:$36,Яра!$38:$38,Яра!$48:$49,Яра!$51:$51,Яра!$58:$58,Яра!$60:$61,Яра!$68:$69,Яра!$75:$75,Яра!$79:$79,Яра!$84:$88,Яра!$91:$98,Яра!$143:$143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Яро!$19:$24,Яро!$28:$28,Яро!$41:$41,Яро!$44:$44,Яро!$47:$48,Яро!$55:$55,Яро!$57:$58,Яро!$65:$66,Яро!$76:$76,Яро!$83:$85,Яро!$88:$95</definedName>
    <definedName name="Z_A54C432C_6C68_4B53_A75C_446EB3A61B2B_.wvu.Cols" localSheetId="1" hidden="1">Справка!$AY:$BA,Справка!$BE:$BG,Справка!$BK:$BS,Справка!$BW:$CB,Справка!$DA:$DI</definedName>
    <definedName name="Z_A54C432C_6C68_4B53_A75C_446EB3A61B2B_.wvu.PrintArea" localSheetId="5" hidden="1">Иль!$A$1:$F$106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Справка!$A$1:$FB$31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Иль!$19:$24,Иль!$30:$41,Иль!$47:$47,Иль!$49:$52,Иль!$60:$60,Иль!$62:$64,Иль!$70:$71,Иль!$80:$81,Иль!$83:$83,Иль!$88:$92,Иль!$95:$102,Иль!$145:$145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Юсь!$19:$24,Юсь!$31:$33,Юсь!$37:$37,Юсь!#REF!,Юсь!$44:$50,Юсь!$58:$58,Юсь!$60:$61,Юсь!$68:$69,Юсь!$79:$80,Юсь!$84:$88,Юсь!$91:$98,Юсь!$142:$142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Справка!$AY:$BA,Справка!$BE:$BG,Справка!$BK:$BP,Справка!$BW:$CB,Справка!$DA:$DI</definedName>
    <definedName name="Z_B30CE22D_C12F_4E12_8BB9_3AAE0A6991CC_.wvu.PrintArea" localSheetId="3" hidden="1">Але!$A$1:$F$97</definedName>
    <definedName name="Z_B30CE22D_C12F_4E12_8BB9_3AAE0A6991CC_.wvu.PrintArea" localSheetId="5" hidden="1">Иль!$A$1:$F$106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Справка!$A$1:$FB$31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Иль!$19:$24,Иль!$35:$35,Иль!$40:$41,Иль!$50:$52,Иль!$60:$60,Иль!$62:$64,Иль!$70:$71,Иль!$80:$81,Иль!$83:$83,Иль!$88:$92,Иль!$95:$102,Иль!$145:$145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Юсь!$19:$24,Юсь!$44:$49,Юсь!$58:$58,Юсь!$60:$61,Юсь!$68:$69,Юсь!$79:$79,Юсь!$84:$88,Юсь!$91:$98,Юсь!$142:$142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Справка!$AY:$BA,Справка!$BE:$BG,Справка!$BK:$BP,Справка!$BW:$CB,Справка!$DA:$DI</definedName>
    <definedName name="Z_B31C8DB7_3E78_4144_A6B5_8DE36DE63F0E_.wvu.PrintArea" localSheetId="5" hidden="1">Иль!$A$1:$F$106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Справка!$A$1:$FB$31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Иль!$19:$24,Иль!$34:$34,Иль!$47:$47,Иль!$52:$52,Иль!$62:$63,Иль!$70:$71,Иль!$80:$81,Иль!$83:$83,Иль!$95:$99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_xlnm.Print_Area" localSheetId="3">Але!$A$1:$F$97</definedName>
    <definedName name="_xlnm.Print_Area" localSheetId="5">Иль!$A$1:$F$106</definedName>
    <definedName name="_xlnm.Print_Area" localSheetId="0">Консол!$A$1:$K$52</definedName>
    <definedName name="_xlnm.Print_Area" localSheetId="7">Мор!$A$1:$F$101</definedName>
    <definedName name="_xlnm.Print_Area" localSheetId="1">Справка!$A$1:$FB$31</definedName>
    <definedName name="_xlnm.Print_Area" localSheetId="4">Сун!$A$1:$F$105</definedName>
    <definedName name="_xlnm.Print_Area" localSheetId="11">Тор!$A$1:$F$101</definedName>
    <definedName name="_xlnm.Print_Area" localSheetId="13">Чум!$A$1:$F$101</definedName>
    <definedName name="_xlnm.Print_Area" localSheetId="15">Юнг!$A$1:$F$100</definedName>
    <definedName name="_xlnm.Print_Area" localSheetId="16">Юсь!$A$1:$F$102</definedName>
    <definedName name="_xlnm.Print_Area" localSheetId="17">Яра!$A$1:$F$102</definedName>
  </definedNames>
  <calcPr calcId="125725"/>
  <customWorkbookViews>
    <customWorkbookView name="morgau_fin2 - Личное представление" guid="{B30CE22D-C12F-4E12-8BB9-3AAE0A6991CC}" mergeInterval="0" personalView="1" maximized="1" xWindow="1" yWindow="1" windowWidth="1676" windowHeight="850" tabRatio="695" activeSheetId="1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morgau_fin3 - Личное представление" guid="{61528DAC-5C4C-48F4-ADE2-8A724B05A086}" mergeInterval="0" personalView="1" maximized="1" xWindow="1" yWindow="1" windowWidth="1916" windowHeight="850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D26" i="1"/>
  <c r="G29"/>
  <c r="D29"/>
  <c r="K25"/>
  <c r="K26"/>
  <c r="K27"/>
  <c r="H25"/>
  <c r="H26"/>
  <c r="H27"/>
  <c r="E27"/>
  <c r="C26"/>
  <c r="D25"/>
  <c r="BR23" i="2"/>
  <c r="BR27"/>
  <c r="F34" i="17"/>
  <c r="E34"/>
  <c r="E97" i="3"/>
  <c r="F97"/>
  <c r="D62"/>
  <c r="C34"/>
  <c r="D74" i="13"/>
  <c r="D34" i="10"/>
  <c r="D77" i="15"/>
  <c r="C41" i="18"/>
  <c r="E26" i="1" l="1"/>
  <c r="D73" i="4"/>
  <c r="D53" i="13" l="1"/>
  <c r="C36" i="19"/>
  <c r="D36"/>
  <c r="BU29" i="2" s="1"/>
  <c r="F5" i="22"/>
  <c r="F6"/>
  <c r="F7"/>
  <c r="F8"/>
  <c r="F9"/>
  <c r="F10"/>
  <c r="F11"/>
  <c r="F12"/>
  <c r="F13"/>
  <c r="F14"/>
  <c r="F15"/>
  <c r="F16"/>
  <c r="F17"/>
  <c r="F18"/>
  <c r="F19"/>
  <c r="F4"/>
  <c r="D5"/>
  <c r="D6"/>
  <c r="D7"/>
  <c r="D8"/>
  <c r="D9"/>
  <c r="D10"/>
  <c r="D11"/>
  <c r="D12"/>
  <c r="D13"/>
  <c r="D14"/>
  <c r="D15"/>
  <c r="D16"/>
  <c r="D17"/>
  <c r="D18"/>
  <c r="D19"/>
  <c r="D4"/>
  <c r="CU28" i="2"/>
  <c r="D30" i="6"/>
  <c r="E32"/>
  <c r="F32"/>
  <c r="D30" i="5"/>
  <c r="BC15" i="2" s="1"/>
  <c r="C73" i="4"/>
  <c r="E69"/>
  <c r="F69"/>
  <c r="CG19" i="2"/>
  <c r="CF19"/>
  <c r="CY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R19" i="2"/>
  <c r="C22" i="1"/>
  <c r="CS17" i="2"/>
  <c r="CS14"/>
  <c r="BQ20"/>
  <c r="D66" i="15"/>
  <c r="F71"/>
  <c r="E71"/>
  <c r="C34" i="16"/>
  <c r="BQ26" i="2" s="1"/>
  <c r="F70" i="7"/>
  <c r="E70"/>
  <c r="D66" i="11"/>
  <c r="D36" i="6"/>
  <c r="C36"/>
  <c r="BQ16" i="2" s="1"/>
  <c r="F37" i="6"/>
  <c r="E37"/>
  <c r="D64" i="19"/>
  <c r="D31"/>
  <c r="C31"/>
  <c r="BH29" i="2" s="1"/>
  <c r="E46" i="19"/>
  <c r="C78" i="3"/>
  <c r="CJ19" i="2"/>
  <c r="CI19"/>
  <c r="CJ17"/>
  <c r="CI17"/>
  <c r="CG17"/>
  <c r="CF17"/>
  <c r="D67" i="17"/>
  <c r="D65" i="16"/>
  <c r="D66" i="14"/>
  <c r="D63" i="13"/>
  <c r="D66" i="10"/>
  <c r="D66" i="8"/>
  <c r="D65" i="7"/>
  <c r="D34" i="3"/>
  <c r="C57" i="17"/>
  <c r="D40" i="7"/>
  <c r="C62" i="3"/>
  <c r="D54" i="19"/>
  <c r="CP14" i="2"/>
  <c r="D37" i="13"/>
  <c r="BS23" i="2"/>
  <c r="BS27"/>
  <c r="BS14"/>
  <c r="D82" i="18"/>
  <c r="D94" i="3"/>
  <c r="C94"/>
  <c r="F95"/>
  <c r="E95"/>
  <c r="CR17" i="2"/>
  <c r="CR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U19" i="2"/>
  <c r="AE28"/>
  <c r="BC17"/>
  <c r="BC19"/>
  <c r="BC20"/>
  <c r="BC21"/>
  <c r="BC24"/>
  <c r="BC26"/>
  <c r="BC27"/>
  <c r="BC28"/>
  <c r="C66" i="8"/>
  <c r="F71"/>
  <c r="E71"/>
  <c r="DI33" i="2"/>
  <c r="C67" i="9"/>
  <c r="C40"/>
  <c r="C66" i="12"/>
  <c r="E65" i="11"/>
  <c r="C66"/>
  <c r="C66" i="10"/>
  <c r="C65" i="7"/>
  <c r="C63" i="13"/>
  <c r="C67" i="17"/>
  <c r="C65" i="16"/>
  <c r="C66" i="15"/>
  <c r="C66" i="14"/>
  <c r="F71"/>
  <c r="E71"/>
  <c r="C64" i="19"/>
  <c r="D26"/>
  <c r="BH28" i="2"/>
  <c r="D71" i="7"/>
  <c r="D83" i="9"/>
  <c r="D26" i="6"/>
  <c r="E44" i="14"/>
  <c r="F42" i="5" l="1"/>
  <c r="E42"/>
  <c r="D25" i="4"/>
  <c r="C25"/>
  <c r="CT17" i="2"/>
  <c r="CT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CY26" i="2"/>
  <c r="AW18"/>
  <c r="AT18"/>
  <c r="C74" i="3" l="1"/>
  <c r="F61"/>
  <c r="E61"/>
  <c r="D74"/>
  <c r="F73" s="1"/>
  <c r="E73"/>
  <c r="C34" i="11"/>
  <c r="BQ21" i="2" s="1"/>
  <c r="C82" i="12"/>
  <c r="C39" i="17"/>
  <c r="D12" i="19"/>
  <c r="D67" i="18" l="1"/>
  <c r="E41" i="13"/>
  <c r="D82" i="12"/>
  <c r="D64"/>
  <c r="D69" i="6"/>
  <c r="C69"/>
  <c r="E74"/>
  <c r="F74"/>
  <c r="G34" i="1" l="1"/>
  <c r="E49" i="9"/>
  <c r="D5" i="5"/>
  <c r="C29" i="12"/>
  <c r="M15" i="2"/>
  <c r="D12" i="7"/>
  <c r="CG14" i="2"/>
  <c r="CV17"/>
  <c r="AW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U17" i="2"/>
  <c r="C40" i="7"/>
  <c r="D43" i="6"/>
  <c r="C43"/>
  <c r="CV16" i="2"/>
  <c r="CU16"/>
  <c r="BT14"/>
  <c r="E53" i="6"/>
  <c r="F53"/>
  <c r="BU14" i="2"/>
  <c r="CY22"/>
  <c r="CY21"/>
  <c r="D41" i="12"/>
  <c r="E49"/>
  <c r="F49"/>
  <c r="D40" i="11"/>
  <c r="CV23" i="2" l="1"/>
  <c r="CV19"/>
  <c r="CV18"/>
  <c r="CV14" l="1"/>
  <c r="D40" i="10"/>
  <c r="D40" i="9"/>
  <c r="D40" i="8"/>
  <c r="D17" i="15"/>
  <c r="CV29" i="2"/>
  <c r="CU29"/>
  <c r="CV27"/>
  <c r="CV25"/>
  <c r="CV24"/>
  <c r="CV22"/>
  <c r="CV21"/>
  <c r="D41" i="15"/>
  <c r="D37" i="14"/>
  <c r="BU24" i="2" s="1"/>
  <c r="D41" i="14"/>
  <c r="D39" i="17"/>
  <c r="CU23" i="2"/>
  <c r="E9" i="12"/>
  <c r="F34" i="5" l="1"/>
  <c r="AH14" i="2"/>
  <c r="CU14"/>
  <c r="CW14" s="1"/>
  <c r="CU27"/>
  <c r="CW27" s="1"/>
  <c r="CU25"/>
  <c r="CW25" s="1"/>
  <c r="CU24"/>
  <c r="CW24" s="1"/>
  <c r="CU21"/>
  <c r="CW21" s="1"/>
  <c r="CU18"/>
  <c r="CW18" s="1"/>
  <c r="CV15"/>
  <c r="CU15"/>
  <c r="F79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BC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7" i="6"/>
  <c r="F47"/>
  <c r="E48"/>
  <c r="F48"/>
  <c r="E46" i="5"/>
  <c r="F46"/>
  <c r="CU22" i="2"/>
  <c r="CW22" s="1"/>
  <c r="CY14"/>
  <c r="C55" i="7"/>
  <c r="G35" i="1"/>
  <c r="F35"/>
  <c r="G20"/>
  <c r="D20" i="14"/>
  <c r="E75" i="11"/>
  <c r="E34" i="10"/>
  <c r="F34"/>
  <c r="E35"/>
  <c r="F35"/>
  <c r="D81" i="8"/>
  <c r="EO18" i="2" s="1"/>
  <c r="C77" i="8"/>
  <c r="EK18" i="2" s="1"/>
  <c r="C72" i="8"/>
  <c r="EH18" i="2" s="1"/>
  <c r="E35" i="11"/>
  <c r="F35"/>
  <c r="E34"/>
  <c r="F34"/>
  <c r="E33"/>
  <c r="C7" i="8"/>
  <c r="D7" i="5"/>
  <c r="C52" i="4"/>
  <c r="BR21" i="2"/>
  <c r="BS21" s="1"/>
  <c r="D96" i="12"/>
  <c r="EU22" i="2" s="1"/>
  <c r="F35" i="16"/>
  <c r="E35"/>
  <c r="D34"/>
  <c r="E34" s="1"/>
  <c r="D12" i="13"/>
  <c r="D5"/>
  <c r="D78"/>
  <c r="EO23" i="2" s="1"/>
  <c r="EL23"/>
  <c r="D61" i="13"/>
  <c r="D69"/>
  <c r="EI23" i="2" s="1"/>
  <c r="D24" i="13"/>
  <c r="AT27" i="2"/>
  <c r="AT25"/>
  <c r="AT19"/>
  <c r="AU19" s="1"/>
  <c r="AT17"/>
  <c r="AW29"/>
  <c r="AX29" s="1"/>
  <c r="BX32"/>
  <c r="BX33" s="1"/>
  <c r="E88" i="16"/>
  <c r="C81" i="14"/>
  <c r="EN24" i="2" s="1"/>
  <c r="E15" i="14"/>
  <c r="C74" i="13"/>
  <c r="EK23" i="2" s="1"/>
  <c r="E42" i="10"/>
  <c r="F42"/>
  <c r="BR19" i="2"/>
  <c r="F76" i="9"/>
  <c r="F35"/>
  <c r="E35"/>
  <c r="D34"/>
  <c r="C34"/>
  <c r="BQ19" i="2" s="1"/>
  <c r="E36" i="18"/>
  <c r="F36"/>
  <c r="E48" i="16"/>
  <c r="F48"/>
  <c r="E46"/>
  <c r="E47"/>
  <c r="E42"/>
  <c r="F42"/>
  <c r="C34" i="15"/>
  <c r="BQ25" i="2" s="1"/>
  <c r="E36" i="15"/>
  <c r="F36"/>
  <c r="BR25" i="2"/>
  <c r="E70" i="14"/>
  <c r="D34"/>
  <c r="BR24" i="2" s="1"/>
  <c r="BS24" s="1"/>
  <c r="C34" i="14"/>
  <c r="E36" i="12"/>
  <c r="F36"/>
  <c r="C35"/>
  <c r="BQ22" i="2" s="1"/>
  <c r="E42" i="11"/>
  <c r="F42"/>
  <c r="E42" i="8"/>
  <c r="F42"/>
  <c r="E86" i="7"/>
  <c r="BU17" i="2"/>
  <c r="E42" i="7"/>
  <c r="F42"/>
  <c r="E35"/>
  <c r="F35"/>
  <c r="E60" i="6"/>
  <c r="F60"/>
  <c r="E51"/>
  <c r="E61" i="5"/>
  <c r="E62"/>
  <c r="E63"/>
  <c r="C5"/>
  <c r="C7"/>
  <c r="E29"/>
  <c r="E31"/>
  <c r="F28"/>
  <c r="E28"/>
  <c r="E45" i="4"/>
  <c r="DQ14" i="2"/>
  <c r="DT29"/>
  <c r="DT24"/>
  <c r="DT22"/>
  <c r="DT21"/>
  <c r="DT18"/>
  <c r="DT16"/>
  <c r="DT14"/>
  <c r="D17" i="12"/>
  <c r="D5" i="8"/>
  <c r="D5" i="6"/>
  <c r="D56" i="12"/>
  <c r="D35"/>
  <c r="BR22" i="2" s="1"/>
  <c r="BS22" s="1"/>
  <c r="CV26"/>
  <c r="CU26"/>
  <c r="CV28"/>
  <c r="D78" i="18"/>
  <c r="EL28" i="2" s="1"/>
  <c r="D41" i="18"/>
  <c r="E51"/>
  <c r="F51"/>
  <c r="D34" i="7"/>
  <c r="BR17" i="2" s="1"/>
  <c r="C34" i="7"/>
  <c r="BQ17" i="2" s="1"/>
  <c r="G15" i="1"/>
  <c r="D62" i="19"/>
  <c r="EC29" i="2" s="1"/>
  <c r="D39" i="19"/>
  <c r="D35" i="18"/>
  <c r="BR28" i="2" s="1"/>
  <c r="BR20"/>
  <c r="BS20" s="1"/>
  <c r="D88" i="14"/>
  <c r="EU24" i="2" s="1"/>
  <c r="D36" i="8"/>
  <c r="BU18" i="2" s="1"/>
  <c r="E27" i="19"/>
  <c r="E56" i="16"/>
  <c r="E57"/>
  <c r="E58"/>
  <c r="E59"/>
  <c r="AT29" i="2"/>
  <c r="AT14"/>
  <c r="CO18"/>
  <c r="AV17"/>
  <c r="AD24"/>
  <c r="G37" i="1"/>
  <c r="D37" s="1"/>
  <c r="EF18" i="2"/>
  <c r="EE18"/>
  <c r="C14" i="14"/>
  <c r="F15" s="1"/>
  <c r="F35" i="15"/>
  <c r="E35"/>
  <c r="CL16" i="2"/>
  <c r="CL29"/>
  <c r="CL28"/>
  <c r="CL27"/>
  <c r="CL26"/>
  <c r="CL25"/>
  <c r="CL24"/>
  <c r="CL23"/>
  <c r="CL22"/>
  <c r="CL21"/>
  <c r="CL20"/>
  <c r="CL19"/>
  <c r="CL18"/>
  <c r="CL17"/>
  <c r="CL15"/>
  <c r="CL14"/>
  <c r="L29"/>
  <c r="S25"/>
  <c r="AQ25"/>
  <c r="CS28"/>
  <c r="CS26"/>
  <c r="CS25"/>
  <c r="CS24"/>
  <c r="CS23"/>
  <c r="CS22"/>
  <c r="CS16"/>
  <c r="BH14"/>
  <c r="BB28"/>
  <c r="BB27"/>
  <c r="BB24"/>
  <c r="BD24" s="1"/>
  <c r="BB21"/>
  <c r="BB20"/>
  <c r="BB19"/>
  <c r="BB17"/>
  <c r="BD17" s="1"/>
  <c r="BB15"/>
  <c r="BB26"/>
  <c r="AV24"/>
  <c r="AT26"/>
  <c r="AT24"/>
  <c r="AT22"/>
  <c r="AT16"/>
  <c r="AT15"/>
  <c r="D88" i="15"/>
  <c r="EU25" i="2" s="1"/>
  <c r="D20" i="12"/>
  <c r="AN22" i="2" s="1"/>
  <c r="AO22" s="1"/>
  <c r="C20" i="12"/>
  <c r="D26" i="5"/>
  <c r="AS27" i="2"/>
  <c r="CR28"/>
  <c r="CR26"/>
  <c r="CF26"/>
  <c r="CR24"/>
  <c r="CR23"/>
  <c r="CR22"/>
  <c r="CR16"/>
  <c r="D70" i="19"/>
  <c r="EI29" i="2" s="1"/>
  <c r="D63" i="16"/>
  <c r="D55"/>
  <c r="D76"/>
  <c r="D71"/>
  <c r="EI26" i="2" s="1"/>
  <c r="EF25"/>
  <c r="D7" i="7"/>
  <c r="F40"/>
  <c r="D26"/>
  <c r="D17" i="5"/>
  <c r="EI14" i="2"/>
  <c r="DT20"/>
  <c r="DT17"/>
  <c r="D5" i="15"/>
  <c r="D5" i="9"/>
  <c r="C35" i="18"/>
  <c r="BQ28" i="2" s="1"/>
  <c r="C34" i="8"/>
  <c r="BQ18" i="2" s="1"/>
  <c r="AS18"/>
  <c r="AW19"/>
  <c r="AV18"/>
  <c r="F20" i="1"/>
  <c r="EC22" i="2"/>
  <c r="AT21"/>
  <c r="D65" i="17"/>
  <c r="D56" i="15"/>
  <c r="D37" i="12"/>
  <c r="BU22" i="2" s="1"/>
  <c r="E15" i="5"/>
  <c r="E16"/>
  <c r="G9" i="1"/>
  <c r="D9" s="1"/>
  <c r="BH22" i="2"/>
  <c r="D31" i="7"/>
  <c r="M14" i="2"/>
  <c r="M16"/>
  <c r="M17"/>
  <c r="M18"/>
  <c r="M19"/>
  <c r="M20"/>
  <c r="M21"/>
  <c r="M22"/>
  <c r="M23"/>
  <c r="M24"/>
  <c r="M25"/>
  <c r="M26"/>
  <c r="M27"/>
  <c r="M28"/>
  <c r="M29"/>
  <c r="BL18"/>
  <c r="BL31" s="1"/>
  <c r="BL32" s="1"/>
  <c r="BL33" s="1"/>
  <c r="BM18"/>
  <c r="BN18"/>
  <c r="BO18"/>
  <c r="BP18"/>
  <c r="EF24"/>
  <c r="D5" i="14"/>
  <c r="D65" i="18"/>
  <c r="EC28" i="2" s="1"/>
  <c r="D12" i="5"/>
  <c r="E48"/>
  <c r="F48"/>
  <c r="C74"/>
  <c r="L14" i="2"/>
  <c r="AS26"/>
  <c r="AS25"/>
  <c r="AS24"/>
  <c r="AS22"/>
  <c r="AS17"/>
  <c r="AS14"/>
  <c r="AV26"/>
  <c r="AV22"/>
  <c r="AV21"/>
  <c r="G11" i="1"/>
  <c r="D11" s="1"/>
  <c r="G5"/>
  <c r="G40"/>
  <c r="C96" i="12"/>
  <c r="ET22" i="2" s="1"/>
  <c r="D7" i="16"/>
  <c r="E42" i="9"/>
  <c r="F42"/>
  <c r="EU14" i="2"/>
  <c r="EO14"/>
  <c r="EK14"/>
  <c r="EE14"/>
  <c r="D52" i="4"/>
  <c r="D36" i="16"/>
  <c r="G43" i="1"/>
  <c r="D17" i="19"/>
  <c r="D33" i="5"/>
  <c r="BI15" i="2" s="1"/>
  <c r="D64" i="11"/>
  <c r="D56"/>
  <c r="DN21" i="2" s="1"/>
  <c r="D87" i="7"/>
  <c r="EU17" i="2" s="1"/>
  <c r="D82" i="7"/>
  <c r="ER17" i="2" s="1"/>
  <c r="D80" i="7"/>
  <c r="EO17" i="2" s="1"/>
  <c r="D76" i="7"/>
  <c r="EL17" i="2" s="1"/>
  <c r="EF17"/>
  <c r="D63" i="7"/>
  <c r="D55"/>
  <c r="D64" i="10"/>
  <c r="AV28" i="2"/>
  <c r="AV27"/>
  <c r="AV25"/>
  <c r="AV23"/>
  <c r="AV20"/>
  <c r="AV16"/>
  <c r="AV15"/>
  <c r="AV14"/>
  <c r="AS28"/>
  <c r="AS23"/>
  <c r="AS20"/>
  <c r="D7" i="13"/>
  <c r="D14"/>
  <c r="C14" i="12"/>
  <c r="AB14" i="2"/>
  <c r="AB15"/>
  <c r="AB16"/>
  <c r="AB18"/>
  <c r="AB20"/>
  <c r="AB21"/>
  <c r="AB22"/>
  <c r="AB23"/>
  <c r="AB24"/>
  <c r="AB25"/>
  <c r="AB26"/>
  <c r="AB27"/>
  <c r="AB28"/>
  <c r="AB29"/>
  <c r="DY16"/>
  <c r="CS29"/>
  <c r="CR29"/>
  <c r="DQ24"/>
  <c r="DQ25"/>
  <c r="DQ23"/>
  <c r="DQ22"/>
  <c r="DQ26"/>
  <c r="DQ21"/>
  <c r="DQ20"/>
  <c r="DQ29"/>
  <c r="DQ28"/>
  <c r="DQ27"/>
  <c r="DQ19"/>
  <c r="DQ18"/>
  <c r="DQ17"/>
  <c r="DQ16"/>
  <c r="DQ15"/>
  <c r="DS17"/>
  <c r="G31" i="1"/>
  <c r="D26" i="16"/>
  <c r="D67" i="9"/>
  <c r="D57"/>
  <c r="AG23" i="2"/>
  <c r="L23"/>
  <c r="O23"/>
  <c r="L24"/>
  <c r="AG24"/>
  <c r="AT28"/>
  <c r="AT23"/>
  <c r="AT20"/>
  <c r="AS21"/>
  <c r="AS15"/>
  <c r="E43" i="14"/>
  <c r="F43"/>
  <c r="C26" i="6"/>
  <c r="C66" i="5"/>
  <c r="DH23" i="2"/>
  <c r="DH31" s="1"/>
  <c r="D78" i="17"/>
  <c r="EL27" i="2" s="1"/>
  <c r="D78" i="12"/>
  <c r="D73" i="9"/>
  <c r="G12" i="1"/>
  <c r="C89" i="17"/>
  <c r="ET27" i="2" s="1"/>
  <c r="DS14"/>
  <c r="D26" i="17"/>
  <c r="D32" i="18"/>
  <c r="C78" i="13"/>
  <c r="EN23" i="2" s="1"/>
  <c r="C26" i="11"/>
  <c r="C26" i="8"/>
  <c r="C33" i="6"/>
  <c r="E67" i="18"/>
  <c r="C64" i="15"/>
  <c r="C81" i="8"/>
  <c r="E83"/>
  <c r="F83"/>
  <c r="CJ23" i="2"/>
  <c r="CI23"/>
  <c r="F39" i="13"/>
  <c r="F40"/>
  <c r="E39"/>
  <c r="E40"/>
  <c r="CJ27" i="2"/>
  <c r="CI27"/>
  <c r="F41" i="17"/>
  <c r="E41"/>
  <c r="CS27" i="2"/>
  <c r="D7" i="10"/>
  <c r="D7" i="8"/>
  <c r="C29" i="13"/>
  <c r="EO22" i="2"/>
  <c r="EN22"/>
  <c r="D95" i="8"/>
  <c r="EX18" i="2" s="1"/>
  <c r="D67" i="6"/>
  <c r="D66" i="5"/>
  <c r="CR27" i="2"/>
  <c r="D81" i="11"/>
  <c r="EO21" i="2" s="1"/>
  <c r="D65" i="9"/>
  <c r="F44" i="17"/>
  <c r="F45"/>
  <c r="F47"/>
  <c r="F48"/>
  <c r="F49"/>
  <c r="F50"/>
  <c r="E44"/>
  <c r="E45"/>
  <c r="E47"/>
  <c r="E48"/>
  <c r="E49"/>
  <c r="E50"/>
  <c r="D17" i="18"/>
  <c r="CS21" i="2"/>
  <c r="E75" i="12"/>
  <c r="F75"/>
  <c r="CR21" i="2"/>
  <c r="CR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Q19" i="2" s="1"/>
  <c r="EF27"/>
  <c r="F78" i="11"/>
  <c r="F79"/>
  <c r="E78"/>
  <c r="E79"/>
  <c r="D91" i="9"/>
  <c r="ER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C29" i="2" s="1"/>
  <c r="BD29" s="1"/>
  <c r="E30" i="19"/>
  <c r="F30"/>
  <c r="E32"/>
  <c r="F32"/>
  <c r="E33"/>
  <c r="F33"/>
  <c r="C34"/>
  <c r="BQ29" i="2" s="1"/>
  <c r="BR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F29" i="2"/>
  <c r="E65" i="19"/>
  <c r="F65"/>
  <c r="E66"/>
  <c r="F66"/>
  <c r="E67"/>
  <c r="F67"/>
  <c r="E68"/>
  <c r="F68"/>
  <c r="E71"/>
  <c r="F71"/>
  <c r="E72"/>
  <c r="F72"/>
  <c r="E74"/>
  <c r="F74"/>
  <c r="D75"/>
  <c r="EL29" i="2" s="1"/>
  <c r="E76" i="19"/>
  <c r="F76"/>
  <c r="E77"/>
  <c r="F77"/>
  <c r="E78"/>
  <c r="C79"/>
  <c r="D79"/>
  <c r="EO29" i="2" s="1"/>
  <c r="E80" i="19"/>
  <c r="F80"/>
  <c r="C81"/>
  <c r="EQ29" i="2" s="1"/>
  <c r="D81" i="19"/>
  <c r="ER29" i="2" s="1"/>
  <c r="E82" i="19"/>
  <c r="F82"/>
  <c r="E83"/>
  <c r="F83"/>
  <c r="E84"/>
  <c r="F84"/>
  <c r="F85"/>
  <c r="C86"/>
  <c r="D86"/>
  <c r="EU29" i="2" s="1"/>
  <c r="E87" i="19"/>
  <c r="F87"/>
  <c r="E88"/>
  <c r="F88"/>
  <c r="E89"/>
  <c r="E90"/>
  <c r="E91"/>
  <c r="C92"/>
  <c r="D92"/>
  <c r="EX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T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I28" i="2"/>
  <c r="E75" i="18"/>
  <c r="F75"/>
  <c r="E76"/>
  <c r="F76"/>
  <c r="C78"/>
  <c r="E79"/>
  <c r="F79"/>
  <c r="E80"/>
  <c r="F80"/>
  <c r="E81"/>
  <c r="F81"/>
  <c r="C82"/>
  <c r="EN28" i="2" s="1"/>
  <c r="E83" i="18"/>
  <c r="F83"/>
  <c r="C84"/>
  <c r="EQ28" i="2" s="1"/>
  <c r="D84" i="18"/>
  <c r="ER28" i="2" s="1"/>
  <c r="E85" i="18"/>
  <c r="F85"/>
  <c r="E86"/>
  <c r="F86"/>
  <c r="E87"/>
  <c r="F87"/>
  <c r="F88"/>
  <c r="D89"/>
  <c r="EU28" i="2" s="1"/>
  <c r="E90" i="18"/>
  <c r="E91"/>
  <c r="F91"/>
  <c r="E92"/>
  <c r="E93"/>
  <c r="E94"/>
  <c r="C95"/>
  <c r="EW28" i="2" s="1"/>
  <c r="D95" i="18"/>
  <c r="EX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I27" i="2" s="1"/>
  <c r="C26" i="17"/>
  <c r="E27"/>
  <c r="F27"/>
  <c r="E28"/>
  <c r="F28"/>
  <c r="C29"/>
  <c r="D29"/>
  <c r="E30"/>
  <c r="F30"/>
  <c r="C31"/>
  <c r="BH27" i="2" s="1"/>
  <c r="E32" i="17"/>
  <c r="F32"/>
  <c r="E33"/>
  <c r="F33"/>
  <c r="C35"/>
  <c r="BT27" i="2" s="1"/>
  <c r="D35" i="17"/>
  <c r="BU27" i="2" s="1"/>
  <c r="E36" i="17"/>
  <c r="F36"/>
  <c r="E37"/>
  <c r="F37"/>
  <c r="F40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I27" i="2" s="1"/>
  <c r="E75" i="17"/>
  <c r="F75"/>
  <c r="E76"/>
  <c r="F76"/>
  <c r="E77"/>
  <c r="F77"/>
  <c r="C78"/>
  <c r="E79"/>
  <c r="F79"/>
  <c r="E80"/>
  <c r="F80"/>
  <c r="E81"/>
  <c r="F81"/>
  <c r="D82"/>
  <c r="C84"/>
  <c r="D84"/>
  <c r="ER27" i="2" s="1"/>
  <c r="E85" i="17"/>
  <c r="F85"/>
  <c r="E86"/>
  <c r="F86"/>
  <c r="E87"/>
  <c r="F87"/>
  <c r="F88"/>
  <c r="D89"/>
  <c r="EU27" i="2" s="1"/>
  <c r="F90" i="17"/>
  <c r="E91"/>
  <c r="F91"/>
  <c r="E92"/>
  <c r="E93"/>
  <c r="E94"/>
  <c r="C95"/>
  <c r="EW27" i="2" s="1"/>
  <c r="D95" i="17"/>
  <c r="EX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I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K26" i="2" s="1"/>
  <c r="E77" i="16"/>
  <c r="F77"/>
  <c r="E78"/>
  <c r="F78"/>
  <c r="E79"/>
  <c r="F79"/>
  <c r="C80"/>
  <c r="EN26" i="2" s="1"/>
  <c r="D80" i="16"/>
  <c r="EO26" i="2" s="1"/>
  <c r="E81" i="16"/>
  <c r="F81"/>
  <c r="C82"/>
  <c r="EQ26" i="2" s="1"/>
  <c r="D82" i="16"/>
  <c r="E83"/>
  <c r="F83"/>
  <c r="E84"/>
  <c r="F84"/>
  <c r="E85"/>
  <c r="F85"/>
  <c r="F86"/>
  <c r="C87"/>
  <c r="ET26" i="2" s="1"/>
  <c r="D87" i="16"/>
  <c r="F88"/>
  <c r="E89"/>
  <c r="F89"/>
  <c r="E90"/>
  <c r="E91"/>
  <c r="E92"/>
  <c r="C93"/>
  <c r="EW26" i="2" s="1"/>
  <c r="D93" i="16"/>
  <c r="EX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B25" i="2" s="1"/>
  <c r="D29" i="15"/>
  <c r="BC25" i="2" s="1"/>
  <c r="E30" i="15"/>
  <c r="F30"/>
  <c r="C31"/>
  <c r="BH25" i="2" s="1"/>
  <c r="D31" i="15"/>
  <c r="BI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I25" i="2" s="1"/>
  <c r="E73" i="15"/>
  <c r="F73"/>
  <c r="E74"/>
  <c r="F74"/>
  <c r="F75"/>
  <c r="E76"/>
  <c r="F76"/>
  <c r="EL25" i="2"/>
  <c r="E78" i="15"/>
  <c r="F78"/>
  <c r="E79"/>
  <c r="F79"/>
  <c r="C81"/>
  <c r="EN25" i="2" s="1"/>
  <c r="D81" i="15"/>
  <c r="EO25" i="2" s="1"/>
  <c r="E82" i="15"/>
  <c r="F82"/>
  <c r="C83"/>
  <c r="EQ25" i="2" s="1"/>
  <c r="D83" i="15"/>
  <c r="C88"/>
  <c r="ET25" i="2" s="1"/>
  <c r="E89" i="15"/>
  <c r="F89"/>
  <c r="E90"/>
  <c r="F90"/>
  <c r="E91"/>
  <c r="E92"/>
  <c r="E93"/>
  <c r="C94"/>
  <c r="EW25" i="2" s="1"/>
  <c r="D94" i="15"/>
  <c r="EX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I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E24" i="2"/>
  <c r="E67" i="14"/>
  <c r="F67"/>
  <c r="E68"/>
  <c r="F68"/>
  <c r="E69"/>
  <c r="F69"/>
  <c r="F70"/>
  <c r="D72"/>
  <c r="EI24" i="2" s="1"/>
  <c r="E73" i="14"/>
  <c r="F73"/>
  <c r="E74"/>
  <c r="F74"/>
  <c r="E75"/>
  <c r="E76"/>
  <c r="F76"/>
  <c r="D77"/>
  <c r="EL24" i="2" s="1"/>
  <c r="E79" i="14"/>
  <c r="F79"/>
  <c r="E80"/>
  <c r="F80"/>
  <c r="EO24" i="2"/>
  <c r="E82" i="14"/>
  <c r="F82"/>
  <c r="C83"/>
  <c r="EQ24" i="2" s="1"/>
  <c r="D83" i="14"/>
  <c r="ER24" i="2" s="1"/>
  <c r="E84" i="14"/>
  <c r="F84"/>
  <c r="E85"/>
  <c r="F85"/>
  <c r="E86"/>
  <c r="F86"/>
  <c r="F87"/>
  <c r="C88"/>
  <c r="ET24" i="2" s="1"/>
  <c r="E89" i="14"/>
  <c r="F89"/>
  <c r="E90"/>
  <c r="F90"/>
  <c r="E91"/>
  <c r="E92"/>
  <c r="E93"/>
  <c r="C94"/>
  <c r="D94"/>
  <c r="EX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B23" i="2" s="1"/>
  <c r="D27" i="13"/>
  <c r="BC23" i="2" s="1"/>
  <c r="E28" i="13"/>
  <c r="F28"/>
  <c r="D29"/>
  <c r="E30"/>
  <c r="F30"/>
  <c r="E31"/>
  <c r="F31"/>
  <c r="C33"/>
  <c r="BT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E23" i="2"/>
  <c r="EF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Q23" i="2" s="1"/>
  <c r="D80" i="13"/>
  <c r="E81"/>
  <c r="F81"/>
  <c r="E82"/>
  <c r="F82"/>
  <c r="E83"/>
  <c r="F83"/>
  <c r="F84"/>
  <c r="C85"/>
  <c r="ET23" i="2" s="1"/>
  <c r="D85" i="13"/>
  <c r="EU23" i="2" s="1"/>
  <c r="E86" i="13"/>
  <c r="F86"/>
  <c r="E87"/>
  <c r="F87"/>
  <c r="E88"/>
  <c r="E89"/>
  <c r="E90"/>
  <c r="C91"/>
  <c r="EW23" i="2" s="1"/>
  <c r="D91" i="13"/>
  <c r="EX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B22" i="2"/>
  <c r="E30" i="12"/>
  <c r="F30"/>
  <c r="C32"/>
  <c r="D32"/>
  <c r="BI22" i="2" s="1"/>
  <c r="E33" i="12"/>
  <c r="F33"/>
  <c r="E34"/>
  <c r="F34"/>
  <c r="C37"/>
  <c r="BT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E22" i="2"/>
  <c r="EF22"/>
  <c r="E67" i="12"/>
  <c r="F67"/>
  <c r="E68"/>
  <c r="F68"/>
  <c r="E69"/>
  <c r="F69"/>
  <c r="E70"/>
  <c r="F70"/>
  <c r="D72"/>
  <c r="EI22" i="2" s="1"/>
  <c r="F73" i="12"/>
  <c r="E74"/>
  <c r="F74"/>
  <c r="F76"/>
  <c r="F77"/>
  <c r="C78"/>
  <c r="EK22" i="2" s="1"/>
  <c r="E79" i="12"/>
  <c r="F79"/>
  <c r="E80"/>
  <c r="F80"/>
  <c r="E81"/>
  <c r="F81"/>
  <c r="E83"/>
  <c r="F83"/>
  <c r="C84"/>
  <c r="EQ22" i="2" s="1"/>
  <c r="D84" i="12"/>
  <c r="ER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N21" i="2" s="1"/>
  <c r="E21" i="11"/>
  <c r="F21"/>
  <c r="E22"/>
  <c r="F22"/>
  <c r="E23"/>
  <c r="F23"/>
  <c r="E24"/>
  <c r="F24"/>
  <c r="D36"/>
  <c r="BU21" i="2" s="1"/>
  <c r="E27" i="11"/>
  <c r="F27"/>
  <c r="E28"/>
  <c r="F28"/>
  <c r="C29"/>
  <c r="D29"/>
  <c r="E30"/>
  <c r="F30"/>
  <c r="C31"/>
  <c r="BH21" i="2" s="1"/>
  <c r="D31" i="11"/>
  <c r="BI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E21" i="2"/>
  <c r="E67" i="11"/>
  <c r="F67"/>
  <c r="E68"/>
  <c r="F68"/>
  <c r="E69"/>
  <c r="F69"/>
  <c r="E70"/>
  <c r="F70"/>
  <c r="D72"/>
  <c r="EI21" i="2" s="1"/>
  <c r="E74" i="11"/>
  <c r="F74"/>
  <c r="E76"/>
  <c r="F76"/>
  <c r="C77"/>
  <c r="EK21" i="2" s="1"/>
  <c r="D77" i="11"/>
  <c r="E80"/>
  <c r="F80"/>
  <c r="F82"/>
  <c r="C83"/>
  <c r="EQ21" i="2" s="1"/>
  <c r="D83" i="11"/>
  <c r="E84"/>
  <c r="F84"/>
  <c r="E85"/>
  <c r="F85"/>
  <c r="E86"/>
  <c r="F86"/>
  <c r="F87"/>
  <c r="C88"/>
  <c r="ET21" i="2" s="1"/>
  <c r="D88" i="11"/>
  <c r="EU21" i="2" s="1"/>
  <c r="E89" i="11"/>
  <c r="F89"/>
  <c r="E90"/>
  <c r="F90"/>
  <c r="E91"/>
  <c r="E92"/>
  <c r="E93"/>
  <c r="C94"/>
  <c r="EW21" i="2" s="1"/>
  <c r="D94" i="11"/>
  <c r="EX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T20" i="2" s="1"/>
  <c r="D36" i="10"/>
  <c r="BU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E20" i="2"/>
  <c r="EF20"/>
  <c r="E67" i="10"/>
  <c r="F67"/>
  <c r="E68"/>
  <c r="F68"/>
  <c r="E69"/>
  <c r="F69"/>
  <c r="E70"/>
  <c r="F70"/>
  <c r="D72"/>
  <c r="E73"/>
  <c r="F73"/>
  <c r="E74"/>
  <c r="E75"/>
  <c r="F75"/>
  <c r="E76"/>
  <c r="F76"/>
  <c r="C77"/>
  <c r="EK20" i="2" s="1"/>
  <c r="D77" i="10"/>
  <c r="E78"/>
  <c r="F78"/>
  <c r="E79"/>
  <c r="F79"/>
  <c r="E80"/>
  <c r="F80"/>
  <c r="E81"/>
  <c r="F81"/>
  <c r="C82"/>
  <c r="D82"/>
  <c r="EO20" i="2" s="1"/>
  <c r="E83" i="10"/>
  <c r="F83"/>
  <c r="C84"/>
  <c r="EQ20" i="2" s="1"/>
  <c r="D84" i="10"/>
  <c r="ER20" i="2" s="1"/>
  <c r="E85" i="10"/>
  <c r="F85"/>
  <c r="E86"/>
  <c r="F86"/>
  <c r="E87"/>
  <c r="F87"/>
  <c r="F88"/>
  <c r="C89"/>
  <c r="ET20" i="2" s="1"/>
  <c r="D89" i="10"/>
  <c r="EU20" i="2" s="1"/>
  <c r="E90" i="10"/>
  <c r="F90"/>
  <c r="E91"/>
  <c r="F91"/>
  <c r="E92"/>
  <c r="E93"/>
  <c r="E94"/>
  <c r="C95"/>
  <c r="EW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H19" i="2" s="1"/>
  <c r="D31" i="9"/>
  <c r="BI19" i="2" s="1"/>
  <c r="E32" i="9"/>
  <c r="F32"/>
  <c r="E33"/>
  <c r="F33"/>
  <c r="C36"/>
  <c r="BT19" i="2" s="1"/>
  <c r="D36" i="9"/>
  <c r="BU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E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L19" i="2" s="1"/>
  <c r="E79" i="9"/>
  <c r="F79"/>
  <c r="E80"/>
  <c r="F80"/>
  <c r="F81"/>
  <c r="E82"/>
  <c r="F82"/>
  <c r="C83"/>
  <c r="EN19" i="2" s="1"/>
  <c r="E84" i="9"/>
  <c r="F84"/>
  <c r="E85"/>
  <c r="F85"/>
  <c r="C86"/>
  <c r="D86"/>
  <c r="C93"/>
  <c r="D93"/>
  <c r="EU19" i="2" s="1"/>
  <c r="E94" i="9"/>
  <c r="F94"/>
  <c r="E95"/>
  <c r="F95"/>
  <c r="E96"/>
  <c r="E97"/>
  <c r="E98"/>
  <c r="C99"/>
  <c r="EW19" i="2" s="1"/>
  <c r="D99" i="9"/>
  <c r="EX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C18" i="2" s="1"/>
  <c r="E30" i="8"/>
  <c r="F30"/>
  <c r="C31"/>
  <c r="D31"/>
  <c r="BI18" i="2" s="1"/>
  <c r="E32" i="8"/>
  <c r="F32"/>
  <c r="E33"/>
  <c r="BJ18" i="2" s="1"/>
  <c r="F33" i="8"/>
  <c r="BK18" i="2" s="1"/>
  <c r="BK31" s="1"/>
  <c r="D34" i="8"/>
  <c r="BR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B18" i="2" s="1"/>
  <c r="D64" i="8"/>
  <c r="EC18" i="2" s="1"/>
  <c r="E65" i="8"/>
  <c r="F65"/>
  <c r="E67"/>
  <c r="F67"/>
  <c r="E68"/>
  <c r="F68"/>
  <c r="E69"/>
  <c r="F69"/>
  <c r="E70"/>
  <c r="F70"/>
  <c r="D72"/>
  <c r="EI18" i="2" s="1"/>
  <c r="E73" i="8"/>
  <c r="F73"/>
  <c r="F74"/>
  <c r="E75"/>
  <c r="F75"/>
  <c r="E76"/>
  <c r="F76"/>
  <c r="D77"/>
  <c r="EL18" i="2" s="1"/>
  <c r="E78" i="8"/>
  <c r="F78"/>
  <c r="E79"/>
  <c r="F79"/>
  <c r="E82"/>
  <c r="F82"/>
  <c r="C84"/>
  <c r="EQ18" i="2" s="1"/>
  <c r="D84" i="8"/>
  <c r="E85"/>
  <c r="F85"/>
  <c r="E86"/>
  <c r="F86"/>
  <c r="E87"/>
  <c r="F87"/>
  <c r="F88"/>
  <c r="C89"/>
  <c r="ET18" i="2" s="1"/>
  <c r="D89" i="8"/>
  <c r="EU18" i="2" s="1"/>
  <c r="E90" i="8"/>
  <c r="F90"/>
  <c r="E91"/>
  <c r="F91"/>
  <c r="E92"/>
  <c r="E93"/>
  <c r="E94"/>
  <c r="C95"/>
  <c r="EW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T17" i="2" s="1"/>
  <c r="E88" i="7"/>
  <c r="F88"/>
  <c r="E89"/>
  <c r="F89"/>
  <c r="E90"/>
  <c r="E91"/>
  <c r="E92"/>
  <c r="C93"/>
  <c r="EW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B16" i="2" s="1"/>
  <c r="BC16"/>
  <c r="E31" i="6"/>
  <c r="F31"/>
  <c r="D33"/>
  <c r="BI16" i="2" s="1"/>
  <c r="E34" i="6"/>
  <c r="F34"/>
  <c r="E35"/>
  <c r="F35"/>
  <c r="E38"/>
  <c r="F38"/>
  <c r="D39"/>
  <c r="BU16" i="2" s="1"/>
  <c r="C39" i="6"/>
  <c r="E40"/>
  <c r="E41"/>
  <c r="F41"/>
  <c r="F43"/>
  <c r="E44"/>
  <c r="F44"/>
  <c r="E45"/>
  <c r="F45"/>
  <c r="E46"/>
  <c r="F46"/>
  <c r="E49"/>
  <c r="F49"/>
  <c r="E50"/>
  <c r="F50"/>
  <c r="F51"/>
  <c r="E52"/>
  <c r="F52"/>
  <c r="C59"/>
  <c r="D59"/>
  <c r="E61"/>
  <c r="F61"/>
  <c r="F62"/>
  <c r="E63"/>
  <c r="F63"/>
  <c r="E64"/>
  <c r="F64"/>
  <c r="E65"/>
  <c r="F65"/>
  <c r="E66"/>
  <c r="F66"/>
  <c r="C67"/>
  <c r="E68"/>
  <c r="F68"/>
  <c r="EE16" i="2"/>
  <c r="E70" i="6"/>
  <c r="F70"/>
  <c r="E71"/>
  <c r="F71"/>
  <c r="E72"/>
  <c r="F72"/>
  <c r="E73"/>
  <c r="F73"/>
  <c r="D75"/>
  <c r="EI16" i="2" s="1"/>
  <c r="E76" i="6"/>
  <c r="F76"/>
  <c r="E77"/>
  <c r="F77"/>
  <c r="E79"/>
  <c r="F79"/>
  <c r="C82"/>
  <c r="D82"/>
  <c r="EL16" i="2" s="1"/>
  <c r="E83" i="6"/>
  <c r="F83"/>
  <c r="E84"/>
  <c r="F84"/>
  <c r="E85"/>
  <c r="F85"/>
  <c r="C86"/>
  <c r="EN16" i="2" s="1"/>
  <c r="D86" i="6"/>
  <c r="EO16" i="2" s="1"/>
  <c r="E87" i="6"/>
  <c r="F87"/>
  <c r="C88"/>
  <c r="EQ16" i="2" s="1"/>
  <c r="D88" i="6"/>
  <c r="ER16" i="2" s="1"/>
  <c r="E89" i="6"/>
  <c r="F89"/>
  <c r="E90"/>
  <c r="F90"/>
  <c r="E91"/>
  <c r="F91"/>
  <c r="F92"/>
  <c r="C93"/>
  <c r="ET16" i="2" s="1"/>
  <c r="D93" i="6"/>
  <c r="EU16" i="2" s="1"/>
  <c r="E94" i="6"/>
  <c r="F94"/>
  <c r="E95"/>
  <c r="F95"/>
  <c r="E96"/>
  <c r="E97"/>
  <c r="E98"/>
  <c r="C99"/>
  <c r="D99"/>
  <c r="EX16" i="2" s="1"/>
  <c r="E100" i="6"/>
  <c r="F100"/>
  <c r="E101"/>
  <c r="F101"/>
  <c r="E102"/>
  <c r="F102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H15" i="2" s="1"/>
  <c r="E34" i="5"/>
  <c r="E35"/>
  <c r="F35"/>
  <c r="C36"/>
  <c r="BN15" i="2" s="1"/>
  <c r="D36" i="5"/>
  <c r="BO15" i="2" s="1"/>
  <c r="E37" i="5"/>
  <c r="F37"/>
  <c r="C38"/>
  <c r="BT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I15" i="2" s="1"/>
  <c r="E75" i="5"/>
  <c r="F75"/>
  <c r="E76"/>
  <c r="F76"/>
  <c r="E77"/>
  <c r="E78"/>
  <c r="F78"/>
  <c r="C79"/>
  <c r="D79"/>
  <c r="EL15" i="2" s="1"/>
  <c r="E80" i="5"/>
  <c r="F80"/>
  <c r="E81"/>
  <c r="F81"/>
  <c r="E82"/>
  <c r="E83"/>
  <c r="F83"/>
  <c r="C84"/>
  <c r="EN15" i="2" s="1"/>
  <c r="D84" i="5"/>
  <c r="E85"/>
  <c r="F85"/>
  <c r="E86"/>
  <c r="F86"/>
  <c r="C87"/>
  <c r="EQ15" i="2" s="1"/>
  <c r="D87" i="5"/>
  <c r="ER15" i="2" s="1"/>
  <c r="E88" i="5"/>
  <c r="F88"/>
  <c r="E89"/>
  <c r="F89"/>
  <c r="E90"/>
  <c r="F90"/>
  <c r="E91"/>
  <c r="F91"/>
  <c r="C92"/>
  <c r="ET15" i="2" s="1"/>
  <c r="D92" i="5"/>
  <c r="EU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B14" i="2"/>
  <c r="BC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O14" i="2"/>
  <c r="P14"/>
  <c r="R14"/>
  <c r="S14"/>
  <c r="U14"/>
  <c r="V14"/>
  <c r="X14"/>
  <c r="Y14"/>
  <c r="AA14"/>
  <c r="AD14"/>
  <c r="AE14"/>
  <c r="AG14"/>
  <c r="AJ14"/>
  <c r="AK14"/>
  <c r="AO14"/>
  <c r="AR14"/>
  <c r="AW14"/>
  <c r="BA14"/>
  <c r="BE14"/>
  <c r="BF14"/>
  <c r="BF31" s="1"/>
  <c r="BM14"/>
  <c r="BY14"/>
  <c r="BY31" s="1"/>
  <c r="BY32" s="1"/>
  <c r="BY33" s="1"/>
  <c r="CB14"/>
  <c r="CB31" s="1"/>
  <c r="CF14"/>
  <c r="CI14"/>
  <c r="CJ14"/>
  <c r="CM14"/>
  <c r="CO14"/>
  <c r="DC14"/>
  <c r="DP14"/>
  <c r="DV14"/>
  <c r="DW14"/>
  <c r="DY14"/>
  <c r="DZ14"/>
  <c r="EB14"/>
  <c r="EC14"/>
  <c r="EQ14"/>
  <c r="ER14"/>
  <c r="EW14"/>
  <c r="L15"/>
  <c r="O15"/>
  <c r="P15"/>
  <c r="R15"/>
  <c r="S15"/>
  <c r="U15"/>
  <c r="V15"/>
  <c r="X15"/>
  <c r="Y15"/>
  <c r="AA15"/>
  <c r="AD15"/>
  <c r="AE15"/>
  <c r="AG15"/>
  <c r="AH15"/>
  <c r="AJ15"/>
  <c r="AK15"/>
  <c r="AO15"/>
  <c r="AP15"/>
  <c r="AQ15"/>
  <c r="AW15"/>
  <c r="BA15"/>
  <c r="BM15"/>
  <c r="BY15"/>
  <c r="CB15"/>
  <c r="CF15"/>
  <c r="CG15"/>
  <c r="CI15"/>
  <c r="CJ15"/>
  <c r="CM15"/>
  <c r="CO15"/>
  <c r="CP15"/>
  <c r="CR15"/>
  <c r="CS15"/>
  <c r="DC15"/>
  <c r="DP15"/>
  <c r="DS15"/>
  <c r="DT15"/>
  <c r="DV15"/>
  <c r="DW15"/>
  <c r="DY15"/>
  <c r="DZ15"/>
  <c r="EB15"/>
  <c r="EC15"/>
  <c r="EF15"/>
  <c r="EW15"/>
  <c r="EX15"/>
  <c r="L16"/>
  <c r="O16"/>
  <c r="P16"/>
  <c r="R16"/>
  <c r="S16"/>
  <c r="U16"/>
  <c r="V16"/>
  <c r="X16"/>
  <c r="Y16"/>
  <c r="AA16"/>
  <c r="AD16"/>
  <c r="AE16"/>
  <c r="AG16"/>
  <c r="AH16"/>
  <c r="AJ16"/>
  <c r="AK16"/>
  <c r="AO16"/>
  <c r="AP16"/>
  <c r="AQ16"/>
  <c r="AS16"/>
  <c r="AW16"/>
  <c r="BA16"/>
  <c r="BH16"/>
  <c r="BM16"/>
  <c r="BY16"/>
  <c r="CB16"/>
  <c r="CF16"/>
  <c r="CG16"/>
  <c r="CI16"/>
  <c r="CJ16"/>
  <c r="CM16"/>
  <c r="CO16"/>
  <c r="CP16"/>
  <c r="CW16"/>
  <c r="DC16"/>
  <c r="DP16"/>
  <c r="DS16"/>
  <c r="DV16"/>
  <c r="DW16"/>
  <c r="DZ16"/>
  <c r="EB16"/>
  <c r="EC16"/>
  <c r="L17"/>
  <c r="O17"/>
  <c r="P17"/>
  <c r="R17"/>
  <c r="S17"/>
  <c r="U17"/>
  <c r="V17"/>
  <c r="X17"/>
  <c r="Y17"/>
  <c r="AA17"/>
  <c r="AD17"/>
  <c r="AE17"/>
  <c r="AG17"/>
  <c r="AH17"/>
  <c r="AJ17"/>
  <c r="AK17"/>
  <c r="AO17"/>
  <c r="AR17"/>
  <c r="AW17"/>
  <c r="BA17"/>
  <c r="BH17"/>
  <c r="BI17"/>
  <c r="BM17"/>
  <c r="BY17"/>
  <c r="CB17"/>
  <c r="CM17"/>
  <c r="CO17"/>
  <c r="CP17"/>
  <c r="CW17"/>
  <c r="DC17"/>
  <c r="DP17"/>
  <c r="DV17"/>
  <c r="DW17"/>
  <c r="DY17"/>
  <c r="DZ17"/>
  <c r="EB17"/>
  <c r="EC17"/>
  <c r="L18"/>
  <c r="O18"/>
  <c r="P18"/>
  <c r="R18"/>
  <c r="S18"/>
  <c r="U18"/>
  <c r="V18"/>
  <c r="X18"/>
  <c r="Y18"/>
  <c r="AA18"/>
  <c r="AD18"/>
  <c r="AE18"/>
  <c r="AG18"/>
  <c r="AH18"/>
  <c r="AJ18"/>
  <c r="AK18"/>
  <c r="AM18"/>
  <c r="AN18"/>
  <c r="AR18"/>
  <c r="BA18"/>
  <c r="BH18"/>
  <c r="BY18"/>
  <c r="CB18"/>
  <c r="CF18"/>
  <c r="CG18"/>
  <c r="CI18"/>
  <c r="CJ18"/>
  <c r="CM18"/>
  <c r="CP18"/>
  <c r="CR18"/>
  <c r="CS18"/>
  <c r="DC18"/>
  <c r="DP18"/>
  <c r="DS18"/>
  <c r="DV18"/>
  <c r="DW18"/>
  <c r="DY18"/>
  <c r="DZ18"/>
  <c r="L19"/>
  <c r="O19"/>
  <c r="P19"/>
  <c r="R19"/>
  <c r="S19"/>
  <c r="U19"/>
  <c r="V19"/>
  <c r="X19"/>
  <c r="Y19"/>
  <c r="AA19"/>
  <c r="AD19"/>
  <c r="AE19"/>
  <c r="AG19"/>
  <c r="AH19"/>
  <c r="AJ19"/>
  <c r="AK19"/>
  <c r="AO19"/>
  <c r="AP19"/>
  <c r="BA19"/>
  <c r="BM19"/>
  <c r="BY19"/>
  <c r="CB19"/>
  <c r="CM19"/>
  <c r="CO19"/>
  <c r="CP19"/>
  <c r="CS19"/>
  <c r="CT19" s="1"/>
  <c r="DC19"/>
  <c r="DP19"/>
  <c r="DS19"/>
  <c r="DT19"/>
  <c r="DV19"/>
  <c r="DW19"/>
  <c r="DY19"/>
  <c r="DZ19"/>
  <c r="EB19"/>
  <c r="EC19"/>
  <c r="L20"/>
  <c r="O20"/>
  <c r="P20"/>
  <c r="R20"/>
  <c r="S20"/>
  <c r="U20"/>
  <c r="V20"/>
  <c r="X20"/>
  <c r="Y20"/>
  <c r="AA20"/>
  <c r="AD20"/>
  <c r="AE20"/>
  <c r="AG20"/>
  <c r="AH20"/>
  <c r="AJ20"/>
  <c r="AK20"/>
  <c r="AO20"/>
  <c r="AR20"/>
  <c r="AW20"/>
  <c r="BA20"/>
  <c r="BH20"/>
  <c r="BI20"/>
  <c r="BM20"/>
  <c r="BY20"/>
  <c r="CB20"/>
  <c r="CG20"/>
  <c r="CI20"/>
  <c r="CJ20"/>
  <c r="CM20"/>
  <c r="CO20"/>
  <c r="CP20"/>
  <c r="CS20"/>
  <c r="CU20"/>
  <c r="CV20"/>
  <c r="DC20"/>
  <c r="DP20"/>
  <c r="DS20"/>
  <c r="DV20"/>
  <c r="DW20"/>
  <c r="DY20"/>
  <c r="DZ20"/>
  <c r="EB20"/>
  <c r="EC20"/>
  <c r="L21"/>
  <c r="P21"/>
  <c r="S21"/>
  <c r="V21"/>
  <c r="Y21"/>
  <c r="AE21"/>
  <c r="AH21"/>
  <c r="AK21"/>
  <c r="AW21"/>
  <c r="O21"/>
  <c r="R21"/>
  <c r="U21"/>
  <c r="X21"/>
  <c r="AA21"/>
  <c r="AD21"/>
  <c r="AG21"/>
  <c r="AJ21"/>
  <c r="AM21"/>
  <c r="AR21"/>
  <c r="BA21"/>
  <c r="BM21"/>
  <c r="BY21"/>
  <c r="CB21"/>
  <c r="CF21"/>
  <c r="CG21"/>
  <c r="CM21"/>
  <c r="CP21"/>
  <c r="CI21"/>
  <c r="CJ21"/>
  <c r="CO21"/>
  <c r="DC21"/>
  <c r="DP21"/>
  <c r="DS21"/>
  <c r="DV21"/>
  <c r="DW21"/>
  <c r="DY21"/>
  <c r="DZ21"/>
  <c r="EB21"/>
  <c r="EC21"/>
  <c r="L22"/>
  <c r="P22"/>
  <c r="S22"/>
  <c r="V22"/>
  <c r="Y22"/>
  <c r="AE22"/>
  <c r="AH22"/>
  <c r="AK22"/>
  <c r="AW22"/>
  <c r="O22"/>
  <c r="R22"/>
  <c r="U22"/>
  <c r="X22"/>
  <c r="AA22"/>
  <c r="AD22"/>
  <c r="AG22"/>
  <c r="AJ22"/>
  <c r="BA22"/>
  <c r="BM22"/>
  <c r="BY22"/>
  <c r="CB22"/>
  <c r="CF22"/>
  <c r="CG22"/>
  <c r="CP22"/>
  <c r="CI22"/>
  <c r="CJ22"/>
  <c r="CM22"/>
  <c r="CO22"/>
  <c r="DC22"/>
  <c r="DS22"/>
  <c r="DV22"/>
  <c r="DW22"/>
  <c r="DY22"/>
  <c r="DZ22"/>
  <c r="EB22"/>
  <c r="EW22"/>
  <c r="EX22"/>
  <c r="P23"/>
  <c r="S23"/>
  <c r="V23"/>
  <c r="Y23"/>
  <c r="AE23"/>
  <c r="AH23"/>
  <c r="AK23"/>
  <c r="CG23"/>
  <c r="CM23"/>
  <c r="CP23"/>
  <c r="R23"/>
  <c r="U23"/>
  <c r="X23"/>
  <c r="AA23"/>
  <c r="AD23"/>
  <c r="AJ23"/>
  <c r="AO23"/>
  <c r="AR23"/>
  <c r="AW23"/>
  <c r="BA23"/>
  <c r="BH23"/>
  <c r="BI23"/>
  <c r="BM23"/>
  <c r="BY23"/>
  <c r="CB23"/>
  <c r="CF23"/>
  <c r="CO23"/>
  <c r="CW23"/>
  <c r="DC23"/>
  <c r="DP23"/>
  <c r="DS23"/>
  <c r="DT23"/>
  <c r="DV23"/>
  <c r="DW23"/>
  <c r="DY23"/>
  <c r="DZ23"/>
  <c r="EB23"/>
  <c r="EC23"/>
  <c r="P24"/>
  <c r="S24"/>
  <c r="V24"/>
  <c r="Y24"/>
  <c r="AE24"/>
  <c r="AH24"/>
  <c r="AK24"/>
  <c r="CG24"/>
  <c r="CM24"/>
  <c r="CP24"/>
  <c r="O24"/>
  <c r="R24"/>
  <c r="U24"/>
  <c r="X24"/>
  <c r="AA24"/>
  <c r="AJ24"/>
  <c r="AM24"/>
  <c r="AR24"/>
  <c r="AW24"/>
  <c r="BA24"/>
  <c r="BH24"/>
  <c r="BM24"/>
  <c r="BY24"/>
  <c r="CB24"/>
  <c r="CF24"/>
  <c r="CI24"/>
  <c r="CJ24"/>
  <c r="CO24"/>
  <c r="DC24"/>
  <c r="DP24"/>
  <c r="DS24"/>
  <c r="DV24"/>
  <c r="DW24"/>
  <c r="DY24"/>
  <c r="DZ24"/>
  <c r="EB24"/>
  <c r="EC24"/>
  <c r="P25"/>
  <c r="V25"/>
  <c r="Y25"/>
  <c r="AE25"/>
  <c r="AH25"/>
  <c r="AK25"/>
  <c r="AR25"/>
  <c r="AW25"/>
  <c r="CG25"/>
  <c r="CM25"/>
  <c r="CP25"/>
  <c r="L25"/>
  <c r="O25"/>
  <c r="R25"/>
  <c r="U25"/>
  <c r="X25"/>
  <c r="AA25"/>
  <c r="AD25"/>
  <c r="AG25"/>
  <c r="AJ25"/>
  <c r="AO25"/>
  <c r="BA25"/>
  <c r="BM25"/>
  <c r="BY25"/>
  <c r="CB25"/>
  <c r="CF25"/>
  <c r="CI25"/>
  <c r="CJ25"/>
  <c r="CO25"/>
  <c r="CR25"/>
  <c r="DC25"/>
  <c r="DP25"/>
  <c r="DS25"/>
  <c r="DT25"/>
  <c r="DV25"/>
  <c r="DW25"/>
  <c r="DY25"/>
  <c r="DZ25"/>
  <c r="EB25"/>
  <c r="EC25"/>
  <c r="P26"/>
  <c r="S26"/>
  <c r="V26"/>
  <c r="Y26"/>
  <c r="AE26"/>
  <c r="AH26"/>
  <c r="AK26"/>
  <c r="AW26"/>
  <c r="CG26"/>
  <c r="CP26"/>
  <c r="L26"/>
  <c r="O26"/>
  <c r="R26"/>
  <c r="U26"/>
  <c r="X26"/>
  <c r="AA26"/>
  <c r="AD26"/>
  <c r="AG26"/>
  <c r="AJ26"/>
  <c r="AO26"/>
  <c r="BA26"/>
  <c r="BH26"/>
  <c r="BM26"/>
  <c r="BY26"/>
  <c r="CB26"/>
  <c r="CI26"/>
  <c r="CJ26"/>
  <c r="CM26"/>
  <c r="CO26"/>
  <c r="DC26"/>
  <c r="DP26"/>
  <c r="DS26"/>
  <c r="DT26"/>
  <c r="DV26"/>
  <c r="DW26"/>
  <c r="DY26"/>
  <c r="DZ26"/>
  <c r="EB26"/>
  <c r="EC26"/>
  <c r="P27"/>
  <c r="S27"/>
  <c r="V27"/>
  <c r="Y27"/>
  <c r="AE27"/>
  <c r="AH27"/>
  <c r="AK27"/>
  <c r="AW27"/>
  <c r="CG27"/>
  <c r="CP27"/>
  <c r="L27"/>
  <c r="O27"/>
  <c r="R27"/>
  <c r="U27"/>
  <c r="X27"/>
  <c r="AA27"/>
  <c r="AD27"/>
  <c r="AG27"/>
  <c r="AJ27"/>
  <c r="AO27"/>
  <c r="BA27"/>
  <c r="BM27"/>
  <c r="BY27"/>
  <c r="CB27"/>
  <c r="CF27"/>
  <c r="CM27"/>
  <c r="CO27"/>
  <c r="DC27"/>
  <c r="DP27"/>
  <c r="DS27"/>
  <c r="DT27"/>
  <c r="DV27"/>
  <c r="DW27"/>
  <c r="DY27"/>
  <c r="DZ27"/>
  <c r="EB27"/>
  <c r="EC27"/>
  <c r="P28"/>
  <c r="S28"/>
  <c r="V28"/>
  <c r="Y28"/>
  <c r="AH28"/>
  <c r="AK28"/>
  <c r="CG28"/>
  <c r="CP28"/>
  <c r="L28"/>
  <c r="O28"/>
  <c r="R28"/>
  <c r="U28"/>
  <c r="X28"/>
  <c r="AA28"/>
  <c r="AD28"/>
  <c r="AG28"/>
  <c r="AJ28"/>
  <c r="AO28"/>
  <c r="AR28"/>
  <c r="BA28"/>
  <c r="BJ28"/>
  <c r="BM28"/>
  <c r="BY28"/>
  <c r="CB28"/>
  <c r="CF28"/>
  <c r="CI28"/>
  <c r="CJ28"/>
  <c r="CM28"/>
  <c r="CO28"/>
  <c r="DC28"/>
  <c r="DE28"/>
  <c r="DF28" s="1"/>
  <c r="DP28"/>
  <c r="DS28"/>
  <c r="DT28"/>
  <c r="DV28"/>
  <c r="DW28"/>
  <c r="DY28"/>
  <c r="DZ28"/>
  <c r="EB28"/>
  <c r="P29"/>
  <c r="S29"/>
  <c r="V29"/>
  <c r="Y29"/>
  <c r="AE29"/>
  <c r="AH29"/>
  <c r="AK29"/>
  <c r="CG29"/>
  <c r="CM29"/>
  <c r="CP29"/>
  <c r="O29"/>
  <c r="R29"/>
  <c r="U29"/>
  <c r="X29"/>
  <c r="AA29"/>
  <c r="AD29"/>
  <c r="AG29"/>
  <c r="AJ29"/>
  <c r="AO29"/>
  <c r="BA29"/>
  <c r="BM29"/>
  <c r="BY29"/>
  <c r="CB29"/>
  <c r="CF29"/>
  <c r="CI29"/>
  <c r="CJ29"/>
  <c r="CO29"/>
  <c r="CW29"/>
  <c r="DC29"/>
  <c r="DP29"/>
  <c r="DS29"/>
  <c r="DV29"/>
  <c r="DW29"/>
  <c r="DY29"/>
  <c r="DZ29"/>
  <c r="EN29"/>
  <c r="BD30"/>
  <c r="AY31"/>
  <c r="AY32" s="1"/>
  <c r="AY33" s="1"/>
  <c r="AZ31"/>
  <c r="BW31"/>
  <c r="BW32" s="1"/>
  <c r="BW33" s="1"/>
  <c r="BZ31"/>
  <c r="BZ32" s="1"/>
  <c r="BZ33" s="1"/>
  <c r="CA31"/>
  <c r="CX31"/>
  <c r="CX32" s="1"/>
  <c r="CX33" s="1"/>
  <c r="DA31"/>
  <c r="DA32" s="1"/>
  <c r="DA33" s="1"/>
  <c r="DB31"/>
  <c r="DB32" s="1"/>
  <c r="DB33" s="1"/>
  <c r="DD31"/>
  <c r="DG31"/>
  <c r="DG32" s="1"/>
  <c r="DG33" s="1"/>
  <c r="D22" i="1"/>
  <c r="E24"/>
  <c r="F24"/>
  <c r="F28"/>
  <c r="C28" s="1"/>
  <c r="G28"/>
  <c r="E34"/>
  <c r="E35"/>
  <c r="E38"/>
  <c r="AR22" i="2"/>
  <c r="AR29"/>
  <c r="AR27"/>
  <c r="AR26"/>
  <c r="F40" i="6"/>
  <c r="BV14" i="2"/>
  <c r="G39" i="1"/>
  <c r="E73" i="11"/>
  <c r="E58" i="12"/>
  <c r="F58"/>
  <c r="C56"/>
  <c r="DP22" i="2"/>
  <c r="F78" i="14"/>
  <c r="C77"/>
  <c r="EK24" i="2" s="1"/>
  <c r="E78" i="14"/>
  <c r="F80" i="15"/>
  <c r="C77"/>
  <c r="EK25" i="2" s="1"/>
  <c r="E80" i="15"/>
  <c r="F74" i="18"/>
  <c r="E74"/>
  <c r="C70" i="19"/>
  <c r="F73"/>
  <c r="E73"/>
  <c r="E43" i="6"/>
  <c r="E76" i="9"/>
  <c r="F75" i="11"/>
  <c r="E77" i="12"/>
  <c r="F74" i="17"/>
  <c r="C73"/>
  <c r="EH27" i="2" s="1"/>
  <c r="E74" i="17"/>
  <c r="E80" i="8"/>
  <c r="F80"/>
  <c r="E74"/>
  <c r="CF20" i="2"/>
  <c r="C72" i="12"/>
  <c r="C39" i="19"/>
  <c r="F40"/>
  <c r="D25" i="17" l="1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T29" i="2"/>
  <c r="CD23"/>
  <c r="CC14"/>
  <c r="AT31"/>
  <c r="CT20"/>
  <c r="E20" i="14"/>
  <c r="CT23" i="2"/>
  <c r="CT21"/>
  <c r="CD17"/>
  <c r="CT28"/>
  <c r="CT27"/>
  <c r="CT26"/>
  <c r="CT25"/>
  <c r="CT24"/>
  <c r="CT22"/>
  <c r="CT18"/>
  <c r="CT16"/>
  <c r="CT15"/>
  <c r="BS29"/>
  <c r="F28"/>
  <c r="F27"/>
  <c r="F23"/>
  <c r="F22"/>
  <c r="F20"/>
  <c r="BS19"/>
  <c r="BS17"/>
  <c r="F16"/>
  <c r="C25" i="12"/>
  <c r="AV19" i="2"/>
  <c r="F19" s="1"/>
  <c r="C25" i="9"/>
  <c r="C25" i="6"/>
  <c r="C25" i="16"/>
  <c r="D98" i="8"/>
  <c r="EK27" i="2"/>
  <c r="EM27" s="1"/>
  <c r="BS25"/>
  <c r="BS18"/>
  <c r="BS28"/>
  <c r="CC16"/>
  <c r="BD16"/>
  <c r="C94" i="4"/>
  <c r="M31" i="2"/>
  <c r="M33" s="1"/>
  <c r="E64" i="11"/>
  <c r="D25" i="19"/>
  <c r="D96"/>
  <c r="E14" i="12"/>
  <c r="ET29" i="2"/>
  <c r="EV29" s="1"/>
  <c r="F17" i="14"/>
  <c r="C98" i="12"/>
  <c r="G98" s="1"/>
  <c r="D98"/>
  <c r="H98" s="1"/>
  <c r="D25"/>
  <c r="Y31" i="2"/>
  <c r="Y33" s="1"/>
  <c r="ET14"/>
  <c r="EV14" s="1"/>
  <c r="D25" i="11"/>
  <c r="F40"/>
  <c r="C25"/>
  <c r="D94" i="4"/>
  <c r="N27" i="2"/>
  <c r="F60" i="4"/>
  <c r="H9" i="1"/>
  <c r="E17" i="19"/>
  <c r="F81" i="14"/>
  <c r="BD23" i="2"/>
  <c r="D23" i="13"/>
  <c r="E40" i="9"/>
  <c r="EE15" i="2"/>
  <c r="EG15" s="1"/>
  <c r="E5" i="12"/>
  <c r="F55" i="16"/>
  <c r="E40" i="8"/>
  <c r="CN27" i="2"/>
  <c r="E69" i="13"/>
  <c r="F7" i="7"/>
  <c r="E66" i="15"/>
  <c r="D25" i="18"/>
  <c r="F5" i="17"/>
  <c r="AF24" i="2"/>
  <c r="CN28"/>
  <c r="F32" i="18"/>
  <c r="F12" i="12"/>
  <c r="E7"/>
  <c r="AX21" i="2"/>
  <c r="F5" i="16"/>
  <c r="E26" i="5"/>
  <c r="E5" i="14"/>
  <c r="DU29" i="2"/>
  <c r="N26"/>
  <c r="E5" i="13"/>
  <c r="AX22" i="2"/>
  <c r="F82" i="12"/>
  <c r="E5" i="8"/>
  <c r="F26" i="5"/>
  <c r="F26" i="12"/>
  <c r="AU22" i="2"/>
  <c r="F7" i="12"/>
  <c r="E38" i="5"/>
  <c r="C25"/>
  <c r="CK23" i="2"/>
  <c r="AC20"/>
  <c r="E53" i="13"/>
  <c r="Q22" i="2"/>
  <c r="F14" i="11"/>
  <c r="DR18" i="2"/>
  <c r="N17"/>
  <c r="AI14"/>
  <c r="C36" i="16"/>
  <c r="BT26" i="2" s="1"/>
  <c r="F26" s="1"/>
  <c r="E17" i="16"/>
  <c r="EG23" i="2"/>
  <c r="E17" i="13"/>
  <c r="E26" i="12"/>
  <c r="CN22" i="2"/>
  <c r="F5" i="12"/>
  <c r="CK19" i="2"/>
  <c r="AL18"/>
  <c r="AF18"/>
  <c r="AL17"/>
  <c r="E26" i="6"/>
  <c r="F82"/>
  <c r="F20"/>
  <c r="DX29" i="2"/>
  <c r="AI28"/>
  <c r="E26" i="17"/>
  <c r="E26" i="14"/>
  <c r="E66"/>
  <c r="CQ23" i="2"/>
  <c r="ED23"/>
  <c r="Z21"/>
  <c r="E37" i="11"/>
  <c r="ED21" i="2"/>
  <c r="Q21"/>
  <c r="F14" i="9"/>
  <c r="E91"/>
  <c r="CQ18" i="2"/>
  <c r="F56" i="8"/>
  <c r="E7"/>
  <c r="Z18" i="2"/>
  <c r="E34" i="7"/>
  <c r="F69" i="6"/>
  <c r="E36" i="5"/>
  <c r="E33"/>
  <c r="E68"/>
  <c r="DX15" i="2"/>
  <c r="CQ15"/>
  <c r="F58" i="5"/>
  <c r="C4"/>
  <c r="BQ15" i="2"/>
  <c r="F15" s="1"/>
  <c r="F36" i="5"/>
  <c r="F30"/>
  <c r="AX14" i="2"/>
  <c r="F34" i="4"/>
  <c r="F17"/>
  <c r="F5"/>
  <c r="F43" i="1"/>
  <c r="H43" s="1"/>
  <c r="F26" i="19"/>
  <c r="E17" i="17"/>
  <c r="CK27" i="2"/>
  <c r="ED25"/>
  <c r="AX25"/>
  <c r="CK25"/>
  <c r="AC25"/>
  <c r="CH25"/>
  <c r="F37" i="14"/>
  <c r="F35" s="1"/>
  <c r="F34" s="1"/>
  <c r="F61" i="13"/>
  <c r="T22" i="2"/>
  <c r="E94" i="11"/>
  <c r="F40" i="9"/>
  <c r="E20"/>
  <c r="F36"/>
  <c r="F86"/>
  <c r="F7" i="8"/>
  <c r="EV18" i="2"/>
  <c r="F14" i="8"/>
  <c r="F80" i="7"/>
  <c r="E39" i="6"/>
  <c r="E36"/>
  <c r="CH15" i="2"/>
  <c r="AI15"/>
  <c r="Z15"/>
  <c r="ES15"/>
  <c r="E84" i="4"/>
  <c r="E73"/>
  <c r="D4"/>
  <c r="D37" s="1"/>
  <c r="G33" i="1"/>
  <c r="F7" i="19"/>
  <c r="BD27" i="2"/>
  <c r="F31" i="16"/>
  <c r="E29"/>
  <c r="F31" i="15"/>
  <c r="F29"/>
  <c r="E20"/>
  <c r="AL24" i="2"/>
  <c r="CN23"/>
  <c r="E24" i="13"/>
  <c r="CK22" i="2"/>
  <c r="F94" i="11"/>
  <c r="F37"/>
  <c r="E7"/>
  <c r="DM20" i="2"/>
  <c r="CW20"/>
  <c r="E26" i="10"/>
  <c r="F20"/>
  <c r="E12"/>
  <c r="BJ19" i="2"/>
  <c r="CC18"/>
  <c r="E14" i="8"/>
  <c r="W18" i="2"/>
  <c r="F81" i="8"/>
  <c r="F17" i="7"/>
  <c r="DM16" i="2"/>
  <c r="F39" i="6"/>
  <c r="F88"/>
  <c r="C4"/>
  <c r="DU15" i="2"/>
  <c r="BR15"/>
  <c r="F20" i="5"/>
  <c r="EA14" i="2"/>
  <c r="CH14"/>
  <c r="E7" i="19"/>
  <c r="D4"/>
  <c r="E34"/>
  <c r="AF29" i="2"/>
  <c r="DN29"/>
  <c r="DK29" s="1"/>
  <c r="E84" i="18"/>
  <c r="F78" i="17"/>
  <c r="C25"/>
  <c r="E31"/>
  <c r="AL27" i="2"/>
  <c r="E82" i="16"/>
  <c r="Z26" i="2"/>
  <c r="C4" i="16"/>
  <c r="E26"/>
  <c r="E12"/>
  <c r="G25" i="2"/>
  <c r="E31" i="15"/>
  <c r="F20"/>
  <c r="F26" i="14"/>
  <c r="E83"/>
  <c r="DN24" i="2"/>
  <c r="DK24" s="1"/>
  <c r="F91" i="13"/>
  <c r="DR23" i="2"/>
  <c r="F53" i="13"/>
  <c r="F85"/>
  <c r="D4"/>
  <c r="F78" i="12"/>
  <c r="EL22" i="2"/>
  <c r="EM22" s="1"/>
  <c r="E29" i="12"/>
  <c r="DR22" i="2"/>
  <c r="F29" i="12"/>
  <c r="DU22" i="2"/>
  <c r="E64" i="12"/>
  <c r="F37"/>
  <c r="E78"/>
  <c r="E12"/>
  <c r="F7" i="11"/>
  <c r="F84" i="10"/>
  <c r="E7"/>
  <c r="E66"/>
  <c r="AI20" i="2"/>
  <c r="AU20"/>
  <c r="F20" i="9"/>
  <c r="CN19" i="2"/>
  <c r="F65" i="9"/>
  <c r="DN19" i="2"/>
  <c r="EA19"/>
  <c r="T19"/>
  <c r="N19"/>
  <c r="E66" i="8"/>
  <c r="CH18" i="2"/>
  <c r="N18"/>
  <c r="BO31"/>
  <c r="E89" i="8"/>
  <c r="ED18" i="2"/>
  <c r="AU18"/>
  <c r="E7" i="6"/>
  <c r="E33"/>
  <c r="F12"/>
  <c r="F87" i="5"/>
  <c r="E20"/>
  <c r="DR15" i="2"/>
  <c r="E20" i="4"/>
  <c r="CN14" i="2"/>
  <c r="AC14"/>
  <c r="E14" i="4"/>
  <c r="E7"/>
  <c r="F31"/>
  <c r="F29" i="19"/>
  <c r="E29"/>
  <c r="E12"/>
  <c r="E26"/>
  <c r="AL29" i="2"/>
  <c r="F31" i="19"/>
  <c r="E92"/>
  <c r="DR29" i="2"/>
  <c r="Z29"/>
  <c r="E17" i="18"/>
  <c r="E7"/>
  <c r="AC28" i="2"/>
  <c r="E78" i="17"/>
  <c r="E46"/>
  <c r="EA27" i="2"/>
  <c r="E35" i="17"/>
  <c r="EY27" i="2"/>
  <c r="F31" i="17"/>
  <c r="Z27" i="2"/>
  <c r="E95" i="17"/>
  <c r="F95"/>
  <c r="BV27" i="2"/>
  <c r="E87" i="16"/>
  <c r="E55"/>
  <c r="F93"/>
  <c r="ER26" i="2"/>
  <c r="ES26" s="1"/>
  <c r="BR26"/>
  <c r="BS26" s="1"/>
  <c r="EU26"/>
  <c r="EU31" s="1"/>
  <c r="Q26"/>
  <c r="F26" i="16"/>
  <c r="BD26" i="2"/>
  <c r="F34" i="16"/>
  <c r="F37"/>
  <c r="F29"/>
  <c r="F12"/>
  <c r="F7"/>
  <c r="EY25" i="2"/>
  <c r="F56" i="15"/>
  <c r="E41"/>
  <c r="F94"/>
  <c r="EE25" i="2"/>
  <c r="EG25" s="1"/>
  <c r="N25"/>
  <c r="E88" i="15"/>
  <c r="E56"/>
  <c r="EA25" i="2"/>
  <c r="EM24"/>
  <c r="E17" i="14"/>
  <c r="BT24" i="2"/>
  <c r="BV24" s="1"/>
  <c r="F64" i="14"/>
  <c r="E88"/>
  <c r="CC24" i="2"/>
  <c r="Q24"/>
  <c r="F5" i="14"/>
  <c r="AU24" i="2"/>
  <c r="E63" i="13"/>
  <c r="F24"/>
  <c r="CC23" i="2"/>
  <c r="AL23"/>
  <c r="AU23"/>
  <c r="F72" i="12"/>
  <c r="F96"/>
  <c r="E96"/>
  <c r="BD22" i="2"/>
  <c r="F83" i="11"/>
  <c r="ER21" i="2"/>
  <c r="ES21" s="1"/>
  <c r="E88" i="11"/>
  <c r="AI21" i="2"/>
  <c r="AM31"/>
  <c r="AM32" s="1"/>
  <c r="AM33" s="1"/>
  <c r="N21"/>
  <c r="EV20"/>
  <c r="F66" i="10"/>
  <c r="F77"/>
  <c r="F7"/>
  <c r="DR20" i="2"/>
  <c r="E29" i="10"/>
  <c r="E20"/>
  <c r="E14"/>
  <c r="E86" i="9"/>
  <c r="E65"/>
  <c r="DR19" i="2"/>
  <c r="E34" i="9"/>
  <c r="F26"/>
  <c r="EY18" i="2"/>
  <c r="EM18"/>
  <c r="F20" i="8"/>
  <c r="E95"/>
  <c r="F34"/>
  <c r="BN31" i="2"/>
  <c r="E20" i="7"/>
  <c r="R31" i="2"/>
  <c r="R33" s="1"/>
  <c r="E87" i="7"/>
  <c r="AX17" i="2"/>
  <c r="F93" i="7"/>
  <c r="E65"/>
  <c r="EV16" i="2"/>
  <c r="E20" i="6"/>
  <c r="BR16" i="2"/>
  <c r="BS16" s="1"/>
  <c r="E93" i="6"/>
  <c r="DU16" i="2"/>
  <c r="E12" i="6"/>
  <c r="DX16" i="2"/>
  <c r="AL16"/>
  <c r="AF16"/>
  <c r="Z16"/>
  <c r="C102" i="5"/>
  <c r="D102"/>
  <c r="EY15" i="2"/>
  <c r="BF32"/>
  <c r="BF33" s="1"/>
  <c r="E12" i="4"/>
  <c r="F90"/>
  <c r="F20"/>
  <c r="T29" i="2"/>
  <c r="EA28"/>
  <c r="DU28"/>
  <c r="CH28"/>
  <c r="T27"/>
  <c r="Q27"/>
  <c r="W26"/>
  <c r="T24"/>
  <c r="DN23"/>
  <c r="AF23"/>
  <c r="CC22"/>
  <c r="Z22"/>
  <c r="DX19"/>
  <c r="CC19"/>
  <c r="AO18"/>
  <c r="CQ16"/>
  <c r="AR16"/>
  <c r="DN15"/>
  <c r="DM15"/>
  <c r="AR15"/>
  <c r="AD31"/>
  <c r="AD33" s="1"/>
  <c r="E17" i="4"/>
  <c r="C4"/>
  <c r="C37" s="1"/>
  <c r="F84" i="5"/>
  <c r="ES16" i="2"/>
  <c r="E82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89" i="17"/>
  <c r="E12"/>
  <c r="C4"/>
  <c r="E5"/>
  <c r="E20" i="18"/>
  <c r="E5" i="19"/>
  <c r="C4" i="14"/>
  <c r="F29" i="13"/>
  <c r="E73" i="9"/>
  <c r="DN17" i="2"/>
  <c r="G21"/>
  <c r="F7" i="13"/>
  <c r="E64" i="10"/>
  <c r="BJ15" i="2"/>
  <c r="N16"/>
  <c r="BJ22"/>
  <c r="AU21"/>
  <c r="E34" i="8"/>
  <c r="E26" i="7"/>
  <c r="F65" i="16"/>
  <c r="CC26" i="2"/>
  <c r="EV24"/>
  <c r="E41" i="18"/>
  <c r="CW28" i="2"/>
  <c r="D25" i="6"/>
  <c r="E68" i="4"/>
  <c r="F77" i="8"/>
  <c r="H20" i="1"/>
  <c r="CW15" i="2"/>
  <c r="E69" i="6"/>
  <c r="AI27" i="2"/>
  <c r="AI25"/>
  <c r="Q25"/>
  <c r="W24"/>
  <c r="C4" i="7"/>
  <c r="C4" i="8"/>
  <c r="BV19" i="2"/>
  <c r="D4" i="10"/>
  <c r="C4" i="11"/>
  <c r="E14" i="15"/>
  <c r="F17" i="16"/>
  <c r="F86" i="19"/>
  <c r="C25"/>
  <c r="E7" i="9"/>
  <c r="F26" i="17"/>
  <c r="AC24" i="2"/>
  <c r="AC16"/>
  <c r="F65" i="7"/>
  <c r="D4" i="5"/>
  <c r="E5" i="15"/>
  <c r="CC17" i="2"/>
  <c r="CC21"/>
  <c r="EG18"/>
  <c r="F5" i="6"/>
  <c r="DN22" i="2"/>
  <c r="BD20"/>
  <c r="AU17"/>
  <c r="E72" i="8"/>
  <c r="D98" i="11"/>
  <c r="F56"/>
  <c r="F57" i="9"/>
  <c r="E56" i="12"/>
  <c r="F57" i="17"/>
  <c r="DN18" i="2"/>
  <c r="DU18"/>
  <c r="E56" i="11"/>
  <c r="F89" i="18"/>
  <c r="CC28" i="2"/>
  <c r="F14" i="18"/>
  <c r="E35"/>
  <c r="Z28" i="2"/>
  <c r="C89" i="18"/>
  <c r="ET28" i="2" s="1"/>
  <c r="EV28" s="1"/>
  <c r="F5" i="18"/>
  <c r="F35"/>
  <c r="F26"/>
  <c r="E12"/>
  <c r="E70" i="19"/>
  <c r="CC29" i="2"/>
  <c r="E37" i="18"/>
  <c r="E39" i="19"/>
  <c r="F17" i="17"/>
  <c r="DT31" i="2"/>
  <c r="D4" i="16"/>
  <c r="F7" i="18"/>
  <c r="CC27" i="2"/>
  <c r="CQ27"/>
  <c r="DW31"/>
  <c r="AJ31"/>
  <c r="L31"/>
  <c r="L33" s="1"/>
  <c r="D97" i="16"/>
  <c r="EJ27" i="2"/>
  <c r="DR26"/>
  <c r="CS31"/>
  <c r="CS33" s="1"/>
  <c r="D99" i="18"/>
  <c r="H35" i="1"/>
  <c r="H6"/>
  <c r="BU26" i="2"/>
  <c r="EP25"/>
  <c r="DM25"/>
  <c r="Z25"/>
  <c r="E83" i="15"/>
  <c r="D25"/>
  <c r="E64" i="14"/>
  <c r="AH31" i="2"/>
  <c r="AH33" s="1"/>
  <c r="CO31"/>
  <c r="D98" i="15"/>
  <c r="F77" i="14"/>
  <c r="E41"/>
  <c r="CC25" i="2"/>
  <c r="E81" i="15"/>
  <c r="DS31" i="2"/>
  <c r="DS33" s="1"/>
  <c r="DM24"/>
  <c r="F64" i="15"/>
  <c r="H24" i="1"/>
  <c r="CB32" i="2"/>
  <c r="CB33" s="1"/>
  <c r="EP26"/>
  <c r="F77" i="15"/>
  <c r="AC21" i="2"/>
  <c r="E77" i="8"/>
  <c r="AF15" i="2"/>
  <c r="EX14"/>
  <c r="EY14" s="1"/>
  <c r="EV17"/>
  <c r="E7" i="13"/>
  <c r="F34" i="9"/>
  <c r="E34" i="15"/>
  <c r="F95" i="18"/>
  <c r="DR17" i="2"/>
  <c r="F91" i="9"/>
  <c r="G36" i="1"/>
  <c r="G7"/>
  <c r="BI29" i="2"/>
  <c r="G29" s="1"/>
  <c r="EF26"/>
  <c r="ER25"/>
  <c r="ES25" s="1"/>
  <c r="Q23"/>
  <c r="EF16"/>
  <c r="EG16" s="1"/>
  <c r="F26" i="6"/>
  <c r="DM26" i="2"/>
  <c r="AQ31"/>
  <c r="E63" i="16"/>
  <c r="E86" i="19"/>
  <c r="AZ32" i="2"/>
  <c r="AZ33" s="1"/>
  <c r="E66" i="12"/>
  <c r="F66"/>
  <c r="F81" i="15"/>
  <c r="F63" i="13"/>
  <c r="F72" i="8"/>
  <c r="C98"/>
  <c r="D98" i="14"/>
  <c r="E78" i="13"/>
  <c r="E20" i="12"/>
  <c r="F83" i="15"/>
  <c r="E92" i="5"/>
  <c r="F17" i="15"/>
  <c r="EX17" i="2"/>
  <c r="EY17" s="1"/>
  <c r="E86" i="6"/>
  <c r="F33"/>
  <c r="CN17" i="2"/>
  <c r="E17" i="6"/>
  <c r="EO15" i="2"/>
  <c r="EP15" s="1"/>
  <c r="F36" i="10"/>
  <c r="N29" i="2"/>
  <c r="F26" i="7"/>
  <c r="E7" i="16"/>
  <c r="F26" i="15"/>
  <c r="E31" i="9"/>
  <c r="D4" i="15"/>
  <c r="AS29" i="2"/>
  <c r="AU29" s="1"/>
  <c r="E29" i="15"/>
  <c r="D25" i="9"/>
  <c r="F82" i="7"/>
  <c r="F34" i="15"/>
  <c r="E91" i="13"/>
  <c r="F17" i="18"/>
  <c r="DU14" i="2"/>
  <c r="F17" i="11"/>
  <c r="F86" i="6"/>
  <c r="F74" i="13"/>
  <c r="F80" i="16"/>
  <c r="F62" i="19"/>
  <c r="E14" i="18"/>
  <c r="F20" i="14"/>
  <c r="T25" i="2"/>
  <c r="CN25"/>
  <c r="AC22"/>
  <c r="EN20"/>
  <c r="EP20" s="1"/>
  <c r="EK16"/>
  <c r="EM16" s="1"/>
  <c r="E57" i="9"/>
  <c r="F7"/>
  <c r="E64" i="15"/>
  <c r="F78" i="13"/>
  <c r="E93" i="7"/>
  <c r="E5" i="6"/>
  <c r="D25" i="10"/>
  <c r="DQ31" i="2"/>
  <c r="DQ33" s="1"/>
  <c r="E37" i="12"/>
  <c r="F64"/>
  <c r="EF28" i="2"/>
  <c r="AX24"/>
  <c r="AU16"/>
  <c r="E67" i="6"/>
  <c r="DM18" i="2"/>
  <c r="F17" i="19"/>
  <c r="E29" i="4"/>
  <c r="E80" i="16"/>
  <c r="E99" i="9"/>
  <c r="DM19" i="2"/>
  <c r="F14" i="4"/>
  <c r="E77" i="15"/>
  <c r="E94"/>
  <c r="E82" i="12"/>
  <c r="E79" i="19"/>
  <c r="F29" i="10"/>
  <c r="E84"/>
  <c r="F66" i="8"/>
  <c r="E84" i="5"/>
  <c r="EV25" i="2"/>
  <c r="C4" i="13"/>
  <c r="F21" i="1"/>
  <c r="F66" i="14"/>
  <c r="E95" i="18"/>
  <c r="F34" i="19"/>
  <c r="CN29" i="2"/>
  <c r="DR24"/>
  <c r="CN24"/>
  <c r="AX23"/>
  <c r="CV31"/>
  <c r="CV33" s="1"/>
  <c r="AX20"/>
  <c r="EE17"/>
  <c r="EG17" s="1"/>
  <c r="AC15"/>
  <c r="EH14"/>
  <c r="EJ14" s="1"/>
  <c r="E29" i="13"/>
  <c r="F12"/>
  <c r="E65" i="18"/>
  <c r="AU28" i="2"/>
  <c r="DU17"/>
  <c r="AL25"/>
  <c r="Z24"/>
  <c r="EH29"/>
  <c r="EJ29" s="1"/>
  <c r="CQ29"/>
  <c r="AI16"/>
  <c r="F99" i="6"/>
  <c r="Q28" i="2"/>
  <c r="D97" i="7"/>
  <c r="AL28" i="2"/>
  <c r="CQ21"/>
  <c r="N14"/>
  <c r="ED28"/>
  <c r="CN21"/>
  <c r="F59" i="6"/>
  <c r="F7"/>
  <c r="DP31" i="2"/>
  <c r="DP33" s="1"/>
  <c r="CH26"/>
  <c r="CD26"/>
  <c r="CD29"/>
  <c r="CD28"/>
  <c r="CD27"/>
  <c r="CR31"/>
  <c r="CR33" s="1"/>
  <c r="CD24"/>
  <c r="ES22"/>
  <c r="CI31"/>
  <c r="CI33" s="1"/>
  <c r="CD22"/>
  <c r="AG31"/>
  <c r="O31"/>
  <c r="O33" s="1"/>
  <c r="AF22"/>
  <c r="CD21"/>
  <c r="CD18"/>
  <c r="BD19"/>
  <c r="CD25"/>
  <c r="CD20"/>
  <c r="CD19"/>
  <c r="CD16"/>
  <c r="CD15"/>
  <c r="CD14"/>
  <c r="G20"/>
  <c r="AI22"/>
  <c r="CH20"/>
  <c r="P31"/>
  <c r="S31"/>
  <c r="E37" i="7"/>
  <c r="F37"/>
  <c r="E59" i="6"/>
  <c r="E55" i="7"/>
  <c r="F55"/>
  <c r="F39" i="19"/>
  <c r="ED17" i="2"/>
  <c r="F14" i="5"/>
  <c r="EY19" i="2"/>
  <c r="E26" i="9"/>
  <c r="E31" i="10"/>
  <c r="F5"/>
  <c r="E74" i="13"/>
  <c r="F93" i="6"/>
  <c r="H38" i="1"/>
  <c r="CK18" i="2"/>
  <c r="F17" i="10"/>
  <c r="F56" i="12"/>
  <c r="CK14" i="2"/>
  <c r="F12" i="14"/>
  <c r="F12" i="17"/>
  <c r="E5" i="18"/>
  <c r="E7" i="14"/>
  <c r="E7" i="15"/>
  <c r="W22" i="2"/>
  <c r="F5" i="8"/>
  <c r="F32" i="1"/>
  <c r="H32" s="1"/>
  <c r="BU15" i="2"/>
  <c r="F38" i="5"/>
  <c r="E82" i="7"/>
  <c r="EQ17" i="2"/>
  <c r="ES17" s="1"/>
  <c r="F36" i="8"/>
  <c r="BT18" i="2"/>
  <c r="BV18" s="1"/>
  <c r="E26" i="8"/>
  <c r="D25"/>
  <c r="E12" i="13"/>
  <c r="DM22" i="2"/>
  <c r="BV22"/>
  <c r="E26" i="4"/>
  <c r="F26"/>
  <c r="C4" i="15"/>
  <c r="E65" i="16"/>
  <c r="EE26" i="2"/>
  <c r="F7" i="17"/>
  <c r="E7"/>
  <c r="F33" i="1"/>
  <c r="F73" i="4"/>
  <c r="EL14" i="2"/>
  <c r="EM14" s="1"/>
  <c r="AC29"/>
  <c r="DR28"/>
  <c r="AC27"/>
  <c r="AX27"/>
  <c r="AX26"/>
  <c r="DU24"/>
  <c r="AI24"/>
  <c r="AC23"/>
  <c r="AI23"/>
  <c r="CN20"/>
  <c r="AX16"/>
  <c r="CN15"/>
  <c r="N15"/>
  <c r="F12" i="4"/>
  <c r="E74" i="5"/>
  <c r="E80" i="7"/>
  <c r="F7" i="14"/>
  <c r="F5" i="15"/>
  <c r="F7"/>
  <c r="F63" i="16"/>
  <c r="E31" i="19"/>
  <c r="E67" i="17"/>
  <c r="AX28" i="2"/>
  <c r="AU14"/>
  <c r="AU25"/>
  <c r="BD14"/>
  <c r="F14"/>
  <c r="CH24"/>
  <c r="W21"/>
  <c r="F12" i="19"/>
  <c r="F41" i="12"/>
  <c r="E41"/>
  <c r="F39" i="17"/>
  <c r="E39"/>
  <c r="AI29" i="2"/>
  <c r="E14" i="11"/>
  <c r="D4"/>
  <c r="E7" i="7"/>
  <c r="C71"/>
  <c r="EH17" i="2" s="1"/>
  <c r="F15" i="1"/>
  <c r="H15" s="1"/>
  <c r="CH27" i="2"/>
  <c r="W23"/>
  <c r="EA15"/>
  <c r="ES14"/>
  <c r="F30" i="6"/>
  <c r="D99" i="10"/>
  <c r="G18" i="1"/>
  <c r="H18" s="1"/>
  <c r="N23" i="2"/>
  <c r="DY31"/>
  <c r="CM31"/>
  <c r="CM33" s="1"/>
  <c r="EM25"/>
  <c r="E40" i="7"/>
  <c r="F70" i="19"/>
  <c r="AO24" i="2"/>
  <c r="CC20"/>
  <c r="E77" i="14"/>
  <c r="DD32" i="2"/>
  <c r="DD33" s="1"/>
  <c r="ES29"/>
  <c r="EV27"/>
  <c r="DN25"/>
  <c r="BJ23"/>
  <c r="E36" i="9"/>
  <c r="F46" i="17"/>
  <c r="F35"/>
  <c r="E72" i="12"/>
  <c r="AF26" i="2"/>
  <c r="DX24"/>
  <c r="CK24"/>
  <c r="AR19"/>
  <c r="Q19"/>
  <c r="DX18"/>
  <c r="E88" i="6"/>
  <c r="F17" i="9"/>
  <c r="F82" i="10"/>
  <c r="E5"/>
  <c r="E85" i="13"/>
  <c r="F82" i="16"/>
  <c r="G24" i="2"/>
  <c r="E9" i="1"/>
  <c r="AN31" i="2"/>
  <c r="EH22"/>
  <c r="EJ22" s="1"/>
  <c r="E73" i="17"/>
  <c r="BA31" i="2"/>
  <c r="BV29"/>
  <c r="ED26"/>
  <c r="EA26"/>
  <c r="DN26"/>
  <c r="AL26"/>
  <c r="DX23"/>
  <c r="T21"/>
  <c r="AL21"/>
  <c r="T18"/>
  <c r="DX17"/>
  <c r="AA31"/>
  <c r="AA33" s="1"/>
  <c r="U31"/>
  <c r="U33" s="1"/>
  <c r="ED16"/>
  <c r="CH16"/>
  <c r="T16"/>
  <c r="E87" i="5"/>
  <c r="F67" i="6"/>
  <c r="F36"/>
  <c r="E29" i="7"/>
  <c r="E17"/>
  <c r="F64" i="8"/>
  <c r="E31"/>
  <c r="F29" i="11"/>
  <c r="E84" i="12"/>
  <c r="EP24" i="2"/>
  <c r="D25" i="14"/>
  <c r="F84" i="18"/>
  <c r="F37"/>
  <c r="F20"/>
  <c r="D4"/>
  <c r="E60" i="4"/>
  <c r="F41" i="18"/>
  <c r="AF25" i="2"/>
  <c r="V31"/>
  <c r="F88" i="15"/>
  <c r="H34" i="1"/>
  <c r="H12"/>
  <c r="E81" i="14"/>
  <c r="G27" i="2"/>
  <c r="CJ31"/>
  <c r="CJ33" s="1"/>
  <c r="CP31"/>
  <c r="CP33" s="1"/>
  <c r="AE31"/>
  <c r="EN17"/>
  <c r="EP17" s="1"/>
  <c r="Q17"/>
  <c r="EG22"/>
  <c r="EP29"/>
  <c r="F92" i="5"/>
  <c r="ES19" i="2"/>
  <c r="F20" i="12"/>
  <c r="F34" i="7"/>
  <c r="BV16" i="2"/>
  <c r="CF31"/>
  <c r="CF33" s="1"/>
  <c r="H39" i="1"/>
  <c r="DC31" i="2"/>
  <c r="DE31"/>
  <c r="CA32"/>
  <c r="CA33" s="1"/>
  <c r="W29"/>
  <c r="EY28"/>
  <c r="AF28"/>
  <c r="W27"/>
  <c r="EA24"/>
  <c r="EA23"/>
  <c r="DU23"/>
  <c r="Z23"/>
  <c r="CH22"/>
  <c r="EA21"/>
  <c r="BJ21"/>
  <c r="AL20"/>
  <c r="Z20"/>
  <c r="T20"/>
  <c r="Q20"/>
  <c r="CQ19"/>
  <c r="AP31"/>
  <c r="AP32" s="1"/>
  <c r="AP33" s="1"/>
  <c r="AL19"/>
  <c r="AF19"/>
  <c r="EA18"/>
  <c r="EA17"/>
  <c r="CH17"/>
  <c r="AF17"/>
  <c r="W17"/>
  <c r="W16"/>
  <c r="Q16"/>
  <c r="T15"/>
  <c r="Q15"/>
  <c r="DM14"/>
  <c r="CQ14"/>
  <c r="AL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9" i="19"/>
  <c r="F20"/>
  <c r="H40" i="1"/>
  <c r="BJ27" i="2"/>
  <c r="BH31"/>
  <c r="BH33" s="1"/>
  <c r="E36" i="7"/>
  <c r="F36"/>
  <c r="BT17" i="2"/>
  <c r="BV17" s="1"/>
  <c r="EC31"/>
  <c r="EC33" s="1"/>
  <c r="EY26"/>
  <c r="DM23"/>
  <c r="AI17"/>
  <c r="CK16"/>
  <c r="ED15"/>
  <c r="CC15"/>
  <c r="E64" i="8"/>
  <c r="F89" i="10"/>
  <c r="F14"/>
  <c r="F84" i="12"/>
  <c r="F5" i="13"/>
  <c r="F83" i="14"/>
  <c r="E26" i="15"/>
  <c r="F12"/>
  <c r="E31" i="16"/>
  <c r="F20" i="17"/>
  <c r="F65" i="18"/>
  <c r="E20" i="19"/>
  <c r="AC26" i="2"/>
  <c r="E61" i="13"/>
  <c r="F40" i="16"/>
  <c r="E40" i="10"/>
  <c r="EP16" i="2"/>
  <c r="CQ26"/>
  <c r="ES24"/>
  <c r="EP22"/>
  <c r="ED22"/>
  <c r="CQ22"/>
  <c r="DX21"/>
  <c r="EG20"/>
  <c r="ED19"/>
  <c r="AL15"/>
  <c r="W15"/>
  <c r="W14"/>
  <c r="ES20"/>
  <c r="F14" i="15"/>
  <c r="E5" i="16"/>
  <c r="C23" i="13"/>
  <c r="E66" i="5"/>
  <c r="AC18" i="2"/>
  <c r="F68" i="4"/>
  <c r="DV31" i="2"/>
  <c r="DV33" s="1"/>
  <c r="CK15"/>
  <c r="AF14"/>
  <c r="E30" i="5"/>
  <c r="F20" i="7"/>
  <c r="F29" i="14"/>
  <c r="F12" i="18"/>
  <c r="C4"/>
  <c r="F7" i="4"/>
  <c r="AX15" i="2"/>
  <c r="F33" i="5"/>
  <c r="BD28" i="2"/>
  <c r="ED27"/>
  <c r="AI26"/>
  <c r="T26"/>
  <c r="DX25"/>
  <c r="CQ24"/>
  <c r="EV23"/>
  <c r="EY21"/>
  <c r="AF21"/>
  <c r="ED20"/>
  <c r="DX20"/>
  <c r="CQ20"/>
  <c r="CK20"/>
  <c r="EV15"/>
  <c r="F84" i="4"/>
  <c r="E14" i="5"/>
  <c r="F89" i="8"/>
  <c r="F12"/>
  <c r="C25" i="10"/>
  <c r="E83" i="11"/>
  <c r="BU28" i="2"/>
  <c r="G28" s="1"/>
  <c r="N28"/>
  <c r="N24"/>
  <c r="F66" i="15"/>
  <c r="BE31" i="2"/>
  <c r="BG14"/>
  <c r="G41" i="1"/>
  <c r="F5"/>
  <c r="E12" i="5"/>
  <c r="F12"/>
  <c r="E31" i="7"/>
  <c r="F31"/>
  <c r="C25"/>
  <c r="F17" i="8"/>
  <c r="D4"/>
  <c r="EK19" i="2"/>
  <c r="EM19" s="1"/>
  <c r="F78" i="9"/>
  <c r="E5"/>
  <c r="F5"/>
  <c r="E77" i="10"/>
  <c r="EL20" i="2"/>
  <c r="EL21"/>
  <c r="EM21" s="1"/>
  <c r="E77" i="11"/>
  <c r="E31"/>
  <c r="E26"/>
  <c r="F26"/>
  <c r="E32" i="12"/>
  <c r="F32"/>
  <c r="E33" i="13"/>
  <c r="BU23" i="2"/>
  <c r="BV23" s="1"/>
  <c r="F33" i="13"/>
  <c r="E14"/>
  <c r="F14"/>
  <c r="F20" i="16"/>
  <c r="E20"/>
  <c r="E29" i="17"/>
  <c r="F29"/>
  <c r="E62" i="19"/>
  <c r="EB29" i="2"/>
  <c r="ED29" s="1"/>
  <c r="EN18"/>
  <c r="E81" i="8"/>
  <c r="C25"/>
  <c r="F26"/>
  <c r="G16" i="1"/>
  <c r="D16" s="1"/>
  <c r="E67" i="9"/>
  <c r="EF19" i="2"/>
  <c r="F67" i="9"/>
  <c r="E66" i="11"/>
  <c r="F66"/>
  <c r="EF21" i="2"/>
  <c r="E77" i="4"/>
  <c r="EN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5" i="19"/>
  <c r="C96" s="1"/>
  <c r="F78"/>
  <c r="H11" i="1"/>
  <c r="D103" i="6"/>
  <c r="F93" i="9"/>
  <c r="E89" i="10"/>
  <c r="EY23" i="2"/>
  <c r="F66" i="5"/>
  <c r="E32" i="18"/>
  <c r="CN18" i="2"/>
  <c r="G13" i="1"/>
  <c r="BI14" i="2"/>
  <c r="E31" i="4"/>
  <c r="E5" i="5"/>
  <c r="F5"/>
  <c r="EW16" i="2"/>
  <c r="E99" i="6"/>
  <c r="E14"/>
  <c r="D4"/>
  <c r="F14"/>
  <c r="ET19" i="2"/>
  <c r="E93" i="9"/>
  <c r="EH19" i="2"/>
  <c r="C103" i="9"/>
  <c r="F95" i="10"/>
  <c r="EX20" i="2"/>
  <c r="E95" i="10"/>
  <c r="E56"/>
  <c r="F36" i="11"/>
  <c r="BT21" i="2"/>
  <c r="BV21" s="1"/>
  <c r="E36" i="11"/>
  <c r="E37" i="15"/>
  <c r="BT25" i="2"/>
  <c r="F25" s="1"/>
  <c r="F37" i="15"/>
  <c r="EE28" i="2"/>
  <c r="F67" i="18"/>
  <c r="EW29" i="2"/>
  <c r="EY29" s="1"/>
  <c r="F92" i="19"/>
  <c r="F37" i="1"/>
  <c r="E12" i="11"/>
  <c r="F12"/>
  <c r="EH15" i="2"/>
  <c r="F74" i="5"/>
  <c r="D99" i="17"/>
  <c r="E65"/>
  <c r="F65"/>
  <c r="F76" i="16"/>
  <c r="E76"/>
  <c r="EL26" i="2"/>
  <c r="E54" i="19"/>
  <c r="F54"/>
  <c r="E82" i="18"/>
  <c r="EO28" i="2"/>
  <c r="EP28" s="1"/>
  <c r="F82" i="18"/>
  <c r="F39" i="4"/>
  <c r="E78" i="6"/>
  <c r="C75"/>
  <c r="F78"/>
  <c r="E73" i="7"/>
  <c r="F73"/>
  <c r="F79"/>
  <c r="C76"/>
  <c r="CU31" i="2"/>
  <c r="CU33" s="1"/>
  <c r="CW19"/>
  <c r="F73" i="17"/>
  <c r="CQ28" i="2"/>
  <c r="F31" i="8"/>
  <c r="E17" i="9"/>
  <c r="F31" i="11"/>
  <c r="C95" i="13"/>
  <c r="F88" i="14"/>
  <c r="C25"/>
  <c r="E14" i="16"/>
  <c r="D103" i="9"/>
  <c r="EV22" i="2"/>
  <c r="DN16"/>
  <c r="EA16"/>
  <c r="F19" i="1"/>
  <c r="C19" s="1"/>
  <c r="F7"/>
  <c r="EK15" i="2"/>
  <c r="F79" i="5"/>
  <c r="E79"/>
  <c r="E14" i="7"/>
  <c r="F14"/>
  <c r="BB18" i="2"/>
  <c r="F29" i="8"/>
  <c r="E29"/>
  <c r="E83" i="9"/>
  <c r="F83"/>
  <c r="EO19" i="2"/>
  <c r="F12" i="10"/>
  <c r="C4"/>
  <c r="F64" i="11"/>
  <c r="E20"/>
  <c r="F20"/>
  <c r="E5"/>
  <c r="F5"/>
  <c r="F17" i="12"/>
  <c r="C4"/>
  <c r="E17"/>
  <c r="F80" i="13"/>
  <c r="ER23" i="2"/>
  <c r="ES23" s="1"/>
  <c r="E80" i="13"/>
  <c r="EH23" i="2"/>
  <c r="F69" i="13"/>
  <c r="F56" i="14"/>
  <c r="E56"/>
  <c r="E12"/>
  <c r="D4"/>
  <c r="EO27" i="2"/>
  <c r="D4" i="17"/>
  <c r="F14"/>
  <c r="E14"/>
  <c r="F30" i="18"/>
  <c r="E30"/>
  <c r="C25"/>
  <c r="E14" i="19"/>
  <c r="F14"/>
  <c r="F73" i="9"/>
  <c r="EI19" i="2"/>
  <c r="E52" i="4"/>
  <c r="F52"/>
  <c r="DN20" i="2"/>
  <c r="DU20"/>
  <c r="DR14"/>
  <c r="DN14"/>
  <c r="F35" i="12"/>
  <c r="E35"/>
  <c r="E37" i="13"/>
  <c r="F37"/>
  <c r="E7" i="5"/>
  <c r="F7"/>
  <c r="EE27" i="2"/>
  <c r="F67" i="17"/>
  <c r="E13" i="7"/>
  <c r="AB17" i="2"/>
  <c r="F13" i="7"/>
  <c r="AB19" i="2"/>
  <c r="G19" s="1"/>
  <c r="E13" i="9"/>
  <c r="D12"/>
  <c r="F95" i="8"/>
  <c r="CH23" i="2"/>
  <c r="N22"/>
  <c r="E17" i="5"/>
  <c r="F17"/>
  <c r="E63" i="7"/>
  <c r="F63"/>
  <c r="F84" i="8"/>
  <c r="E84"/>
  <c r="ER18" i="2"/>
  <c r="E29" i="9"/>
  <c r="F29"/>
  <c r="EI20" i="2"/>
  <c r="F14" i="12"/>
  <c r="D4"/>
  <c r="E27" i="13"/>
  <c r="F27"/>
  <c r="E94" i="14"/>
  <c r="F94"/>
  <c r="EW24" i="2"/>
  <c r="EY24" s="1"/>
  <c r="E14" i="14"/>
  <c r="F14"/>
  <c r="E84" i="17"/>
  <c r="EQ27" i="2"/>
  <c r="ES27" s="1"/>
  <c r="E78" i="18"/>
  <c r="EK28" i="2"/>
  <c r="EM28" s="1"/>
  <c r="F78" i="18"/>
  <c r="E81" i="19"/>
  <c r="F81"/>
  <c r="EE29" i="2"/>
  <c r="EG29" s="1"/>
  <c r="E64" i="19"/>
  <c r="F64"/>
  <c r="C4"/>
  <c r="F5"/>
  <c r="F64" i="10"/>
  <c r="EI17" i="2"/>
  <c r="EF14"/>
  <c r="F62" i="4"/>
  <c r="E62"/>
  <c r="CL31" i="2"/>
  <c r="CL33" s="1"/>
  <c r="CN16"/>
  <c r="CZ14"/>
  <c r="CY31"/>
  <c r="F74" i="10"/>
  <c r="C72"/>
  <c r="EH20" i="2" s="1"/>
  <c r="F73" i="11"/>
  <c r="C72"/>
  <c r="C81"/>
  <c r="E82"/>
  <c r="E70" i="13"/>
  <c r="F70"/>
  <c r="C72" i="14"/>
  <c r="F75"/>
  <c r="F99" i="9"/>
  <c r="D25" i="7"/>
  <c r="BD21" i="2"/>
  <c r="BD15"/>
  <c r="EP23"/>
  <c r="ES28"/>
  <c r="CN26"/>
  <c r="DR25"/>
  <c r="ED24"/>
  <c r="DU21"/>
  <c r="AO21"/>
  <c r="EA20"/>
  <c r="N20"/>
  <c r="AI19"/>
  <c r="AI18"/>
  <c r="Q18"/>
  <c r="CQ17"/>
  <c r="T17"/>
  <c r="AU26"/>
  <c r="H31" i="1"/>
  <c r="DM29" i="2"/>
  <c r="CK29"/>
  <c r="Q29"/>
  <c r="DX28"/>
  <c r="DX27"/>
  <c r="DR27"/>
  <c r="AF27"/>
  <c r="DU26"/>
  <c r="BJ26"/>
  <c r="DU25"/>
  <c r="BJ25"/>
  <c r="W25"/>
  <c r="CQ25"/>
  <c r="EG24"/>
  <c r="EM23"/>
  <c r="T23"/>
  <c r="EY22"/>
  <c r="DX22"/>
  <c r="AL22"/>
  <c r="AF20"/>
  <c r="CH19"/>
  <c r="W19"/>
  <c r="X31"/>
  <c r="X32" s="1"/>
  <c r="X33" s="1"/>
  <c r="CK17"/>
  <c r="BJ17"/>
  <c r="Z17"/>
  <c r="DR16"/>
  <c r="Z14"/>
  <c r="T14"/>
  <c r="BV20"/>
  <c r="H17" i="1"/>
  <c r="EA29" i="2"/>
  <c r="CH29"/>
  <c r="DN28"/>
  <c r="CK28"/>
  <c r="W28"/>
  <c r="T28"/>
  <c r="DU27"/>
  <c r="DX26"/>
  <c r="CK26"/>
  <c r="BJ24"/>
  <c r="EA22"/>
  <c r="EV21"/>
  <c r="DR21"/>
  <c r="CK21"/>
  <c r="CH21"/>
  <c r="BJ20"/>
  <c r="W20"/>
  <c r="DU19"/>
  <c r="Z19"/>
  <c r="DM17"/>
  <c r="CG31"/>
  <c r="BJ16"/>
  <c r="ED14"/>
  <c r="DX14"/>
  <c r="Q14"/>
  <c r="AU15"/>
  <c r="CW26"/>
  <c r="AU27"/>
  <c r="E11" i="1"/>
  <c r="BK32" i="2"/>
  <c r="BK33" s="1"/>
  <c r="BM31"/>
  <c r="DH32"/>
  <c r="DH33" s="1"/>
  <c r="DM28"/>
  <c r="DM27"/>
  <c r="DZ31"/>
  <c r="DZ33" s="1"/>
  <c r="AK31"/>
  <c r="AK33" s="1"/>
  <c r="EJ18"/>
  <c r="DN27"/>
  <c r="DM21"/>
  <c r="AX19" l="1"/>
  <c r="AV31"/>
  <c r="AV33" s="1"/>
  <c r="F24"/>
  <c r="C24" s="1"/>
  <c r="F29"/>
  <c r="C29" s="1"/>
  <c r="F21"/>
  <c r="F18"/>
  <c r="F17"/>
  <c r="C17" s="1"/>
  <c r="C99" i="17"/>
  <c r="BS15" i="2"/>
  <c r="D38" i="19"/>
  <c r="D49" s="1"/>
  <c r="D50" s="1"/>
  <c r="D39" i="16"/>
  <c r="D50" s="1"/>
  <c r="CG33" i="2"/>
  <c r="AE33"/>
  <c r="V33"/>
  <c r="P33"/>
  <c r="I10" i="1"/>
  <c r="C10" s="1"/>
  <c r="AG33" i="2"/>
  <c r="CO33"/>
  <c r="I12" i="1"/>
  <c r="C12" s="1"/>
  <c r="AJ33" i="2"/>
  <c r="DT33"/>
  <c r="J40" i="1"/>
  <c r="EU33" i="2"/>
  <c r="DY33"/>
  <c r="S33"/>
  <c r="AT33"/>
  <c r="G18"/>
  <c r="D18" s="1"/>
  <c r="AW31"/>
  <c r="AW33" s="1"/>
  <c r="C41" i="5"/>
  <c r="C53" s="1"/>
  <c r="C54" s="1"/>
  <c r="D40" i="18"/>
  <c r="D52" s="1"/>
  <c r="BV15" i="2"/>
  <c r="G15"/>
  <c r="D15" s="1"/>
  <c r="CE29"/>
  <c r="E25" i="15"/>
  <c r="EG26" i="2"/>
  <c r="BQ31"/>
  <c r="E25" i="5"/>
  <c r="E4" i="13"/>
  <c r="DC32" i="2"/>
  <c r="DC33" s="1"/>
  <c r="E25" i="16"/>
  <c r="BV26" i="2"/>
  <c r="F4" i="16"/>
  <c r="E36"/>
  <c r="F36"/>
  <c r="E4" i="10"/>
  <c r="D39"/>
  <c r="D51" s="1"/>
  <c r="CE18" i="2"/>
  <c r="CE23"/>
  <c r="E4" i="16"/>
  <c r="C40" i="14"/>
  <c r="C51" s="1"/>
  <c r="F4" i="13"/>
  <c r="E25" i="12"/>
  <c r="E71" i="7"/>
  <c r="C42" i="6"/>
  <c r="C54" s="1"/>
  <c r="G16" i="2"/>
  <c r="D16" s="1"/>
  <c r="BR31"/>
  <c r="BR33" s="1"/>
  <c r="E4" i="5"/>
  <c r="F4" i="4"/>
  <c r="D47"/>
  <c r="DJ20" i="2"/>
  <c r="DO23"/>
  <c r="DO19"/>
  <c r="BP31"/>
  <c r="EB31"/>
  <c r="EV26"/>
  <c r="D40" i="14"/>
  <c r="AO31" i="2"/>
  <c r="AO33" s="1"/>
  <c r="DO24"/>
  <c r="H20"/>
  <c r="C19"/>
  <c r="BO32"/>
  <c r="BO33" s="1"/>
  <c r="F98" i="8"/>
  <c r="CE16" i="2"/>
  <c r="DJ14"/>
  <c r="H33" i="1"/>
  <c r="BN32" i="2"/>
  <c r="BN33" s="1"/>
  <c r="C16"/>
  <c r="CE19"/>
  <c r="C28"/>
  <c r="BC31"/>
  <c r="E4" i="11"/>
  <c r="F25" i="9"/>
  <c r="F71" i="7"/>
  <c r="E25" i="6"/>
  <c r="F4" i="5"/>
  <c r="C23" i="2"/>
  <c r="E25" i="19"/>
  <c r="DO29" i="2"/>
  <c r="C38" i="17"/>
  <c r="C52" s="1"/>
  <c r="DO26" i="2"/>
  <c r="BD25"/>
  <c r="F25" i="15"/>
  <c r="DK22" i="2"/>
  <c r="F25" i="12"/>
  <c r="F4" i="11"/>
  <c r="I13" i="1"/>
  <c r="C13" s="1"/>
  <c r="F102" i="5"/>
  <c r="E4" i="4"/>
  <c r="F94"/>
  <c r="CE26" i="2"/>
  <c r="DO18"/>
  <c r="DO15"/>
  <c r="F25" i="19"/>
  <c r="BJ29" i="2"/>
  <c r="C26"/>
  <c r="DK25"/>
  <c r="CE25"/>
  <c r="CE24"/>
  <c r="G22"/>
  <c r="H22" s="1"/>
  <c r="C40" i="12"/>
  <c r="C51" s="1"/>
  <c r="C39" i="11"/>
  <c r="C51" s="1"/>
  <c r="CE17" i="2"/>
  <c r="C39" i="7"/>
  <c r="C50" s="1"/>
  <c r="DO17" i="2"/>
  <c r="F25" i="6"/>
  <c r="AR31" i="2"/>
  <c r="AQ32"/>
  <c r="AQ33" s="1"/>
  <c r="E102" i="5"/>
  <c r="C15" i="2"/>
  <c r="I6" i="1"/>
  <c r="C6" s="1"/>
  <c r="C47" i="4"/>
  <c r="E94"/>
  <c r="I8" i="1"/>
  <c r="C8" s="1"/>
  <c r="DK15" i="2"/>
  <c r="CE20"/>
  <c r="C22"/>
  <c r="CE14"/>
  <c r="D28"/>
  <c r="H28"/>
  <c r="CE27"/>
  <c r="F4" i="15"/>
  <c r="DW32" i="2"/>
  <c r="DW33" s="1"/>
  <c r="CE28"/>
  <c r="E89" i="18"/>
  <c r="CC31" i="2"/>
  <c r="DX31"/>
  <c r="D27"/>
  <c r="DR31"/>
  <c r="CT31"/>
  <c r="I5" i="1"/>
  <c r="C5" s="1"/>
  <c r="Q31" i="2"/>
  <c r="G4" i="1"/>
  <c r="G26" i="2"/>
  <c r="D26" s="1"/>
  <c r="AI31"/>
  <c r="J10" i="1"/>
  <c r="D10" s="1"/>
  <c r="DU31" i="2"/>
  <c r="E4" i="15"/>
  <c r="D40"/>
  <c r="D51" s="1"/>
  <c r="DO25" i="2"/>
  <c r="D29"/>
  <c r="FA29" s="1"/>
  <c r="DK16"/>
  <c r="EG28"/>
  <c r="F25" i="10"/>
  <c r="D25" i="2"/>
  <c r="AS31"/>
  <c r="H36" i="1"/>
  <c r="D36"/>
  <c r="E36" s="1"/>
  <c r="N31" i="2"/>
  <c r="BT31"/>
  <c r="DJ18"/>
  <c r="D39" i="11"/>
  <c r="D51" s="1"/>
  <c r="DJ23" i="2"/>
  <c r="J5" i="1"/>
  <c r="D5" s="1"/>
  <c r="C36" i="13"/>
  <c r="C48" s="1"/>
  <c r="E98" i="8"/>
  <c r="D20" i="2"/>
  <c r="T31"/>
  <c r="D24"/>
  <c r="I7" i="1"/>
  <c r="C7" s="1"/>
  <c r="E25" i="9"/>
  <c r="EP18" i="2"/>
  <c r="C20"/>
  <c r="C14"/>
  <c r="J6" i="1"/>
  <c r="D6" s="1"/>
  <c r="AC19" i="2"/>
  <c r="DJ22"/>
  <c r="DO16"/>
  <c r="DK28"/>
  <c r="EQ31"/>
  <c r="BV28"/>
  <c r="C40" i="15"/>
  <c r="DO22" i="2"/>
  <c r="EJ19"/>
  <c r="D41" i="5"/>
  <c r="W31" i="2"/>
  <c r="F98" i="12"/>
  <c r="E98"/>
  <c r="CK31" i="2"/>
  <c r="DN31"/>
  <c r="AN33"/>
  <c r="J13" i="1"/>
  <c r="D13" s="1"/>
  <c r="BA32" i="2"/>
  <c r="BA33" s="1"/>
  <c r="F25" i="5"/>
  <c r="CQ31" i="2"/>
  <c r="C40" i="18"/>
  <c r="C52" s="1"/>
  <c r="AF31" i="2"/>
  <c r="J8" i="1"/>
  <c r="D8" s="1"/>
  <c r="Z31" i="2"/>
  <c r="CH31"/>
  <c r="AX18"/>
  <c r="DK20"/>
  <c r="DF31"/>
  <c r="DE32"/>
  <c r="DE33" s="1"/>
  <c r="CE15"/>
  <c r="F4" i="18"/>
  <c r="E4"/>
  <c r="J32" i="1"/>
  <c r="D32" s="1"/>
  <c r="DO28" i="2"/>
  <c r="E25" i="18"/>
  <c r="E25" i="10"/>
  <c r="C39" i="9"/>
  <c r="I18" i="1"/>
  <c r="C18" s="1"/>
  <c r="E72" i="10"/>
  <c r="C27" i="2"/>
  <c r="H27"/>
  <c r="EH24"/>
  <c r="E72" i="14"/>
  <c r="F72"/>
  <c r="C98"/>
  <c r="EN21" i="2"/>
  <c r="EP21" s="1"/>
  <c r="F81" i="11"/>
  <c r="E81"/>
  <c r="DK14" i="2"/>
  <c r="DO14"/>
  <c r="EH16"/>
  <c r="C103" i="6"/>
  <c r="E75"/>
  <c r="EY16" i="2"/>
  <c r="EW31"/>
  <c r="F73" i="18"/>
  <c r="E73"/>
  <c r="EH28" i="2"/>
  <c r="EJ28" s="1"/>
  <c r="F25" i="7"/>
  <c r="E25"/>
  <c r="F72" i="11"/>
  <c r="E72"/>
  <c r="EH21" i="2"/>
  <c r="EJ21" s="1"/>
  <c r="C98" i="11"/>
  <c r="CZ31" i="2"/>
  <c r="CY33"/>
  <c r="E4" i="12"/>
  <c r="D40"/>
  <c r="F4"/>
  <c r="F12" i="9"/>
  <c r="E12"/>
  <c r="D4"/>
  <c r="AB31" i="2"/>
  <c r="AB33" s="1"/>
  <c r="G17"/>
  <c r="AC17"/>
  <c r="F4" i="10"/>
  <c r="C39"/>
  <c r="EM15" i="2"/>
  <c r="F14" i="1"/>
  <c r="EJ15" i="2"/>
  <c r="DJ15"/>
  <c r="E4" i="6"/>
  <c r="D42"/>
  <c r="F4"/>
  <c r="G14" i="2"/>
  <c r="BJ14"/>
  <c r="BI31"/>
  <c r="BI33" s="1"/>
  <c r="F57" i="18"/>
  <c r="E57"/>
  <c r="C99"/>
  <c r="EH25" i="2"/>
  <c r="E72" i="15"/>
  <c r="F72"/>
  <c r="EG21" i="2"/>
  <c r="DK21"/>
  <c r="EG19"/>
  <c r="DK19"/>
  <c r="E25" i="11"/>
  <c r="F25"/>
  <c r="EM20" i="2"/>
  <c r="EL31"/>
  <c r="EL33" s="1"/>
  <c r="EJ23"/>
  <c r="EJ20"/>
  <c r="F95" i="13"/>
  <c r="EE31" i="2"/>
  <c r="EE33" s="1"/>
  <c r="DJ19"/>
  <c r="EG27"/>
  <c r="CN31"/>
  <c r="DK17"/>
  <c r="EJ17"/>
  <c r="EI31"/>
  <c r="EI33" s="1"/>
  <c r="ER31"/>
  <c r="ER33" s="1"/>
  <c r="ES18"/>
  <c r="BD18"/>
  <c r="BB31"/>
  <c r="BB33" s="1"/>
  <c r="C37" i="1"/>
  <c r="E37" s="1"/>
  <c r="F30"/>
  <c r="H37"/>
  <c r="F4"/>
  <c r="H5"/>
  <c r="EG14" i="2"/>
  <c r="EF31"/>
  <c r="EF33" s="1"/>
  <c r="D19"/>
  <c r="H19"/>
  <c r="D4" i="7"/>
  <c r="F12"/>
  <c r="E12"/>
  <c r="D38" i="17"/>
  <c r="F4"/>
  <c r="E4"/>
  <c r="E4" i="14"/>
  <c r="F4"/>
  <c r="EP19" i="2"/>
  <c r="EO31"/>
  <c r="EO33" s="1"/>
  <c r="F103" i="9"/>
  <c r="E103"/>
  <c r="E76" i="7"/>
  <c r="F76"/>
  <c r="C97"/>
  <c r="EK17" i="2"/>
  <c r="EM17" s="1"/>
  <c r="EV19"/>
  <c r="ET31"/>
  <c r="ET33" s="1"/>
  <c r="F25" i="4"/>
  <c r="E25"/>
  <c r="F75" i="19"/>
  <c r="EK29" i="2"/>
  <c r="E75" i="19"/>
  <c r="F96"/>
  <c r="EH26" i="2"/>
  <c r="F71" i="16"/>
  <c r="C97"/>
  <c r="E71"/>
  <c r="EP14" i="2"/>
  <c r="E25" i="8"/>
  <c r="F25"/>
  <c r="F25" i="17"/>
  <c r="E25"/>
  <c r="G23" i="2"/>
  <c r="BU31"/>
  <c r="BU33" s="1"/>
  <c r="D39" i="8"/>
  <c r="F4"/>
  <c r="E4"/>
  <c r="D41" i="1"/>
  <c r="H41"/>
  <c r="G30"/>
  <c r="E95" i="13"/>
  <c r="F72" i="10"/>
  <c r="C99"/>
  <c r="E99" s="1"/>
  <c r="F25" i="18"/>
  <c r="DO20" i="2"/>
  <c r="C39" i="8"/>
  <c r="C51" s="1"/>
  <c r="D36" i="13"/>
  <c r="F23"/>
  <c r="E23"/>
  <c r="CE21" i="2"/>
  <c r="D21"/>
  <c r="EN27"/>
  <c r="DJ27" s="1"/>
  <c r="E16" i="1"/>
  <c r="G14"/>
  <c r="H16"/>
  <c r="E4" i="19"/>
  <c r="C38"/>
  <c r="C49" s="1"/>
  <c r="F4"/>
  <c r="H7" i="1"/>
  <c r="F25" i="14"/>
  <c r="E25"/>
  <c r="I25" i="1"/>
  <c r="CW31" i="2"/>
  <c r="E38" i="4"/>
  <c r="F38"/>
  <c r="EM26" i="2"/>
  <c r="DK26"/>
  <c r="BV25"/>
  <c r="EY20"/>
  <c r="EX31"/>
  <c r="BE32"/>
  <c r="BE33" s="1"/>
  <c r="BG31"/>
  <c r="F75" i="6"/>
  <c r="F82" i="17"/>
  <c r="DK23" i="2"/>
  <c r="DK18"/>
  <c r="DO21"/>
  <c r="CE22"/>
  <c r="CD31"/>
  <c r="CD33" s="1"/>
  <c r="BM32"/>
  <c r="BM33" s="1"/>
  <c r="EA31"/>
  <c r="DK27"/>
  <c r="DO27"/>
  <c r="J12" i="1"/>
  <c r="D12" s="1"/>
  <c r="AL31" i="2"/>
  <c r="DM31"/>
  <c r="DM33" s="1"/>
  <c r="CC33" l="1"/>
  <c r="I24" i="1"/>
  <c r="C49" i="13"/>
  <c r="C52" i="12"/>
  <c r="G51"/>
  <c r="D53" i="18"/>
  <c r="F51" i="11"/>
  <c r="E10" i="1"/>
  <c r="C52" i="8"/>
  <c r="DN33" i="2"/>
  <c r="I15" i="1"/>
  <c r="C15" s="1"/>
  <c r="AS33" i="2"/>
  <c r="AR33"/>
  <c r="J17" i="1"/>
  <c r="D17" s="1"/>
  <c r="BC33" i="2"/>
  <c r="I32" i="1"/>
  <c r="C32" s="1"/>
  <c r="E32" s="1"/>
  <c r="EB33" i="2"/>
  <c r="I20" i="1"/>
  <c r="C20" s="1"/>
  <c r="BQ33" i="2"/>
  <c r="EQ33"/>
  <c r="D52" i="15"/>
  <c r="D52" i="11"/>
  <c r="D52" i="10"/>
  <c r="C52" i="9"/>
  <c r="C53" s="1"/>
  <c r="C53" i="17"/>
  <c r="EZ23" i="2"/>
  <c r="DJ28"/>
  <c r="EZ28" s="1"/>
  <c r="F25" i="16"/>
  <c r="E16" i="2"/>
  <c r="FA25"/>
  <c r="E28"/>
  <c r="C39" i="16"/>
  <c r="C50" s="1"/>
  <c r="BP32" i="2"/>
  <c r="BP33" s="1"/>
  <c r="EZ20"/>
  <c r="J20" i="1"/>
  <c r="D20" s="1"/>
  <c r="C55" i="6"/>
  <c r="BS31" i="2"/>
  <c r="H16"/>
  <c r="DL14"/>
  <c r="EZ19"/>
  <c r="ED31"/>
  <c r="DJ21"/>
  <c r="DL21" s="1"/>
  <c r="EZ14"/>
  <c r="EZ22"/>
  <c r="C51" i="7"/>
  <c r="F103" i="6"/>
  <c r="H15" i="2"/>
  <c r="FA16"/>
  <c r="E26"/>
  <c r="H26"/>
  <c r="H24"/>
  <c r="E24"/>
  <c r="D22"/>
  <c r="E22" s="1"/>
  <c r="F39" i="11"/>
  <c r="E6" i="1"/>
  <c r="E37" i="4"/>
  <c r="F37"/>
  <c r="I21" i="1"/>
  <c r="C21" s="1"/>
  <c r="I4"/>
  <c r="E27" i="2"/>
  <c r="FA20"/>
  <c r="K8" i="1"/>
  <c r="DL23" i="2"/>
  <c r="E8" i="1"/>
  <c r="FA28" i="2"/>
  <c r="BT32"/>
  <c r="BT33" s="1"/>
  <c r="F40" i="18"/>
  <c r="K5" i="1"/>
  <c r="C4"/>
  <c r="EZ27" i="2"/>
  <c r="J31" i="1"/>
  <c r="D31" s="1"/>
  <c r="D51" i="16"/>
  <c r="K10" i="1"/>
  <c r="H14"/>
  <c r="AU31" i="2"/>
  <c r="H29"/>
  <c r="FA24"/>
  <c r="E29"/>
  <c r="FA18"/>
  <c r="I39" i="1"/>
  <c r="E39" i="11"/>
  <c r="E103" i="6"/>
  <c r="E40" i="18"/>
  <c r="C48" i="4"/>
  <c r="E20" i="2"/>
  <c r="K6" i="1"/>
  <c r="DL20" i="2"/>
  <c r="DL22"/>
  <c r="C51" i="15"/>
  <c r="C52" s="1"/>
  <c r="F40"/>
  <c r="E40"/>
  <c r="D53" i="5"/>
  <c r="E41"/>
  <c r="F41"/>
  <c r="E97" i="7"/>
  <c r="FA21" i="2"/>
  <c r="F97" i="7"/>
  <c r="DF32" i="2"/>
  <c r="DF33" s="1"/>
  <c r="J15" i="1"/>
  <c r="AX31" i="2"/>
  <c r="H30" i="1"/>
  <c r="EN31" i="2"/>
  <c r="E96" i="19"/>
  <c r="DJ17" i="2"/>
  <c r="EZ17" s="1"/>
  <c r="EP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W32"/>
  <c r="EW33" s="1"/>
  <c r="I43" i="1"/>
  <c r="DJ16" i="2"/>
  <c r="EJ16"/>
  <c r="EH31"/>
  <c r="EH33" s="1"/>
  <c r="E98" i="14"/>
  <c r="F98"/>
  <c r="F47" i="4"/>
  <c r="E47"/>
  <c r="D48"/>
  <c r="BG32" i="2"/>
  <c r="BG33" s="1"/>
  <c r="E38" i="19"/>
  <c r="F38"/>
  <c r="E41" i="1"/>
  <c r="J21"/>
  <c r="D21" s="1"/>
  <c r="BV31" i="2"/>
  <c r="I40" i="1"/>
  <c r="EV31" i="2"/>
  <c r="J33" i="1"/>
  <c r="D33" s="1"/>
  <c r="EG31" i="2"/>
  <c r="BD31"/>
  <c r="I17" i="1"/>
  <c r="C17" s="1"/>
  <c r="J34"/>
  <c r="I33"/>
  <c r="C33" s="1"/>
  <c r="EJ25" i="2"/>
  <c r="DJ25"/>
  <c r="DL25" s="1"/>
  <c r="J18" i="1"/>
  <c r="D18" s="1"/>
  <c r="BJ31" i="2"/>
  <c r="E42" i="6"/>
  <c r="F42"/>
  <c r="D54"/>
  <c r="E15" i="2"/>
  <c r="FA15"/>
  <c r="E98" i="11"/>
  <c r="F98"/>
  <c r="EJ24" i="2"/>
  <c r="DJ24"/>
  <c r="DL19"/>
  <c r="F99" i="10"/>
  <c r="G23" i="1"/>
  <c r="E5"/>
  <c r="DL18" i="2"/>
  <c r="EK31"/>
  <c r="EK33" s="1"/>
  <c r="C52" i="11"/>
  <c r="E51"/>
  <c r="J43" i="1"/>
  <c r="EX32" i="2"/>
  <c r="EX33" s="1"/>
  <c r="EY31"/>
  <c r="FA26"/>
  <c r="F39" i="8"/>
  <c r="D51"/>
  <c r="G51" s="1"/>
  <c r="E39"/>
  <c r="DJ26" i="2"/>
  <c r="EZ26" s="1"/>
  <c r="EJ26"/>
  <c r="J38" i="1"/>
  <c r="E19" i="2"/>
  <c r="FA19"/>
  <c r="C18"/>
  <c r="H18"/>
  <c r="F31"/>
  <c r="F33" s="1"/>
  <c r="J39" i="1"/>
  <c r="ES31" i="2"/>
  <c r="E4" i="9"/>
  <c r="F4"/>
  <c r="D39"/>
  <c r="F40" i="12"/>
  <c r="D51"/>
  <c r="H51" s="1"/>
  <c r="E40"/>
  <c r="E99" i="17"/>
  <c r="H25" i="2"/>
  <c r="C25"/>
  <c r="C25" i="1"/>
  <c r="E25" s="1"/>
  <c r="EM29" i="2"/>
  <c r="DJ29"/>
  <c r="F40" i="14"/>
  <c r="D51"/>
  <c r="E40"/>
  <c r="D52" i="17"/>
  <c r="E38"/>
  <c r="F38"/>
  <c r="H14" i="2"/>
  <c r="G31"/>
  <c r="G33" s="1"/>
  <c r="D14"/>
  <c r="EZ15"/>
  <c r="DL15"/>
  <c r="C51" i="10"/>
  <c r="F39"/>
  <c r="E39"/>
  <c r="J7" i="1"/>
  <c r="AC31" i="2"/>
  <c r="F99" i="17"/>
  <c r="C52" i="14"/>
  <c r="I31" i="1"/>
  <c r="C31" s="1"/>
  <c r="FA27" i="2"/>
  <c r="DL27"/>
  <c r="K12" i="1"/>
  <c r="DK31" i="2"/>
  <c r="DK33" s="1"/>
  <c r="DO31"/>
  <c r="CE31"/>
  <c r="D15" i="1" l="1"/>
  <c r="E15" s="1"/>
  <c r="J14"/>
  <c r="J4"/>
  <c r="K4" s="1"/>
  <c r="D7"/>
  <c r="E7" s="1"/>
  <c r="E50" i="16"/>
  <c r="C53" i="18"/>
  <c r="E20" i="1"/>
  <c r="E39"/>
  <c r="K32"/>
  <c r="EP31" i="2"/>
  <c r="EN33"/>
  <c r="E33" i="1"/>
  <c r="E31"/>
  <c r="D30"/>
  <c r="K40"/>
  <c r="DL28" i="2"/>
  <c r="FB28"/>
  <c r="F50" i="16"/>
  <c r="C51"/>
  <c r="F39"/>
  <c r="E39"/>
  <c r="FB20" i="2"/>
  <c r="FB19"/>
  <c r="FA22"/>
  <c r="FB22" s="1"/>
  <c r="DL17"/>
  <c r="D31"/>
  <c r="D33" s="1"/>
  <c r="FB27"/>
  <c r="K31" i="1"/>
  <c r="E52" i="18"/>
  <c r="F52"/>
  <c r="D55" i="6"/>
  <c r="E51" i="15"/>
  <c r="F51"/>
  <c r="D54" i="5"/>
  <c r="E53"/>
  <c r="F53"/>
  <c r="I38" i="1"/>
  <c r="K38" s="1"/>
  <c r="K15"/>
  <c r="FB15" i="2"/>
  <c r="DL26"/>
  <c r="EZ21"/>
  <c r="FB21" s="1"/>
  <c r="DJ31"/>
  <c r="J30" i="1"/>
  <c r="I14"/>
  <c r="I34"/>
  <c r="K34" s="1"/>
  <c r="H31" i="2"/>
  <c r="EZ29"/>
  <c r="FB29" s="1"/>
  <c r="DL29"/>
  <c r="F51" i="12"/>
  <c r="E51"/>
  <c r="D52"/>
  <c r="FA14" i="2"/>
  <c r="E14"/>
  <c r="E51" i="14"/>
  <c r="F51"/>
  <c r="D52"/>
  <c r="E39" i="9"/>
  <c r="D52"/>
  <c r="F39"/>
  <c r="E23" i="2"/>
  <c r="FA23"/>
  <c r="FB23" s="1"/>
  <c r="EJ31"/>
  <c r="K33" i="1"/>
  <c r="F39" i="7"/>
  <c r="D50"/>
  <c r="E39"/>
  <c r="I35" i="1"/>
  <c r="K35" s="1"/>
  <c r="FA17" i="2"/>
  <c r="FB17" s="1"/>
  <c r="E17"/>
  <c r="D49" i="13"/>
  <c r="E48"/>
  <c r="F48"/>
  <c r="K7" i="1"/>
  <c r="F51" i="8"/>
  <c r="D52"/>
  <c r="E51"/>
  <c r="E54" i="6"/>
  <c r="F54"/>
  <c r="C52" i="10"/>
  <c r="E51"/>
  <c r="F51"/>
  <c r="D53" i="17"/>
  <c r="F52"/>
  <c r="E52"/>
  <c r="EZ25" i="2"/>
  <c r="FB25" s="1"/>
  <c r="E25"/>
  <c r="EZ18"/>
  <c r="FB18" s="1"/>
  <c r="E18"/>
  <c r="C31"/>
  <c r="C33" s="1"/>
  <c r="H23" i="1"/>
  <c r="DL24" i="2"/>
  <c r="EZ24"/>
  <c r="FB24" s="1"/>
  <c r="E49" i="19"/>
  <c r="C50"/>
  <c r="F49"/>
  <c r="EZ16" i="2"/>
  <c r="FB16" s="1"/>
  <c r="DL16"/>
  <c r="FB26"/>
  <c r="EM31"/>
  <c r="E12" i="1"/>
  <c r="K24"/>
  <c r="J23" l="1"/>
  <c r="J29" s="1"/>
  <c r="DL31" i="2"/>
  <c r="DJ33"/>
  <c r="E40" i="1"/>
  <c r="C30"/>
  <c r="E30" s="1"/>
  <c r="E31" i="2"/>
  <c r="I30" i="1"/>
  <c r="K30" s="1"/>
  <c r="FB14" i="2"/>
  <c r="FA31"/>
  <c r="FA33" s="1"/>
  <c r="D53" i="9"/>
  <c r="F52"/>
  <c r="E52"/>
  <c r="E18" i="1"/>
  <c r="D14"/>
  <c r="D4"/>
  <c r="E4" s="1"/>
  <c r="K14"/>
  <c r="I23"/>
  <c r="I29" s="1"/>
  <c r="G45"/>
  <c r="H29"/>
  <c r="F50" i="7"/>
  <c r="D51"/>
  <c r="E50"/>
  <c r="EZ31" i="2"/>
  <c r="EZ33" s="1"/>
  <c r="E17" i="1"/>
  <c r="C14"/>
  <c r="C23" s="1"/>
  <c r="C29" s="1"/>
  <c r="J45" l="1"/>
  <c r="G46" s="1"/>
  <c r="C45"/>
  <c r="D23"/>
  <c r="I45"/>
  <c r="F46" s="1"/>
  <c r="F47" s="1"/>
  <c r="E14"/>
  <c r="FB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<sst xmlns="http://schemas.openxmlformats.org/spreadsheetml/2006/main" count="2855" uniqueCount="438">
  <si>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</si>
  <si>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</si>
  <si>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</si>
  <si>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</si>
  <si>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</si>
  <si>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</si>
  <si>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</si>
  <si>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</si>
  <si>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</si>
  <si>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</si>
  <si>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</si>
  <si>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</si>
  <si>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</si>
  <si>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</si>
  <si>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</si>
  <si>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</si>
  <si>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</si>
  <si>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</si>
  <si>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</si>
  <si>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</si>
  <si>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</si>
  <si>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</si>
  <si>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</si>
  <si>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</si>
  <si>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</si>
  <si>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</si>
  <si>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</si>
  <si>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</si>
  <si>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</si>
  <si>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</si>
  <si>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</si>
  <si>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</si>
  <si>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</si>
  <si>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</si>
  <si>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</si>
  <si>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</si>
  <si>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</si>
  <si>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</si>
  <si>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</si>
  <si>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</si>
  <si>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</si>
  <si>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</si>
  <si>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</si>
  <si>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</si>
  <si>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</si>
  <si>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</si>
  <si>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</si>
  <si>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</si>
  <si>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</si>
  <si>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</si>
  <si>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</si>
  <si>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</si>
  <si>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</si>
  <si>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</si>
  <si>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</si>
  <si>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</si>
  <si>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</si>
  <si>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</si>
  <si>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</si>
  <si>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</si>
  <si>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</si>
  <si>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</si>
  <si>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</si>
  <si>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</si>
  <si>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</si>
  <si>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</si>
  <si>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</si>
  <si>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</si>
  <si>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</si>
  <si>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</si>
  <si>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</si>
  <si>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</si>
  <si>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</si>
  <si>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</si>
  <si>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</si>
  <si>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</si>
  <si>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</si>
  <si>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</si>
  <si>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</si>
  <si>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</si>
  <si>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</si>
  <si>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</si>
  <si>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</si>
  <si>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</si>
  <si>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</si>
  <si>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</si>
  <si>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</si>
  <si>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</si>
  <si>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</si>
  <si>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</si>
  <si>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</si>
  <si>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</si>
  <si>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</si>
  <si>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</si>
  <si>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</si>
  <si>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</si>
  <si>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</si>
  <si>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</si>
  <si>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</si>
  <si>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</si>
  <si>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</si>
  <si>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</si>
  <si>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</si>
  <si>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</si>
  <si>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</si>
  <si>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</si>
  <si>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</si>
  <si>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</si>
  <si>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</si>
  <si>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</si>
  <si>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</si>
  <si>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</si>
  <si>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</si>
  <si>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</si>
  <si>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</si>
  <si>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</si>
  <si>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</si>
  <si>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</si>
  <si>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</si>
  <si>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</si>
  <si>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</si>
  <si>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</si>
  <si>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</si>
  <si>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</si>
  <si>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</si>
  <si>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</si>
  <si>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</si>
  <si>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</si>
  <si>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</si>
  <si>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</si>
  <si>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</si>
  <si>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</si>
  <si>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</si>
  <si>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</si>
  <si>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</si>
  <si>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</si>
  <si>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</si>
  <si>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</si>
  <si>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</si>
  <si>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</si>
  <si>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</si>
  <si>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</si>
  <si>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</si>
  <si>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</si>
  <si>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</si>
  <si>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</si>
  <si>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</si>
  <si>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</si>
  <si>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</si>
  <si>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</si>
  <si>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</si>
  <si>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</si>
  <si>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</si>
  <si>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</si>
  <si>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</si>
  <si>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</si>
  <si>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</si>
  <si>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</si>
  <si>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</si>
  <si>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</si>
  <si>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</si>
  <si>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</si>
  <si>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</si>
  <si>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</si>
  <si>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</si>
  <si>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</si>
  <si>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</si>
  <si>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</si>
  <si>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</si>
  <si>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</si>
  <si>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</si>
  <si>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</si>
  <si>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</si>
  <si>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</si>
  <si>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</si>
  <si>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</si>
  <si>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</si>
  <si>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</si>
  <si>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</si>
  <si>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</si>
  <si>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</si>
  <si>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</si>
  <si>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</si>
  <si>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</si>
  <si>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</si>
  <si>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</si>
  <si>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</si>
  <si>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</si>
  <si>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</si>
  <si>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</si>
  <si>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</si>
  <si>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</si>
  <si>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</si>
  <si>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</si>
  <si>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</si>
  <si>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</si>
  <si>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</si>
  <si>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</si>
  <si>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</si>
  <si>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</si>
  <si>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</si>
  <si>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</si>
  <si>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</si>
  <si>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</si>
  <si>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</si>
  <si>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</si>
  <si>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</si>
  <si>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</si>
  <si>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</si>
  <si>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</si>
  <si>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</si>
  <si>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</si>
  <si>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</si>
  <si>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</si>
  <si>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</si>
  <si>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</si>
  <si>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</si>
  <si>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</si>
  <si>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</si>
  <si>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</si>
  <si>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</si>
  <si>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</si>
  <si>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</si>
  <si>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</si>
  <si>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</si>
  <si>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</si>
  <si>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</si>
  <si>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</si>
  <si>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</si>
  <si>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</si>
  <si>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</si>
  <si>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</si>
  <si>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</si>
  <si>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</si>
  <si>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</si>
  <si>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</si>
  <si>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</si>
  <si>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</si>
  <si>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</si>
  <si>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</si>
  <si>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</si>
  <si>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</si>
  <si>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</si>
  <si>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</si>
  <si>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</si>
  <si>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</si>
  <si>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</si>
  <si>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</si>
  <si>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</si>
  <si>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</si>
  <si>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</si>
  <si>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</si>
  <si>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</si>
  <si>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</si>
  <si>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</si>
  <si>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</si>
  <si>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</si>
  <si>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</si>
  <si>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</si>
  <si>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</si>
  <si>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</si>
  <si>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</si>
  <si>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</si>
  <si>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</si>
  <si>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</si>
  <si>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</si>
  <si>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</si>
  <si>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</si>
  <si>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</si>
  <si>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</si>
  <si>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</si>
  <si>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</si>
  <si>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</si>
  <si>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</si>
  <si>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</si>
  <si>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</si>
  <si>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</si>
  <si>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</si>
  <si>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</si>
  <si>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</si>
  <si>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</si>
  <si>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</si>
  <si>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</si>
  <si>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</si>
  <si>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</si>
  <si>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</si>
  <si>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</si>
  <si>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</si>
  <si>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</si>
  <si>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</si>
  <si>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</si>
  <si>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</si>
  <si>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</si>
  <si>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</si>
  <si>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</si>
  <si>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</si>
  <si>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</si>
  <si>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</si>
  <si>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</si>
  <si>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</si>
  <si>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</si>
  <si>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</si>
  <si>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</si>
  <si>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</si>
  <si>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</si>
  <si>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</si>
  <si>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</si>
  <si>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</si>
  <si>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</si>
  <si>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</si>
  <si>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</si>
  <si>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</si>
  <si>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</si>
  <si>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</si>
  <si>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</si>
  <si>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</si>
  <si>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</si>
  <si>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</si>
  <si>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</si>
  <si>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</si>
  <si>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</si>
  <si>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</si>
  <si>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</si>
  <si>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</si>
  <si>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</si>
  <si>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</si>
  <si>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</si>
  <si>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</si>
  <si>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</si>
  <si>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</si>
  <si>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</si>
  <si>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</si>
  <si>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</si>
  <si>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</si>
  <si>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</si>
  <si>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</si>
  <si>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</si>
  <si>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</si>
  <si>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</si>
  <si>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</si>
  <si>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</si>
  <si>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</si>
  <si>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</si>
  <si>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</si>
  <si>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</si>
  <si>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</si>
  <si>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</si>
  <si>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</si>
  <si>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</si>
  <si>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</si>
  <si>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</si>
  <si>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</si>
  <si>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</si>
  <si>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</si>
  <si>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</si>
  <si>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</si>
  <si>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</si>
  <si>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</si>
  <si>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</si>
  <si>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</si>
  <si>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</si>
  <si>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</si>
  <si>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</si>
  <si>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</si>
  <si>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</si>
  <si>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</si>
  <si>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</si>
  <si>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</si>
  <si>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</si>
  <si>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</si>
  <si>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</si>
  <si>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</si>
  <si>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</si>
  <si>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</si>
  <si>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</si>
  <si>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</si>
  <si>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</si>
  <si>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</si>
  <si>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</si>
  <si>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</si>
  <si>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</si>
  <si>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</si>
  <si>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</si>
  <si>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</si>
  <si>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</si>
  <si>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</si>
  <si>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</si>
  <si>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</si>
  <si>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</si>
  <si>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</si>
  <si>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</si>
  <si>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</si>
  <si>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</si>
  <si>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</si>
  <si>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</si>
  <si>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</si>
  <si>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</si>
  <si>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</si>
  <si>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</si>
  <si>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</si>
  <si>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</si>
  <si>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</si>
  <si>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</si>
  <si>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</si>
  <si>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</si>
  <si>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</si>
  <si>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Иные штрафы, неустойки, пени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</si>
  <si>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</si>
  <si>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</si>
  <si>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</si>
  <si>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</si>
  <si>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</si>
  <si>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</si>
  <si>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</si>
  <si>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</si>
  <si>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 xml:space="preserve">                                                        Моргаушского района на 01.08.2022 г. </t>
  </si>
  <si>
    <t>исполнено на 01.08.2022 г.</t>
  </si>
  <si>
    <t>об исполнении бюджетов поселений  Моргаушского района  на 1 августа 2022 г.</t>
  </si>
  <si>
    <t>Анализ исполнения консолидированного бюджета Моргаушского районана 01.08.2022 г.</t>
  </si>
  <si>
    <t xml:space="preserve">                     Анализ исполнения бюджета Александровского сельского поселения на 01.08.2022 г.</t>
  </si>
  <si>
    <t xml:space="preserve">                     Анализ исполнения бюджета Большесундырского сельского поселения на 01.08.2022 г.</t>
  </si>
  <si>
    <t xml:space="preserve">                     Анализ исполнения бюджета Ильинского сельского поселения на 01.08.2022 г.</t>
  </si>
  <si>
    <t xml:space="preserve">                     Анализ исполнения бюджета Кадикасинского сельского поселения на01.08.2022 г.</t>
  </si>
  <si>
    <t xml:space="preserve">                     Анализ исполнения бюджета Моргаушского сельского поселения на 01.08.2022 г.</t>
  </si>
  <si>
    <t xml:space="preserve">                     Анализ исполнения бюджета Москакасинского сельского поселения на 01.08.2022 г.</t>
  </si>
  <si>
    <t xml:space="preserve">                     Анализ исполнения бюджета Орининского сельского поселения на 01.08.2022 г.</t>
  </si>
  <si>
    <t xml:space="preserve">                     Анализ исполнения бюджета Сятракасинского сельского поселения на 01.08.2022 г.</t>
  </si>
  <si>
    <t xml:space="preserve">                     Анализ исполнения бюджета Тораевского сельского поселения на 01.08.2022 г.</t>
  </si>
  <si>
    <t xml:space="preserve">                     Анализ исполнения бюджета Чуманкасинского сельского поселения на 01.08.2022 г.</t>
  </si>
  <si>
    <t xml:space="preserve">                     Анализ исполнения бюджета Шатьмапосинского сельского поселения на 01.08.2022 г.</t>
  </si>
  <si>
    <t xml:space="preserve">                     Анализ исполнения бюджета Юнгинского сельского поселения на 01.08.2022 г.</t>
  </si>
  <si>
    <t xml:space="preserve">                     Анализ исполнения бюджета Юськасинского сельского поселения на 01.08.2022 г.</t>
  </si>
  <si>
    <t xml:space="preserve">                     Анализ исполнения бюджета Ярабайкасинского сельского поселения на 01.08.2022 г.</t>
  </si>
  <si>
    <t xml:space="preserve">                     Анализ исполнения бюджета Ярославского сельского поселения на 01.08.2022 г.</t>
  </si>
  <si>
    <t>Штрафы,неустойки,пени,уплаченные в случае просрочки исполнения обязательств</t>
  </si>
  <si>
    <t xml:space="preserve">                     Анализ исполнения бюджета Хорнойского сельского поселения на 01.08.2022 г.</t>
  </si>
  <si>
    <t>Излишне уплаченных сумм</t>
  </si>
  <si>
    <t>Возврат излишне уплаченных сумм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</si>
</sst>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4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2" fontId="18" fillId="0" borderId="1" xfId="9" applyNumberFormat="1" applyFont="1" applyBorder="1" applyAlignment="1">
      <alignment horizontal="right" vertical="center"/>
    </xf>
    <xf numFmtId="2" fontId="18" fillId="0" borderId="1" xfId="6" applyNumberFormat="1" applyFont="1" applyBorder="1" applyAlignment="1">
      <alignment horizontal="right" vertical="center"/>
    </xf>
    <xf numFmtId="166" fontId="18" fillId="5" borderId="1" xfId="12" applyNumberFormat="1" applyFont="1" applyFill="1" applyBorder="1" applyAlignment="1">
      <alignment horizontal="right" vertical="center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68" fontId="18" fillId="6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692" Type="http://schemas.openxmlformats.org/officeDocument/2006/relationships/revisionLog" Target="revisionLog12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6.xml"/><Relationship Id="rId748" Type="http://schemas.openxmlformats.org/officeDocument/2006/relationships/revisionLog" Target="revisionLog17.xml"/><Relationship Id="rId769" Type="http://schemas.openxmlformats.org/officeDocument/2006/relationships/revisionLog" Target="revisionLog20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.xml"/><Relationship Id="rId815" Type="http://schemas.openxmlformats.org/officeDocument/2006/relationships/revisionLog" Target="revisionLog13.xml"/><Relationship Id="rId836" Type="http://schemas.openxmlformats.org/officeDocument/2006/relationships/revisionLog" Target="revisionLog40.xml"/><Relationship Id="rId857" Type="http://schemas.openxmlformats.org/officeDocument/2006/relationships/revisionLog" Target="revisionLog15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.xml"/><Relationship Id="rId759" Type="http://schemas.openxmlformats.org/officeDocument/2006/relationships/revisionLog" Target="revisionLog110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.xml"/><Relationship Id="rId805" Type="http://schemas.openxmlformats.org/officeDocument/2006/relationships/revisionLog" Target="revisionLog31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760" Type="http://schemas.openxmlformats.org/officeDocument/2006/relationships/revisionLog" Target="revisionLog1141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67" Type="http://schemas.openxmlformats.org/officeDocument/2006/relationships/revisionLog" Target="revisionLog112211.xml"/><Relationship Id="rId683" Type="http://schemas.openxmlformats.org/officeDocument/2006/relationships/revisionLog" Target="revisionLog1181.xml"/><Relationship Id="rId688" Type="http://schemas.openxmlformats.org/officeDocument/2006/relationships/revisionLog" Target="revisionLog1191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53" Type="http://schemas.openxmlformats.org/officeDocument/2006/relationships/revisionLog" Target="revisionLog1142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.xml"/><Relationship Id="rId636" Type="http://schemas.openxmlformats.org/officeDocument/2006/relationships/revisionLog" Target="revisionLog1322.xml"/><Relationship Id="rId750" Type="http://schemas.openxmlformats.org/officeDocument/2006/relationships/revisionLog" Target="revisionLog1221.xml"/><Relationship Id="rId771" Type="http://schemas.openxmlformats.org/officeDocument/2006/relationships/revisionLog" Target="revisionLog1192.xml"/><Relationship Id="rId792" Type="http://schemas.openxmlformats.org/officeDocument/2006/relationships/revisionLog" Target="revisionLog1201.xml"/><Relationship Id="rId801" Type="http://schemas.openxmlformats.org/officeDocument/2006/relationships/revisionLog" Target="revisionLog28.xml"/><Relationship Id="rId806" Type="http://schemas.openxmlformats.org/officeDocument/2006/relationships/revisionLog" Target="revisionLog121.xml"/><Relationship Id="rId822" Type="http://schemas.openxmlformats.org/officeDocument/2006/relationships/revisionLog" Target="revisionLog123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631" Type="http://schemas.openxmlformats.org/officeDocument/2006/relationships/revisionLog" Target="revisionLog12212.xml"/><Relationship Id="rId652" Type="http://schemas.openxmlformats.org/officeDocument/2006/relationships/revisionLog" Target="revisionLog161.xml"/><Relationship Id="rId657" Type="http://schemas.openxmlformats.org/officeDocument/2006/relationships/revisionLog" Target="revisionLog17112.xml"/><Relationship Id="rId673" Type="http://schemas.openxmlformats.org/officeDocument/2006/relationships/revisionLog" Target="revisionLog12321.xml"/><Relationship Id="rId678" Type="http://schemas.openxmlformats.org/officeDocument/2006/relationships/revisionLog" Target="revisionLog133.xml"/><Relationship Id="rId694" Type="http://schemas.openxmlformats.org/officeDocument/2006/relationships/revisionLog" Target="revisionLog12011.xml"/><Relationship Id="rId699" Type="http://schemas.openxmlformats.org/officeDocument/2006/relationships/revisionLog" Target="revisionLog124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.xml"/><Relationship Id="rId843" Type="http://schemas.openxmlformats.org/officeDocument/2006/relationships/revisionLog" Target="revisionLog45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.xml"/><Relationship Id="rId745" Type="http://schemas.openxmlformats.org/officeDocument/2006/relationships/revisionLog" Target="revisionLog129.xml"/><Relationship Id="rId766" Type="http://schemas.openxmlformats.org/officeDocument/2006/relationships/revisionLog" Target="revisionLog8.xml"/><Relationship Id="rId626" Type="http://schemas.openxmlformats.org/officeDocument/2006/relationships/revisionLog" Target="revisionLog11011.xml"/><Relationship Id="rId740" Type="http://schemas.openxmlformats.org/officeDocument/2006/relationships/revisionLog" Target="revisionLog11412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.xml"/><Relationship Id="rId817" Type="http://schemas.openxmlformats.org/officeDocument/2006/relationships/revisionLog" Target="revisionLog123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.xml"/><Relationship Id="rId647" Type="http://schemas.openxmlformats.org/officeDocument/2006/relationships/revisionLog" Target="revisionLog161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68" Type="http://schemas.openxmlformats.org/officeDocument/2006/relationships/revisionLog" Target="revisionLog11312.xml"/><Relationship Id="rId684" Type="http://schemas.openxmlformats.org/officeDocument/2006/relationships/revisionLog" Target="revisionLog11213.xml"/><Relationship Id="rId689" Type="http://schemas.openxmlformats.org/officeDocument/2006/relationships/revisionLog" Target="revisionLog11511.xml"/><Relationship Id="rId833" Type="http://schemas.openxmlformats.org/officeDocument/2006/relationships/revisionLog" Target="revisionLog126.xml"/><Relationship Id="rId854" Type="http://schemas.openxmlformats.org/officeDocument/2006/relationships/revisionLog" Target="revisionLog115.xml"/><Relationship Id="rId714" Type="http://schemas.openxmlformats.org/officeDocument/2006/relationships/revisionLog" Target="revisionLog153.xml"/><Relationship Id="rId719" Type="http://schemas.openxmlformats.org/officeDocument/2006/relationships/revisionLog" Target="revisionLog1281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.xml"/><Relationship Id="rId730" Type="http://schemas.openxmlformats.org/officeDocument/2006/relationships/revisionLog" Target="revisionLog1222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77" Type="http://schemas.openxmlformats.org/officeDocument/2006/relationships/revisionLog" Target="revisionLog1212.xml"/><Relationship Id="rId793" Type="http://schemas.openxmlformats.org/officeDocument/2006/relationships/revisionLog" Target="revisionLog12311.xml"/><Relationship Id="rId798" Type="http://schemas.openxmlformats.org/officeDocument/2006/relationships/revisionLog" Target="revisionLog27.xml"/><Relationship Id="rId807" Type="http://schemas.openxmlformats.org/officeDocument/2006/relationships/revisionLog" Target="revisionLog1232.xml"/><Relationship Id="rId828" Type="http://schemas.openxmlformats.org/officeDocument/2006/relationships/revisionLog" Target="revisionLog1261.xml"/><Relationship Id="rId849" Type="http://schemas.openxmlformats.org/officeDocument/2006/relationships/revisionLog" Target="revisionLog1151.xml"/><Relationship Id="rId637" Type="http://schemas.openxmlformats.org/officeDocument/2006/relationships/revisionLog" Target="revisionLog13111.xml"/><Relationship Id="rId632" Type="http://schemas.openxmlformats.org/officeDocument/2006/relationships/revisionLog" Target="revisionLog12111.xml"/><Relationship Id="rId653" Type="http://schemas.openxmlformats.org/officeDocument/2006/relationships/revisionLog" Target="revisionLog15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.xml"/><Relationship Id="rId674" Type="http://schemas.openxmlformats.org/officeDocument/2006/relationships/revisionLog" Target="revisionLog122131.xml"/><Relationship Id="rId690" Type="http://schemas.openxmlformats.org/officeDocument/2006/relationships/revisionLog" Target="revisionLog143.xml"/><Relationship Id="rId695" Type="http://schemas.openxmlformats.org/officeDocument/2006/relationships/revisionLog" Target="revisionLog193.xml"/><Relationship Id="rId704" Type="http://schemas.openxmlformats.org/officeDocument/2006/relationships/revisionLog" Target="revisionLog11031.xml"/><Relationship Id="rId709" Type="http://schemas.openxmlformats.org/officeDocument/2006/relationships/revisionLog" Target="revisionLog1123111.xml"/><Relationship Id="rId725" Type="http://schemas.openxmlformats.org/officeDocument/2006/relationships/revisionLog" Target="revisionLog114121.xml"/><Relationship Id="rId746" Type="http://schemas.openxmlformats.org/officeDocument/2006/relationships/revisionLog" Target="revisionLog1301.xml"/><Relationship Id="rId860" Type="http://schemas.openxmlformats.org/officeDocument/2006/relationships/revisionLog" Target="revisionLog118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67" Type="http://schemas.openxmlformats.org/officeDocument/2006/relationships/revisionLog" Target="revisionLog9.xml"/><Relationship Id="rId783" Type="http://schemas.openxmlformats.org/officeDocument/2006/relationships/revisionLog" Target="revisionLog123111.xml"/><Relationship Id="rId788" Type="http://schemas.openxmlformats.org/officeDocument/2006/relationships/revisionLog" Target="revisionLog1252.xml"/><Relationship Id="rId818" Type="http://schemas.openxmlformats.org/officeDocument/2006/relationships/revisionLog" Target="revisionLog12611.xml"/><Relationship Id="rId839" Type="http://schemas.openxmlformats.org/officeDocument/2006/relationships/revisionLog" Target="revisionLog43.xml"/><Relationship Id="rId648" Type="http://schemas.openxmlformats.org/officeDocument/2006/relationships/revisionLog" Target="revisionLog1611.xml"/><Relationship Id="rId643" Type="http://schemas.openxmlformats.org/officeDocument/2006/relationships/revisionLog" Target="revisionLog1521.xml"/><Relationship Id="rId627" Type="http://schemas.openxmlformats.org/officeDocument/2006/relationships/revisionLog" Target="revisionLog110121.xml"/><Relationship Id="rId622" Type="http://schemas.openxmlformats.org/officeDocument/2006/relationships/revisionLog" Target="revisionLog1911.xml"/><Relationship Id="rId669" Type="http://schemas.openxmlformats.org/officeDocument/2006/relationships/revisionLog" Target="revisionLog113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.xml"/><Relationship Id="rId664" Type="http://schemas.openxmlformats.org/officeDocument/2006/relationships/revisionLog" Target="revisionLog11211.xml"/><Relationship Id="rId680" Type="http://schemas.openxmlformats.org/officeDocument/2006/relationships/revisionLog" Target="revisionLog14311.xml"/><Relationship Id="rId685" Type="http://schemas.openxmlformats.org/officeDocument/2006/relationships/revisionLog" Target="revisionLog1912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50" Type="http://schemas.openxmlformats.org/officeDocument/2006/relationships/revisionLog" Target="revisionLog127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57" Type="http://schemas.openxmlformats.org/officeDocument/2006/relationships/revisionLog" Target="revisionLog134.xml"/><Relationship Id="rId773" Type="http://schemas.openxmlformats.org/officeDocument/2006/relationships/revisionLog" Target="revisionLog123111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808" Type="http://schemas.openxmlformats.org/officeDocument/2006/relationships/revisionLog" Target="revisionLog126111.xml"/><Relationship Id="rId638" Type="http://schemas.openxmlformats.org/officeDocument/2006/relationships/revisionLog" Target="revisionLog115111.xml"/><Relationship Id="rId633" Type="http://schemas.openxmlformats.org/officeDocument/2006/relationships/revisionLog" Target="revisionLog11311.xml"/><Relationship Id="rId659" Type="http://schemas.openxmlformats.org/officeDocument/2006/relationships/revisionLog" Target="revisionLog114111.xml"/><Relationship Id="rId794" Type="http://schemas.openxmlformats.org/officeDocument/2006/relationships/revisionLog" Target="revisionLog1261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.xml"/><Relationship Id="rId829" Type="http://schemas.openxmlformats.org/officeDocument/2006/relationships/revisionLog" Target="revisionLog1132.xml"/><Relationship Id="rId845" Type="http://schemas.openxmlformats.org/officeDocument/2006/relationships/revisionLog" Target="revisionLog46.xml"/><Relationship Id="rId654" Type="http://schemas.openxmlformats.org/officeDocument/2006/relationships/revisionLog" Target="revisionLog12311111.xml"/><Relationship Id="rId670" Type="http://schemas.openxmlformats.org/officeDocument/2006/relationships/revisionLog" Target="revisionLog143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705" Type="http://schemas.openxmlformats.org/officeDocument/2006/relationships/revisionLog" Target="revisionLog1233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.xml"/><Relationship Id="rId691" Type="http://schemas.openxmlformats.org/officeDocument/2006/relationships/revisionLog" Target="revisionLog11021.xml"/><Relationship Id="rId700" Type="http://schemas.openxmlformats.org/officeDocument/2006/relationships/revisionLog" Target="revisionLog12322.xml"/><Relationship Id="rId721" Type="http://schemas.openxmlformats.org/officeDocument/2006/relationships/revisionLog" Target="revisionLog125211.xml"/><Relationship Id="rId726" Type="http://schemas.openxmlformats.org/officeDocument/2006/relationships/revisionLog" Target="revisionLog12611111.xml"/><Relationship Id="rId742" Type="http://schemas.openxmlformats.org/officeDocument/2006/relationships/revisionLog" Target="revisionLog11413.xml"/><Relationship Id="rId747" Type="http://schemas.openxmlformats.org/officeDocument/2006/relationships/revisionLog" Target="revisionLog12121.xml"/><Relationship Id="rId763" Type="http://schemas.openxmlformats.org/officeDocument/2006/relationships/revisionLog" Target="revisionLog5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784" Type="http://schemas.openxmlformats.org/officeDocument/2006/relationships/revisionLog" Target="revisionLog1351.xml"/><Relationship Id="rId814" Type="http://schemas.openxmlformats.org/officeDocument/2006/relationships/revisionLog" Target="revisionLog12711.xml"/><Relationship Id="rId819" Type="http://schemas.openxmlformats.org/officeDocument/2006/relationships/revisionLog" Target="revisionLog36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0" Type="http://schemas.openxmlformats.org/officeDocument/2006/relationships/revisionLog" Target="revisionLog11021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.xml"/><Relationship Id="rId851" Type="http://schemas.openxmlformats.org/officeDocument/2006/relationships/revisionLog" Target="revisionLog131.xml"/><Relationship Id="rId681" Type="http://schemas.openxmlformats.org/officeDocument/2006/relationships/revisionLog" Target="revisionLog14312.xml"/><Relationship Id="rId711" Type="http://schemas.openxmlformats.org/officeDocument/2006/relationships/revisionLog" Target="revisionLog126111111.xml"/><Relationship Id="rId716" Type="http://schemas.openxmlformats.org/officeDocument/2006/relationships/revisionLog" Target="revisionLog127111.xml"/><Relationship Id="rId732" Type="http://schemas.openxmlformats.org/officeDocument/2006/relationships/revisionLog" Target="revisionLog12213.xml"/><Relationship Id="rId737" Type="http://schemas.openxmlformats.org/officeDocument/2006/relationships/revisionLog" Target="revisionLog11231.xml"/><Relationship Id="rId753" Type="http://schemas.openxmlformats.org/officeDocument/2006/relationships/revisionLog" Target="revisionLog1302.xml"/><Relationship Id="rId758" Type="http://schemas.openxmlformats.org/officeDocument/2006/relationships/revisionLog" Target="revisionLog11921.xml"/><Relationship Id="rId779" Type="http://schemas.openxmlformats.org/officeDocument/2006/relationships/revisionLog" Target="revisionLog1202.xml"/><Relationship Id="rId639" Type="http://schemas.openxmlformats.org/officeDocument/2006/relationships/revisionLog" Target="revisionLog1421.xml"/><Relationship Id="rId774" Type="http://schemas.openxmlformats.org/officeDocument/2006/relationships/revisionLog" Target="revisionLog12021.xml"/><Relationship Id="rId790" Type="http://schemas.openxmlformats.org/officeDocument/2006/relationships/revisionLog" Target="revisionLog12131.xml"/><Relationship Id="rId795" Type="http://schemas.openxmlformats.org/officeDocument/2006/relationships/revisionLog" Target="revisionLog1234.xml"/><Relationship Id="rId804" Type="http://schemas.openxmlformats.org/officeDocument/2006/relationships/revisionLog" Target="revisionLog136.xml"/><Relationship Id="rId809" Type="http://schemas.openxmlformats.org/officeDocument/2006/relationships/revisionLog" Target="revisionLog32.xml"/><Relationship Id="rId825" Type="http://schemas.openxmlformats.org/officeDocument/2006/relationships/revisionLog" Target="revisionLog1312.xml"/><Relationship Id="rId634" Type="http://schemas.openxmlformats.org/officeDocument/2006/relationships/revisionLog" Target="revisionLog132111.xml"/><Relationship Id="rId650" Type="http://schemas.openxmlformats.org/officeDocument/2006/relationships/revisionLog" Target="revisionLog17111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.xml"/><Relationship Id="rId820" Type="http://schemas.openxmlformats.org/officeDocument/2006/relationships/revisionLog" Target="revisionLog137.xml"/><Relationship Id="rId841" Type="http://schemas.openxmlformats.org/officeDocument/2006/relationships/revisionLog" Target="revisionLog44.xml"/><Relationship Id="rId846" Type="http://schemas.openxmlformats.org/officeDocument/2006/relationships/revisionLog" Target="revisionLog11512.xml"/><Relationship Id="rId701" Type="http://schemas.openxmlformats.org/officeDocument/2006/relationships/revisionLog" Target="revisionLog1371.xml"/><Relationship Id="rId722" Type="http://schemas.openxmlformats.org/officeDocument/2006/relationships/revisionLog" Target="revisionLog15411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645" Type="http://schemas.openxmlformats.org/officeDocument/2006/relationships/revisionLog" Target="revisionLog141.xml"/><Relationship Id="rId624" Type="http://schemas.openxmlformats.org/officeDocument/2006/relationships/revisionLog" Target="revisionLog181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.xml"/><Relationship Id="rId852" Type="http://schemas.openxmlformats.org/officeDocument/2006/relationships/revisionLog" Target="revisionLog139.xml"/><Relationship Id="rId712" Type="http://schemas.openxmlformats.org/officeDocument/2006/relationships/revisionLog" Target="revisionLog11321.xml"/><Relationship Id="rId733" Type="http://schemas.openxmlformats.org/officeDocument/2006/relationships/revisionLog" Target="revisionLog191.xml"/><Relationship Id="rId754" Type="http://schemas.openxmlformats.org/officeDocument/2006/relationships/revisionLog" Target="revisionLog110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.xml"/><Relationship Id="rId698" Type="http://schemas.openxmlformats.org/officeDocument/2006/relationships/revisionLog" Target="revisionLog1121.xml"/><Relationship Id="rId702" Type="http://schemas.openxmlformats.org/officeDocument/2006/relationships/revisionLog" Target="revisionLog115121.xml"/><Relationship Id="rId723" Type="http://schemas.openxmlformats.org/officeDocument/2006/relationships/revisionLog" Target="revisionLog1182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.xml"/><Relationship Id="rId646" Type="http://schemas.openxmlformats.org/officeDocument/2006/relationships/revisionLog" Target="revisionLog11611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/Relationships>
</file>

<file path=xl/revisions/revisionHeaders.xml><?xml version="1.0" encoding="utf-8"?>
<headers xmlns="http://schemas.openxmlformats.org/spreadsheetml/2006/main" xmlns:r="http://schemas.openxmlformats.org/officeDocument/2006/relationships" guid="{75C16E16-B94D-4B5E-8D2B-51CA04DB3484}" diskRevisions="1" revisionId="34917" version="326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7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9.bin"/><Relationship Id="rId3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printerSettings" Target="../printerSettings/printerSettings127.bin"/><Relationship Id="rId11" Type="http://schemas.openxmlformats.org/officeDocument/2006/relationships/printerSettings" Target="../printerSettings/printerSettings132.bin"/><Relationship Id="rId5" Type="http://schemas.openxmlformats.org/officeDocument/2006/relationships/printerSettings" Target="../printerSettings/printerSettings126.bin"/><Relationship Id="rId10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25.bin"/><Relationship Id="rId9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4.bin"/><Relationship Id="rId3" Type="http://schemas.openxmlformats.org/officeDocument/2006/relationships/printerSettings" Target="../printerSettings/printerSettings179.bin"/><Relationship Id="rId7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6" Type="http://schemas.openxmlformats.org/officeDocument/2006/relationships/printerSettings" Target="../printerSettings/printerSettings182.bin"/><Relationship Id="rId11" Type="http://schemas.openxmlformats.org/officeDocument/2006/relationships/printerSettings" Target="../printerSettings/printerSettings187.bin"/><Relationship Id="rId5" Type="http://schemas.openxmlformats.org/officeDocument/2006/relationships/printerSettings" Target="../printerSettings/printerSettings181.bin"/><Relationship Id="rId10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0.bin"/><Relationship Id="rId9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11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49.bin"/><Relationship Id="rId10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11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81.bin"/><Relationship Id="rId9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91.bin"/><Relationship Id="rId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tabSelected="1" view="pageBreakPreview" topLeftCell="A21" zoomScale="80" zoomScaleNormal="100" zoomScaleSheetLayoutView="80" workbookViewId="0">
      <selection activeCell="I30" sqref="I3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490" t="s">
        <v>418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121"/>
      <c r="M1" s="121"/>
      <c r="N1" s="121"/>
      <c r="O1" s="121"/>
    </row>
    <row r="2" spans="1:15" ht="33.75" customHeight="1">
      <c r="A2" s="488" t="s">
        <v>177</v>
      </c>
      <c r="B2" s="489" t="s">
        <v>178</v>
      </c>
      <c r="C2" s="485" t="s">
        <v>179</v>
      </c>
      <c r="D2" s="486"/>
      <c r="E2" s="486"/>
      <c r="F2" s="485" t="s">
        <v>180</v>
      </c>
      <c r="G2" s="486"/>
      <c r="H2" s="486"/>
      <c r="I2" s="485" t="s">
        <v>181</v>
      </c>
      <c r="J2" s="486"/>
      <c r="K2" s="491"/>
    </row>
    <row r="3" spans="1:15" ht="53.25" customHeight="1">
      <c r="A3" s="488"/>
      <c r="B3" s="489"/>
      <c r="C3" s="77" t="s">
        <v>408</v>
      </c>
      <c r="D3" s="77" t="s">
        <v>416</v>
      </c>
      <c r="E3" s="135" t="s">
        <v>317</v>
      </c>
      <c r="F3" s="77" t="s">
        <v>408</v>
      </c>
      <c r="G3" s="77" t="s">
        <v>416</v>
      </c>
      <c r="H3" s="135" t="s">
        <v>317</v>
      </c>
      <c r="I3" s="77" t="s">
        <v>408</v>
      </c>
      <c r="J3" s="77" t="s">
        <v>416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206951.29600000003</v>
      </c>
      <c r="D4" s="194">
        <f>SUM(D5:D13)</f>
        <v>120040.27361</v>
      </c>
      <c r="E4" s="194">
        <f>D4/C4*100</f>
        <v>58.004117843262982</v>
      </c>
      <c r="F4" s="194">
        <f>SUM(F5:F13)</f>
        <v>167673.60000000003</v>
      </c>
      <c r="G4" s="194">
        <f>SUM(G5:G13)</f>
        <v>103823.67353999999</v>
      </c>
      <c r="H4" s="194">
        <f>G4/F4*100</f>
        <v>61.920107601912264</v>
      </c>
      <c r="I4" s="194">
        <f>I5+I7+I6+I8+I10+I11+I12+I13</f>
        <v>39277.695999999996</v>
      </c>
      <c r="J4" s="194">
        <f>J5+J6+J7+J8+J10+J11+J12+J13</f>
        <v>16216.600069999999</v>
      </c>
      <c r="K4" s="194">
        <f>J4/I4*100</f>
        <v>41.287045120976543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81254.461769999994</v>
      </c>
      <c r="E5" s="196">
        <f t="shared" ref="E5:E12" si="2">D5/C5*100</f>
        <v>57.351421580737181</v>
      </c>
      <c r="F5" s="195">
        <f>район!C5</f>
        <v>135138.20000000001</v>
      </c>
      <c r="G5" s="195">
        <f>район!D5</f>
        <v>77506.577239999999</v>
      </c>
      <c r="H5" s="196">
        <f t="shared" ref="H5:H43" si="3">G5/F5*100</f>
        <v>57.353566378714525</v>
      </c>
      <c r="I5" s="195">
        <f>Справка!L31</f>
        <v>6540</v>
      </c>
      <c r="J5" s="195">
        <f>Справка!M31</f>
        <v>3747.8845300000003</v>
      </c>
      <c r="K5" s="196">
        <f t="shared" ref="K5:K12" si="4">J5/I5*100</f>
        <v>57.307102905198782</v>
      </c>
    </row>
    <row r="6" spans="1:15" ht="41.25" customHeight="1">
      <c r="A6" s="80" t="s">
        <v>270</v>
      </c>
      <c r="B6" s="76">
        <v>10300</v>
      </c>
      <c r="C6" s="195">
        <f t="shared" si="0"/>
        <v>16269.2</v>
      </c>
      <c r="D6" s="195">
        <f t="shared" si="1"/>
        <v>10714.170959999999</v>
      </c>
      <c r="E6" s="196">
        <f t="shared" si="2"/>
        <v>65.855548889926979</v>
      </c>
      <c r="F6" s="195">
        <f>район!C7</f>
        <v>5934.2</v>
      </c>
      <c r="G6" s="195">
        <f>район!D7</f>
        <v>3907.9611200000004</v>
      </c>
      <c r="H6" s="196">
        <f t="shared" si="3"/>
        <v>65.854894004246574</v>
      </c>
      <c r="I6" s="195">
        <f>Справка!O31+Справка!U31+Справка!R31</f>
        <v>10335</v>
      </c>
      <c r="J6" s="195">
        <f>Справка!P31+Справка!V31+Справка!S31+Справка!Y31</f>
        <v>6806.2098399999986</v>
      </c>
      <c r="K6" s="196">
        <f t="shared" si="4"/>
        <v>65.855924915336232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14996.514110000002</v>
      </c>
      <c r="E7" s="196">
        <f t="shared" si="2"/>
        <v>88.396782257589166</v>
      </c>
      <c r="F7" s="195">
        <f>район!C12</f>
        <v>16500</v>
      </c>
      <c r="G7" s="195">
        <f>район!D12</f>
        <v>14448.042640000001</v>
      </c>
      <c r="H7" s="196">
        <f t="shared" si="3"/>
        <v>87.563894787878795</v>
      </c>
      <c r="I7" s="195">
        <f>Справка!AA31</f>
        <v>465</v>
      </c>
      <c r="J7" s="195">
        <f>Справка!AB31</f>
        <v>548.47146999999995</v>
      </c>
      <c r="K7" s="196">
        <f t="shared" si="4"/>
        <v>117.95085376344086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1149.2905000000001</v>
      </c>
      <c r="E8" s="196">
        <f t="shared" si="2"/>
        <v>16.951187315634218</v>
      </c>
      <c r="F8" s="195"/>
      <c r="G8" s="195"/>
      <c r="H8" s="196"/>
      <c r="I8" s="195">
        <f>Справка!AD31</f>
        <v>6780</v>
      </c>
      <c r="J8" s="195">
        <f>Справка!AE31</f>
        <v>1149.2905000000001</v>
      </c>
      <c r="K8" s="196">
        <f t="shared" si="4"/>
        <v>16.951187315634218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462.68799999999999</v>
      </c>
      <c r="E9" s="196">
        <f t="shared" si="2"/>
        <v>16.940831868775629</v>
      </c>
      <c r="F9" s="195">
        <f>район!C17</f>
        <v>2731.2</v>
      </c>
      <c r="G9" s="195">
        <f>район!D20</f>
        <v>462.68799999999999</v>
      </c>
      <c r="H9" s="196">
        <f t="shared" si="3"/>
        <v>16.940831868775629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15060.696</v>
      </c>
      <c r="D10" s="195">
        <f t="shared" si="1"/>
        <v>3927.1500799999999</v>
      </c>
      <c r="E10" s="196">
        <f t="shared" si="2"/>
        <v>26.075488675954951</v>
      </c>
      <c r="F10" s="195">
        <v>0</v>
      </c>
      <c r="G10" s="195"/>
      <c r="H10" s="196">
        <v>0</v>
      </c>
      <c r="I10" s="195">
        <f>Справка!AG31</f>
        <v>15060.696</v>
      </c>
      <c r="J10" s="195">
        <f>Справка!AH31</f>
        <v>3927.1500799999999</v>
      </c>
      <c r="K10" s="196">
        <f t="shared" si="4"/>
        <v>26.075488675954951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6117.4704099999999</v>
      </c>
      <c r="E11" s="196">
        <f t="shared" si="2"/>
        <v>130.99508372591006</v>
      </c>
      <c r="F11" s="195">
        <f>район!C22</f>
        <v>4670</v>
      </c>
      <c r="G11" s="195">
        <f>район!D22</f>
        <v>6117.4704099999999</v>
      </c>
      <c r="H11" s="196">
        <f t="shared" si="3"/>
        <v>130.99508372591006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1418.52413</v>
      </c>
      <c r="E12" s="196">
        <f t="shared" si="2"/>
        <v>50.715914551304976</v>
      </c>
      <c r="F12" s="195">
        <f>район!C24</f>
        <v>2700</v>
      </c>
      <c r="G12" s="195">
        <f>район!D24</f>
        <v>1380.9341300000001</v>
      </c>
      <c r="H12" s="196">
        <f t="shared" si="3"/>
        <v>51.145708518518518</v>
      </c>
      <c r="I12" s="195">
        <f>Справка!AJ31</f>
        <v>97</v>
      </c>
      <c r="J12" s="195">
        <f>Справка!AK31</f>
        <v>37.590000000000003</v>
      </c>
      <c r="K12" s="196">
        <f t="shared" si="4"/>
        <v>38.75257731958763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Справка!AM31</f>
        <v>0</v>
      </c>
      <c r="J13" s="195">
        <f>Справка!AN31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20667.210640000001</v>
      </c>
      <c r="D14" s="194">
        <f>SUM(D15:D21)</f>
        <v>14576.941470000002</v>
      </c>
      <c r="E14" s="194">
        <f t="shared" ref="E14:E41" si="5">D14/C14*100</f>
        <v>70.531731271888759</v>
      </c>
      <c r="F14" s="194">
        <f>F15+F16+F17+F18+F20+F21+F19</f>
        <v>15740</v>
      </c>
      <c r="G14" s="194">
        <f>G15+G16+G17+G18+G20+G21+G19</f>
        <v>10595.311430000002</v>
      </c>
      <c r="H14" s="194">
        <f t="shared" si="3"/>
        <v>67.314558005082603</v>
      </c>
      <c r="I14" s="197">
        <f>I15+I16+I17+I18+I20+I21+I28</f>
        <v>4927.2106400000002</v>
      </c>
      <c r="J14" s="197">
        <f>J15+J16+J17+J18+J20+J21</f>
        <v>3981.63004</v>
      </c>
      <c r="K14" s="194">
        <f>J14/I14*100</f>
        <v>80.809007994835795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7777.7805600000011</v>
      </c>
      <c r="E15" s="195">
        <f t="shared" si="5"/>
        <v>66.693307012794847</v>
      </c>
      <c r="F15" s="195">
        <f>район!C34</f>
        <v>9140</v>
      </c>
      <c r="G15" s="195">
        <f>район!D34</f>
        <v>6214.3740300000009</v>
      </c>
      <c r="H15" s="195">
        <f t="shared" si="3"/>
        <v>67.990963129102852</v>
      </c>
      <c r="I15" s="195">
        <f>Справка!AS31+Справка!AV31+Справка!AP31</f>
        <v>2522.0106400000004</v>
      </c>
      <c r="J15" s="195">
        <f>Справка!AT31+Справка!AW31+Справка!AQ31</f>
        <v>1563.4065300000002</v>
      </c>
      <c r="K15" s="196">
        <f>J15/I15*100</f>
        <v>61.990481134528444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854.80879000000004</v>
      </c>
      <c r="E16" s="195">
        <f t="shared" si="5"/>
        <v>61.057770714285716</v>
      </c>
      <c r="F16" s="195">
        <f>район!C43</f>
        <v>1400</v>
      </c>
      <c r="G16" s="195">
        <f>район!D43</f>
        <v>854.80879000000004</v>
      </c>
      <c r="H16" s="195">
        <f t="shared" si="3"/>
        <v>61.057770714285716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610</v>
      </c>
      <c r="D17" s="195">
        <f t="shared" si="6"/>
        <v>590.53543999999999</v>
      </c>
      <c r="E17" s="195">
        <f>D17/C17*100</f>
        <v>96.809088524590152</v>
      </c>
      <c r="F17" s="195">
        <f>район!C45</f>
        <v>100</v>
      </c>
      <c r="G17" s="195">
        <f>район!D45</f>
        <v>117.55432</v>
      </c>
      <c r="H17" s="195">
        <f t="shared" si="3"/>
        <v>117.55432000000002</v>
      </c>
      <c r="I17" s="195">
        <f>Справка!BB31</f>
        <v>510</v>
      </c>
      <c r="J17" s="195">
        <f>Справка!BC31</f>
        <v>472.98112000000003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5395.2</v>
      </c>
      <c r="D18" s="195">
        <f t="shared" si="6"/>
        <v>4487.7089400000004</v>
      </c>
      <c r="E18" s="195">
        <f t="shared" si="5"/>
        <v>83.179658585409271</v>
      </c>
      <c r="F18" s="195">
        <f>район!C48</f>
        <v>3500</v>
      </c>
      <c r="G18" s="195">
        <f>район!D48</f>
        <v>2567.06754</v>
      </c>
      <c r="H18" s="195">
        <f t="shared" si="3"/>
        <v>73.34478685714285</v>
      </c>
      <c r="I18" s="195">
        <f>Справка!BH31</f>
        <v>1895.1999999999998</v>
      </c>
      <c r="J18" s="195">
        <f>Справка!BI31</f>
        <v>1920.6414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1600</v>
      </c>
      <c r="D20" s="195">
        <f t="shared" si="6"/>
        <v>866.10774000000004</v>
      </c>
      <c r="E20" s="195">
        <f t="shared" si="5"/>
        <v>54.131733750000002</v>
      </c>
      <c r="F20" s="195">
        <f>район!C53</f>
        <v>1600</v>
      </c>
      <c r="G20" s="195">
        <f>район!D53</f>
        <v>841.50675000000001</v>
      </c>
      <c r="H20" s="195">
        <f t="shared" si="3"/>
        <v>52.594171874999994</v>
      </c>
      <c r="I20" s="195">
        <f>Справка!BQ31</f>
        <v>0</v>
      </c>
      <c r="J20" s="195">
        <f>Справка!BR31</f>
        <v>24.600989999999999</v>
      </c>
      <c r="K20" s="196">
        <v>0</v>
      </c>
    </row>
    <row r="21" spans="1:13" ht="49.5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0</v>
      </c>
      <c r="E21" s="195"/>
      <c r="F21" s="195">
        <f>район!C58</f>
        <v>0</v>
      </c>
      <c r="G21" s="543"/>
      <c r="H21" s="195"/>
      <c r="I21" s="195">
        <f>Справка!BT31</f>
        <v>0</v>
      </c>
      <c r="J21" s="195">
        <f>Справка!BU31</f>
        <v>0</v>
      </c>
      <c r="K21" s="196">
        <v>0</v>
      </c>
    </row>
    <row r="22" spans="1:13" ht="0.75" hidden="1" customHeight="1">
      <c r="A22" s="78" t="s">
        <v>195</v>
      </c>
      <c r="B22" s="75">
        <v>30000</v>
      </c>
      <c r="C22" s="466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227618.50664000004</v>
      </c>
      <c r="D23" s="539">
        <f>SUM(D4,D14,)</f>
        <v>134617.21507999999</v>
      </c>
      <c r="E23" s="194">
        <f t="shared" si="5"/>
        <v>59.141594884861327</v>
      </c>
      <c r="F23" s="197">
        <f>SUM(F4,F14,)</f>
        <v>183413.60000000003</v>
      </c>
      <c r="G23" s="538">
        <f>SUM(G4,G14,G22)</f>
        <v>114418.98496999999</v>
      </c>
      <c r="H23" s="194">
        <f t="shared" si="3"/>
        <v>62.383043007715877</v>
      </c>
      <c r="I23" s="197">
        <f>I4+I14</f>
        <v>44204.906639999994</v>
      </c>
      <c r="J23" s="197">
        <f>J4+J14</f>
        <v>20198.230109999997</v>
      </c>
      <c r="K23" s="194">
        <f>J23/I23*100</f>
        <v>45.692280892010949</v>
      </c>
    </row>
    <row r="24" spans="1:13" ht="32.25" customHeight="1">
      <c r="A24" s="78" t="s">
        <v>196</v>
      </c>
      <c r="B24" s="75">
        <v>20200</v>
      </c>
      <c r="C24" s="198">
        <v>747237.19917000004</v>
      </c>
      <c r="D24" s="542">
        <v>396129.84620000003</v>
      </c>
      <c r="E24" s="197">
        <f t="shared" si="5"/>
        <v>53.012597156566152</v>
      </c>
      <c r="F24" s="197">
        <f>район!C62</f>
        <v>773684.43531000009</v>
      </c>
      <c r="G24" s="197">
        <f>район!D62</f>
        <v>402658.12062999996</v>
      </c>
      <c r="H24" s="196">
        <f t="shared" si="3"/>
        <v>52.044231763388495</v>
      </c>
      <c r="I24" s="197">
        <f>SUM(Справка!CC31)</f>
        <v>194546.62244000004</v>
      </c>
      <c r="J24" s="198">
        <v>67943.646980000005</v>
      </c>
      <c r="K24" s="194">
        <f t="shared" ref="K24:K40" si="8">J24/I24*100</f>
        <v>34.924094866234157</v>
      </c>
    </row>
    <row r="25" spans="1:13" ht="33" customHeight="1">
      <c r="A25" s="78" t="s">
        <v>289</v>
      </c>
      <c r="B25" s="75">
        <v>20700</v>
      </c>
      <c r="C25" s="540">
        <f>F25+I25</f>
        <v>7479.4480500000009</v>
      </c>
      <c r="D25" s="199">
        <f>SUM(J25+G25)</f>
        <v>3891.9715099999999</v>
      </c>
      <c r="E25" s="197">
        <f t="shared" si="5"/>
        <v>52.035544387530031</v>
      </c>
      <c r="F25" s="195">
        <v>0</v>
      </c>
      <c r="G25" s="195">
        <v>0</v>
      </c>
      <c r="H25" s="196" t="e">
        <f t="shared" si="3"/>
        <v>#DIV/0!</v>
      </c>
      <c r="I25" s="197">
        <f>Справка!CU31</f>
        <v>7479.4480500000009</v>
      </c>
      <c r="J25" s="197">
        <v>3891.9715099999999</v>
      </c>
      <c r="K25" s="196">
        <f t="shared" si="8"/>
        <v>52.035544387530031</v>
      </c>
    </row>
    <row r="26" spans="1:13" ht="33" customHeight="1">
      <c r="A26" s="78" t="s">
        <v>437</v>
      </c>
      <c r="B26" s="484">
        <v>20800</v>
      </c>
      <c r="C26" s="540">
        <f>F26+I26</f>
        <v>0</v>
      </c>
      <c r="D26" s="199">
        <f>район!D69</f>
        <v>-2.5000000000000001E-2</v>
      </c>
      <c r="E26" s="197" t="e">
        <f t="shared" si="5"/>
        <v>#DIV/0!</v>
      </c>
      <c r="F26" s="195">
        <v>0</v>
      </c>
      <c r="G26" s="195">
        <v>0</v>
      </c>
      <c r="H26" s="196" t="e">
        <f t="shared" si="3"/>
        <v>#DIV/0!</v>
      </c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411</v>
      </c>
      <c r="B27" s="470">
        <v>21800</v>
      </c>
      <c r="C27" s="199">
        <v>0</v>
      </c>
      <c r="D27" s="199">
        <v>1848.9377500000001</v>
      </c>
      <c r="E27" s="197" t="e">
        <f t="shared" si="5"/>
        <v>#DIV/0!</v>
      </c>
      <c r="F27" s="195">
        <v>0</v>
      </c>
      <c r="G27" s="195">
        <v>0</v>
      </c>
      <c r="H27" s="196" t="e">
        <f t="shared" si="3"/>
        <v>#DIV/0!</v>
      </c>
      <c r="I27" s="195">
        <v>0</v>
      </c>
      <c r="J27" s="195">
        <v>0</v>
      </c>
      <c r="K27" s="196" t="e">
        <f t="shared" si="8"/>
        <v>#DIV/0!</v>
      </c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-10214.563319999999</v>
      </c>
      <c r="E28" s="197"/>
      <c r="F28" s="196">
        <f>район!C71</f>
        <v>-12.16386</v>
      </c>
      <c r="G28" s="196">
        <f>район!D71</f>
        <v>-10214.563319999999</v>
      </c>
      <c r="H28" s="194"/>
      <c r="I28" s="196">
        <v>0</v>
      </c>
      <c r="J28" s="196">
        <f>SUM(Справка!CY18)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541">
        <f>C24+C23+C28+C25</f>
        <v>982322.99000000011</v>
      </c>
      <c r="D29" s="541">
        <f>D24+D23+D28+D25+D27+D26</f>
        <v>526273.38222000003</v>
      </c>
      <c r="E29" s="201">
        <f t="shared" si="5"/>
        <v>53.574372948351744</v>
      </c>
      <c r="F29" s="201">
        <f>F24+F23</f>
        <v>957098.03531000018</v>
      </c>
      <c r="G29" s="541">
        <f>G24+G23+G26</f>
        <v>517077.10559999995</v>
      </c>
      <c r="H29" s="201">
        <f t="shared" si="3"/>
        <v>54.02551113089693</v>
      </c>
      <c r="I29" s="201">
        <f>I24+I23</f>
        <v>238751.52908000004</v>
      </c>
      <c r="J29" s="201">
        <f>J24+J23+J25+J28</f>
        <v>92033.848599999998</v>
      </c>
      <c r="K29" s="200">
        <f t="shared" si="8"/>
        <v>38.547961956365775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1039721.5819599999</v>
      </c>
      <c r="D30" s="201">
        <f>SUM(D31:D43)</f>
        <v>529752.89720000001</v>
      </c>
      <c r="E30" s="201">
        <f t="shared" si="5"/>
        <v>50.951418763603264</v>
      </c>
      <c r="F30" s="201">
        <f>SUM(F31+F32+F33+F34+F35+F36+F37+F38+F39+F40+F41+F42+F43)</f>
        <v>1002373.5398299998</v>
      </c>
      <c r="G30" s="201">
        <f>SUM(G31:G43)</f>
        <v>518041.04268000001</v>
      </c>
      <c r="H30" s="201">
        <f t="shared" si="3"/>
        <v>51.681436320421881</v>
      </c>
      <c r="I30" s="201">
        <f>I31+I32+I33+I34+I35+I36+I37+I38+I39+I40+I41+I42+I43</f>
        <v>250874.61652000001</v>
      </c>
      <c r="J30" s="201">
        <f>J31+J32+J33+J34+J35+J36+J37+J38+J39+J40+J41+J42+J43</f>
        <v>94549.426500000016</v>
      </c>
      <c r="K30" s="200">
        <f t="shared" si="8"/>
        <v>37.687920687847836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76706.553350000002</v>
      </c>
      <c r="D31" s="260">
        <f>G31+J31</f>
        <v>38357.552510000001</v>
      </c>
      <c r="E31" s="203">
        <f t="shared" si="5"/>
        <v>50.005574276008055</v>
      </c>
      <c r="F31" s="195">
        <f>район!C78</f>
        <v>48627.495219999997</v>
      </c>
      <c r="G31" s="203">
        <f>район!D78</f>
        <v>24682.223800000003</v>
      </c>
      <c r="H31" s="204">
        <f t="shared" si="3"/>
        <v>50.757752765864147</v>
      </c>
      <c r="I31" s="204">
        <f>Справка!DM31</f>
        <v>28079.058130000005</v>
      </c>
      <c r="J31" s="204">
        <f>Справка!DN31</f>
        <v>13675.328709999998</v>
      </c>
      <c r="K31" s="204">
        <f t="shared" si="8"/>
        <v>48.702946682492573</v>
      </c>
    </row>
    <row r="32" spans="1:13" ht="30.75" customHeight="1">
      <c r="A32" s="80" t="s">
        <v>200</v>
      </c>
      <c r="B32" s="81" t="s">
        <v>43</v>
      </c>
      <c r="C32" s="199">
        <f>I32</f>
        <v>2404.8000000000002</v>
      </c>
      <c r="D32" s="199">
        <f>J32</f>
        <v>1053.6747800000003</v>
      </c>
      <c r="E32" s="203">
        <f t="shared" si="5"/>
        <v>43.81548486360613</v>
      </c>
      <c r="F32" s="195">
        <f>район!C86</f>
        <v>2404.8000000000002</v>
      </c>
      <c r="G32" s="203">
        <f>район!D86</f>
        <v>1602.3</v>
      </c>
      <c r="H32" s="204">
        <f t="shared" si="3"/>
        <v>66.629241516966061</v>
      </c>
      <c r="I32" s="204">
        <f>Справка!EB31</f>
        <v>2404.8000000000002</v>
      </c>
      <c r="J32" s="204">
        <f>Справка!EC31</f>
        <v>1053.6747800000003</v>
      </c>
      <c r="K32" s="204">
        <f t="shared" si="8"/>
        <v>43.81548486360613</v>
      </c>
    </row>
    <row r="33" spans="1:12" ht="33" customHeight="1">
      <c r="A33" s="80" t="s">
        <v>201</v>
      </c>
      <c r="B33" s="81" t="s">
        <v>47</v>
      </c>
      <c r="C33" s="260">
        <f>F33+I33</f>
        <v>6255.0713400000004</v>
      </c>
      <c r="D33" s="260">
        <f>G33+J33</f>
        <v>3212.8359899999996</v>
      </c>
      <c r="E33" s="203">
        <f t="shared" si="5"/>
        <v>51.363698595322482</v>
      </c>
      <c r="F33" s="195">
        <f>район!C88</f>
        <v>5230.16</v>
      </c>
      <c r="G33" s="203">
        <f>район!D88</f>
        <v>2743.7032799999997</v>
      </c>
      <c r="H33" s="204">
        <f t="shared" si="3"/>
        <v>52.459260902152124</v>
      </c>
      <c r="I33" s="204">
        <f>Справка!EE31</f>
        <v>1024.9113400000001</v>
      </c>
      <c r="J33" s="204">
        <f>Справка!EF31</f>
        <v>469.13270999999997</v>
      </c>
      <c r="K33" s="204">
        <f t="shared" si="8"/>
        <v>45.773004131264656</v>
      </c>
    </row>
    <row r="34" spans="1:12" ht="30" customHeight="1">
      <c r="A34" s="80" t="s">
        <v>202</v>
      </c>
      <c r="B34" s="81" t="s">
        <v>55</v>
      </c>
      <c r="C34" s="202">
        <v>158225.51155</v>
      </c>
      <c r="D34" s="202">
        <v>52876.465100000001</v>
      </c>
      <c r="E34" s="203">
        <f t="shared" si="5"/>
        <v>33.418419433133444</v>
      </c>
      <c r="F34" s="195">
        <f>район!C94</f>
        <v>136112.50013</v>
      </c>
      <c r="G34" s="203">
        <f>район!D94</f>
        <v>43737.764490000001</v>
      </c>
      <c r="H34" s="204">
        <f t="shared" si="3"/>
        <v>32.133539864616694</v>
      </c>
      <c r="I34" s="204">
        <f>Справка!EH31</f>
        <v>66324.229290000003</v>
      </c>
      <c r="J34" s="204">
        <f>Справка!EI31</f>
        <v>22136.766250000001</v>
      </c>
      <c r="K34" s="204">
        <f t="shared" si="8"/>
        <v>33.376590255135703</v>
      </c>
    </row>
    <row r="35" spans="1:12" ht="30" customHeight="1">
      <c r="A35" s="80" t="s">
        <v>203</v>
      </c>
      <c r="B35" s="81" t="s">
        <v>65</v>
      </c>
      <c r="C35" s="202">
        <v>149581.38232999999</v>
      </c>
      <c r="D35" s="202">
        <v>42478.700449999997</v>
      </c>
      <c r="E35" s="203">
        <f t="shared" si="5"/>
        <v>28.39838741180057</v>
      </c>
      <c r="F35" s="195">
        <f>район!C100</f>
        <v>108964.69757999998</v>
      </c>
      <c r="G35" s="203">
        <f>район!D100</f>
        <v>24477.484619999999</v>
      </c>
      <c r="H35" s="204">
        <f t="shared" si="3"/>
        <v>22.463683342973585</v>
      </c>
      <c r="I35" s="204">
        <f>Справка!EK31</f>
        <v>113170.29192000002</v>
      </c>
      <c r="J35" s="204">
        <f>Справка!EL31</f>
        <v>38585.144070000002</v>
      </c>
      <c r="K35" s="204">
        <f t="shared" si="8"/>
        <v>34.094764107594429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/>
      <c r="J36" s="203"/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311117.34545999998</v>
      </c>
      <c r="E37" s="203">
        <f t="shared" si="5"/>
        <v>59.452726872373418</v>
      </c>
      <c r="F37" s="195">
        <f>район!C106</f>
        <v>523302.0616999999</v>
      </c>
      <c r="G37" s="203">
        <f>район!D106</f>
        <v>311117.34545999998</v>
      </c>
      <c r="H37" s="204">
        <f t="shared" si="3"/>
        <v>59.452726872373418</v>
      </c>
      <c r="I37" s="203"/>
      <c r="J37" s="203"/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65410.192840000003</v>
      </c>
      <c r="D38" s="202">
        <v>35193.570670000001</v>
      </c>
      <c r="E38" s="203">
        <f t="shared" si="5"/>
        <v>53.804413566073805</v>
      </c>
      <c r="F38" s="195">
        <f>район!C112</f>
        <v>58479.476999999999</v>
      </c>
      <c r="G38" s="203">
        <f>район!D112</f>
        <v>32103.205159999998</v>
      </c>
      <c r="H38" s="204">
        <f t="shared" si="3"/>
        <v>54.896532607499203</v>
      </c>
      <c r="I38" s="204">
        <f>Справка!EN31</f>
        <v>39581.215839999997</v>
      </c>
      <c r="J38" s="204">
        <f>Справка!EO31</f>
        <v>18448.965980000001</v>
      </c>
      <c r="K38" s="204">
        <f t="shared" si="8"/>
        <v>46.610407458367767</v>
      </c>
      <c r="L38" s="82"/>
    </row>
    <row r="39" spans="1:12" ht="30" customHeight="1">
      <c r="A39" s="80" t="s">
        <v>207</v>
      </c>
      <c r="B39" s="81" t="s">
        <v>208</v>
      </c>
      <c r="C39" s="202">
        <v>50562.986850000001</v>
      </c>
      <c r="D39" s="202">
        <v>40615.346239999999</v>
      </c>
      <c r="E39" s="203">
        <f t="shared" si="5"/>
        <v>80.326240141804433</v>
      </c>
      <c r="F39" s="195">
        <f>район!C115</f>
        <v>50562.986850000001</v>
      </c>
      <c r="G39" s="203">
        <f>район!D115</f>
        <v>40615.346239999999</v>
      </c>
      <c r="H39" s="204">
        <f t="shared" si="3"/>
        <v>80.326240141804433</v>
      </c>
      <c r="I39" s="204">
        <f>Справка!EQ31</f>
        <v>0</v>
      </c>
      <c r="J39" s="204">
        <f>Справка!ER31</f>
        <v>0</v>
      </c>
      <c r="K39" s="204"/>
    </row>
    <row r="40" spans="1:12" ht="30" customHeight="1">
      <c r="A40" s="80" t="s">
        <v>209</v>
      </c>
      <c r="B40" s="81" t="s">
        <v>92</v>
      </c>
      <c r="C40" s="202">
        <v>7178.0219999999999</v>
      </c>
      <c r="D40" s="202">
        <v>4797.4059999999999</v>
      </c>
      <c r="E40" s="203">
        <f t="shared" si="5"/>
        <v>66.834651663090469</v>
      </c>
      <c r="F40" s="195">
        <f>район!C120</f>
        <v>6887.9120000000003</v>
      </c>
      <c r="G40" s="203">
        <f>район!D120</f>
        <v>4616.9920000000002</v>
      </c>
      <c r="H40" s="204">
        <f t="shared" si="3"/>
        <v>67.030356949972642</v>
      </c>
      <c r="I40" s="204">
        <f>Справка!ET31</f>
        <v>290.11</v>
      </c>
      <c r="J40" s="204">
        <f>Справка!EU31</f>
        <v>180.41400000000002</v>
      </c>
      <c r="K40" s="204">
        <f t="shared" si="8"/>
        <v>62.188135534797148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/>
      <c r="J41" s="204"/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/>
      <c r="J42" s="206"/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/>
      <c r="E43" s="203">
        <v>0</v>
      </c>
      <c r="F43" s="195">
        <f>район!C130</f>
        <v>61706.449349999995</v>
      </c>
      <c r="G43" s="203">
        <f>район!D130</f>
        <v>32294.677629999998</v>
      </c>
      <c r="H43" s="204">
        <f t="shared" si="3"/>
        <v>52.335984277468398</v>
      </c>
      <c r="I43" s="204">
        <f>Справка!EW31</f>
        <v>0</v>
      </c>
      <c r="J43" s="206">
        <f>Справка!EX31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-57398.591959999758</v>
      </c>
      <c r="D45" s="136">
        <f>D29-D30</f>
        <v>-3479.5149799999781</v>
      </c>
      <c r="E45" s="136"/>
      <c r="F45" s="136">
        <f>F29-F30</f>
        <v>-45275.504519999609</v>
      </c>
      <c r="G45" s="136">
        <f>G29-G30</f>
        <v>-963.93708000006154</v>
      </c>
      <c r="H45" s="136"/>
      <c r="I45" s="136">
        <f>I29-I30</f>
        <v>-12123.087439999974</v>
      </c>
      <c r="J45" s="136">
        <f>J29-J30</f>
        <v>-2515.5779000000184</v>
      </c>
      <c r="K45" s="136"/>
    </row>
    <row r="46" spans="1:12" hidden="1">
      <c r="A46" s="137"/>
      <c r="B46" s="138"/>
      <c r="C46" s="136">
        <f>C45-F46</f>
        <v>-1.7462298274040222E-10</v>
      </c>
      <c r="D46" s="136">
        <f>D45-G46</f>
        <v>1.0186340659856796E-10</v>
      </c>
      <c r="E46" s="136"/>
      <c r="F46" s="136">
        <f>F45+I45</f>
        <v>-57398.591959999583</v>
      </c>
      <c r="G46" s="136">
        <f>G45+J45</f>
        <v>-3479.51498000008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754716.64722000016</v>
      </c>
      <c r="G47" s="140">
        <f>D30+G46-D23-D28</f>
        <v>401870.73045999993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87"/>
      <c r="E52" s="487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B30CE22D-C12F-4E12-8BB9-3AAE0A6991CC}" scale="80" showPageBreaks="1" printArea="1" hiddenRows="1" view="pageBreakPreview" topLeftCell="A21">
      <selection activeCell="I30" sqref="I30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61528DAC-5C4C-48F4-ADE2-8A724B05A086}" scale="80" showPageBreaks="1" printArea="1" hiddenRows="1" view="pageBreakPreview">
      <selection activeCell="G11" sqref="G11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7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0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4" bottom="0.74803149606299213" header="0.31496062992125984" footer="0.31496062992125984"/>
  <pageSetup paperSize="9" scale="61" orientation="landscape" r:id="rId11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28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0" t="s">
        <v>425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6.7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844.00416999999993</v>
      </c>
      <c r="E4" s="5">
        <f>SUM(D4/C4*100)</f>
        <v>36.666818865071988</v>
      </c>
      <c r="F4" s="5">
        <f>SUM(D4-C4)</f>
        <v>-1457.8158299999998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166.83579</v>
      </c>
      <c r="E5" s="5">
        <f t="shared" ref="E5:E51" si="0">SUM(D5/C5*100)</f>
        <v>61.11201098901099</v>
      </c>
      <c r="F5" s="5">
        <f t="shared" ref="F5:F51" si="1">SUM(D5-C5)</f>
        <v>-106.16421</v>
      </c>
    </row>
    <row r="6" spans="1:6">
      <c r="A6" s="7">
        <v>1010200001</v>
      </c>
      <c r="B6" s="8" t="s">
        <v>225</v>
      </c>
      <c r="C6" s="9">
        <v>273</v>
      </c>
      <c r="D6" s="10">
        <v>166.83579</v>
      </c>
      <c r="E6" s="9">
        <f t="shared" ref="E6:E11" si="2">SUM(D6/C6*100)</f>
        <v>61.11201098901099</v>
      </c>
      <c r="F6" s="9">
        <f t="shared" si="1"/>
        <v>-106.16421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362.74853999999999</v>
      </c>
      <c r="E7" s="9">
        <f t="shared" si="2"/>
        <v>65.85609454994372</v>
      </c>
      <c r="F7" s="9">
        <f t="shared" si="1"/>
        <v>-188.07145999999995</v>
      </c>
    </row>
    <row r="8" spans="1:6">
      <c r="A8" s="7">
        <v>1030223001</v>
      </c>
      <c r="B8" s="8" t="s">
        <v>269</v>
      </c>
      <c r="C8" s="9">
        <v>205.45599999999999</v>
      </c>
      <c r="D8" s="10">
        <v>177.32205999999999</v>
      </c>
      <c r="E8" s="9">
        <f t="shared" si="2"/>
        <v>86.306586325052564</v>
      </c>
      <c r="F8" s="9">
        <f t="shared" si="1"/>
        <v>-28.133939999999996</v>
      </c>
    </row>
    <row r="9" spans="1:6">
      <c r="A9" s="7">
        <v>1030224001</v>
      </c>
      <c r="B9" s="8" t="s">
        <v>275</v>
      </c>
      <c r="C9" s="9">
        <v>2.2029999999999998</v>
      </c>
      <c r="D9" s="10">
        <v>1.0433399999999999</v>
      </c>
      <c r="E9" s="9">
        <f t="shared" si="2"/>
        <v>47.359963685882889</v>
      </c>
      <c r="F9" s="9">
        <f t="shared" si="1"/>
        <v>-1.1596599999999999</v>
      </c>
    </row>
    <row r="10" spans="1:6">
      <c r="A10" s="7">
        <v>1030225001</v>
      </c>
      <c r="B10" s="8" t="s">
        <v>268</v>
      </c>
      <c r="C10" s="9">
        <v>343.161</v>
      </c>
      <c r="D10" s="10">
        <v>204.91391999999999</v>
      </c>
      <c r="E10" s="9">
        <f t="shared" si="2"/>
        <v>59.713638787624468</v>
      </c>
      <c r="F10" s="9">
        <f t="shared" si="1"/>
        <v>-138.24708000000001</v>
      </c>
    </row>
    <row r="11" spans="1:6">
      <c r="A11" s="7">
        <v>1030265001</v>
      </c>
      <c r="B11" s="8" t="s">
        <v>277</v>
      </c>
      <c r="C11" s="9">
        <v>0</v>
      </c>
      <c r="D11" s="10">
        <v>-20.53078</v>
      </c>
      <c r="E11" s="9" t="e">
        <f t="shared" si="2"/>
        <v>#DIV/0!</v>
      </c>
      <c r="F11" s="9">
        <f t="shared" si="1"/>
        <v>-20.53078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308.72897999999998</v>
      </c>
      <c r="E14" s="5">
        <f t="shared" si="0"/>
        <v>21.145820547945206</v>
      </c>
      <c r="F14" s="5">
        <f t="shared" si="1"/>
        <v>-1151.2710200000001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88.816550000000007</v>
      </c>
      <c r="E15" s="9">
        <f t="shared" si="0"/>
        <v>24.671263888888891</v>
      </c>
      <c r="F15" s="9">
        <f>SUM(D15-C15)</f>
        <v>-271.18344999999999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219.91243</v>
      </c>
      <c r="E16" s="9">
        <f t="shared" si="0"/>
        <v>19.992039090909092</v>
      </c>
      <c r="F16" s="9">
        <f t="shared" si="1"/>
        <v>-880.08757000000003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1.99</v>
      </c>
      <c r="E17" s="5">
        <f t="shared" si="0"/>
        <v>24.875</v>
      </c>
      <c r="F17" s="5">
        <f t="shared" si="1"/>
        <v>-6.01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1.99</v>
      </c>
      <c r="E18" s="9">
        <f t="shared" si="0"/>
        <v>24.875</v>
      </c>
      <c r="F18" s="9">
        <f t="shared" si="1"/>
        <v>-6.01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73.501239999999996</v>
      </c>
      <c r="E25" s="5">
        <f t="shared" si="0"/>
        <v>52.500885714285715</v>
      </c>
      <c r="F25" s="5">
        <f t="shared" si="1"/>
        <v>-66.498760000000004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32.010629999999999</v>
      </c>
      <c r="E26" s="5">
        <f t="shared" si="0"/>
        <v>24.623561538461537</v>
      </c>
      <c r="F26" s="5">
        <f t="shared" si="1"/>
        <v>-97.989370000000008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0.51063000000000003</v>
      </c>
      <c r="E27" s="9">
        <f t="shared" si="0"/>
        <v>0.51063000000000003</v>
      </c>
      <c r="F27" s="9">
        <f t="shared" si="1"/>
        <v>-99.489369999999994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31.5</v>
      </c>
      <c r="E28" s="9">
        <f t="shared" si="0"/>
        <v>105</v>
      </c>
      <c r="F28" s="9">
        <f t="shared" si="1"/>
        <v>1.5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10</v>
      </c>
      <c r="D29" s="5">
        <f>D30</f>
        <v>31.070430000000002</v>
      </c>
      <c r="E29" s="5">
        <f t="shared" si="0"/>
        <v>310.70429999999999</v>
      </c>
      <c r="F29" s="5">
        <f t="shared" si="1"/>
        <v>21.070430000000002</v>
      </c>
    </row>
    <row r="30" spans="1:6" ht="15.75" customHeight="1">
      <c r="A30" s="7">
        <v>1130206005</v>
      </c>
      <c r="B30" s="8" t="s">
        <v>220</v>
      </c>
      <c r="C30" s="9">
        <v>10</v>
      </c>
      <c r="D30" s="10">
        <v>31.070430000000002</v>
      </c>
      <c r="E30" s="9">
        <f t="shared" si="0"/>
        <v>310.70429999999999</v>
      </c>
      <c r="F30" s="9">
        <f t="shared" si="1"/>
        <v>21.070430000000002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324</v>
      </c>
      <c r="C34" s="9">
        <v>0</v>
      </c>
      <c r="D34" s="10">
        <f>D35</f>
        <v>10.42018</v>
      </c>
      <c r="E34" s="9" t="e">
        <f>SUM(D34/C34*100)</f>
        <v>#DIV/0!</v>
      </c>
      <c r="F34" s="9">
        <f>SUM(D34-C34)</f>
        <v>10.42018</v>
      </c>
    </row>
    <row r="35" spans="1:7" ht="18" hidden="1" customHeight="1">
      <c r="A35" s="7">
        <v>1160701010</v>
      </c>
      <c r="B35" s="8" t="s">
        <v>434</v>
      </c>
      <c r="C35" s="9">
        <v>0</v>
      </c>
      <c r="D35" s="10">
        <v>10.42018</v>
      </c>
      <c r="E35" s="9" t="e">
        <f>SUM(D35/C35*100)</f>
        <v>#DIV/0!</v>
      </c>
      <c r="F35" s="9">
        <f>SUM(D35-C35)</f>
        <v>10.42018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2441.8199999999997</v>
      </c>
      <c r="D39" s="255">
        <f>SUM(D4,D25)</f>
        <v>917.50540999999998</v>
      </c>
      <c r="E39" s="5">
        <f t="shared" si="0"/>
        <v>37.574653741881058</v>
      </c>
      <c r="F39" s="5">
        <f t="shared" si="1"/>
        <v>-1524.3145899999997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11351.014940000001</v>
      </c>
      <c r="D40" s="250">
        <f>D41+D43+D45+D46+D48+D49+D42+D47</f>
        <v>3467.9961499999999</v>
      </c>
      <c r="E40" s="5">
        <f t="shared" si="0"/>
        <v>30.552300110002317</v>
      </c>
      <c r="F40" s="5">
        <f t="shared" si="1"/>
        <v>-7883.018790000001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2029.0060000000001</v>
      </c>
      <c r="E41" s="9">
        <f t="shared" si="0"/>
        <v>58.333266250754676</v>
      </c>
      <c r="F41" s="9">
        <f t="shared" si="1"/>
        <v>-1449.2940000000001</v>
      </c>
    </row>
    <row r="42" spans="1:7" ht="17.25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5374.4871000000003</v>
      </c>
      <c r="D43" s="10">
        <v>1222.3409899999999</v>
      </c>
      <c r="E43" s="9">
        <f t="shared" si="0"/>
        <v>22.743397970012801</v>
      </c>
      <c r="F43" s="9">
        <f t="shared" si="1"/>
        <v>-4152.1461100000006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235.76400000000001</v>
      </c>
      <c r="D45" s="180">
        <v>152.815</v>
      </c>
      <c r="E45" s="9">
        <f t="shared" si="0"/>
        <v>64.816935579647435</v>
      </c>
      <c r="F45" s="9">
        <f t="shared" si="1"/>
        <v>-82.949000000000012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/>
      <c r="E46" s="9">
        <f t="shared" si="0"/>
        <v>0</v>
      </c>
      <c r="F46" s="9">
        <f t="shared" si="1"/>
        <v>-1535.80099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13792.834940000001</v>
      </c>
      <c r="D51" s="244">
        <f>D39+D40</f>
        <v>4385.5015599999997</v>
      </c>
      <c r="E51" s="5">
        <f t="shared" si="0"/>
        <v>31.795505268331731</v>
      </c>
      <c r="F51" s="5">
        <f t="shared" si="1"/>
        <v>-9407.33338</v>
      </c>
      <c r="G51" s="193"/>
    </row>
    <row r="52" spans="1:7" s="6" customFormat="1">
      <c r="A52" s="3"/>
      <c r="B52" s="21" t="s">
        <v>307</v>
      </c>
      <c r="C52" s="92">
        <f>C51-C99</f>
        <v>-188.18125999999938</v>
      </c>
      <c r="D52" s="92">
        <f>D51-D99</f>
        <v>283.93208999999933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791.11981000000003</v>
      </c>
      <c r="E56" s="34">
        <f>SUM(D56/C56*100)</f>
        <v>44.515758217568624</v>
      </c>
      <c r="F56" s="34">
        <f>SUM(D56-C56)</f>
        <v>-986.04819000000009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781.21780999999999</v>
      </c>
      <c r="E58" s="38">
        <f t="shared" ref="E58:E99" si="3">SUM(D58/C58*100)</f>
        <v>44.456434597835496</v>
      </c>
      <c r="F58" s="38">
        <f t="shared" ref="F58:F99" si="4">SUM(D58-C58)</f>
        <v>-976.04819000000009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235.76400000000001</v>
      </c>
      <c r="D64" s="32">
        <f>D65</f>
        <v>106.28332</v>
      </c>
      <c r="E64" s="34">
        <f t="shared" si="3"/>
        <v>45.08038547021598</v>
      </c>
      <c r="F64" s="34">
        <f t="shared" si="4"/>
        <v>-129.48068000000001</v>
      </c>
    </row>
    <row r="65" spans="1:7">
      <c r="A65" s="43" t="s">
        <v>45</v>
      </c>
      <c r="B65" s="44" t="s">
        <v>46</v>
      </c>
      <c r="C65" s="37">
        <v>235.76400000000001</v>
      </c>
      <c r="D65" s="37">
        <v>106.28332</v>
      </c>
      <c r="E65" s="38">
        <f t="shared" si="3"/>
        <v>45.08038547021598</v>
      </c>
      <c r="F65" s="38">
        <f t="shared" si="4"/>
        <v>-129.48068000000001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10.061340000000001</v>
      </c>
      <c r="E66" s="34">
        <f t="shared" si="3"/>
        <v>54.385621621621624</v>
      </c>
      <c r="F66" s="34">
        <f t="shared" si="4"/>
        <v>-8.4386599999999987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5.23</v>
      </c>
      <c r="E70" s="38">
        <f>SUM(D70/C70*100)</f>
        <v>38.74074074074074</v>
      </c>
      <c r="F70" s="38">
        <f>SUM(D70-C70)</f>
        <v>-8.27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7885.7461999999996</v>
      </c>
      <c r="D72" s="48">
        <f>SUM(D73:D76)</f>
        <v>941.09631999999999</v>
      </c>
      <c r="E72" s="34">
        <f t="shared" si="3"/>
        <v>11.934144165075971</v>
      </c>
      <c r="F72" s="34">
        <f t="shared" si="4"/>
        <v>-6944.6498799999999</v>
      </c>
    </row>
    <row r="73" spans="1:7" ht="17.2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7.2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7685.7461999999996</v>
      </c>
      <c r="D75" s="37">
        <v>932.59631999999999</v>
      </c>
      <c r="E75" s="38">
        <f t="shared" si="3"/>
        <v>12.134102476607932</v>
      </c>
      <c r="F75" s="38">
        <f t="shared" si="4"/>
        <v>-6753.1498799999999</v>
      </c>
    </row>
    <row r="76" spans="1:7">
      <c r="A76" s="35" t="s">
        <v>63</v>
      </c>
      <c r="B76" s="39" t="s">
        <v>64</v>
      </c>
      <c r="C76" s="49">
        <v>200</v>
      </c>
      <c r="D76" s="37">
        <v>8.5</v>
      </c>
      <c r="E76" s="38">
        <f t="shared" si="3"/>
        <v>4.25</v>
      </c>
      <c r="F76" s="38">
        <f t="shared" si="4"/>
        <v>-191.5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2200.7380000000003</v>
      </c>
      <c r="D77" s="32">
        <f>SUM(D78:D81)</f>
        <v>1128.68128</v>
      </c>
      <c r="E77" s="34">
        <f t="shared" si="3"/>
        <v>51.286490259176688</v>
      </c>
      <c r="F77" s="34">
        <f t="shared" si="4"/>
        <v>-1072.0567200000003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>
        <v>1235.4880000000001</v>
      </c>
      <c r="D79" s="37">
        <v>919.41656</v>
      </c>
      <c r="E79" s="38">
        <f t="shared" si="3"/>
        <v>74.417279649822575</v>
      </c>
      <c r="F79" s="38">
        <f t="shared" si="4"/>
        <v>-316.07144000000005</v>
      </c>
    </row>
    <row r="80" spans="1:7" ht="16.5" customHeight="1">
      <c r="A80" s="35" t="s">
        <v>71</v>
      </c>
      <c r="B80" s="39" t="s">
        <v>72</v>
      </c>
      <c r="C80" s="37">
        <v>965.25</v>
      </c>
      <c r="D80" s="37">
        <v>209.26472000000001</v>
      </c>
      <c r="E80" s="38">
        <f t="shared" si="3"/>
        <v>21.679846671846672</v>
      </c>
      <c r="F80" s="38">
        <f t="shared" si="4"/>
        <v>-755.98527999999999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1080.3273999999999</v>
      </c>
      <c r="E82" s="34">
        <f t="shared" si="3"/>
        <v>59.388016051893786</v>
      </c>
      <c r="F82" s="34">
        <f t="shared" si="4"/>
        <v>-738.77260000000001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1080.3273999999999</v>
      </c>
      <c r="E83" s="38">
        <f t="shared" si="3"/>
        <v>59.388016051893786</v>
      </c>
      <c r="F83" s="38">
        <f t="shared" si="4"/>
        <v>-738.77260000000001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13981.0162</v>
      </c>
      <c r="D99" s="246">
        <f>D56+D64+D66+D72+D77+D82+D84+D89+D95</f>
        <v>4101.5694700000004</v>
      </c>
      <c r="E99" s="34">
        <f t="shared" si="3"/>
        <v>29.33670493851513</v>
      </c>
      <c r="F99" s="34">
        <f t="shared" si="4"/>
        <v>-9879.4467299999997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 topLeftCell="A36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8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28" zoomScale="70" zoomScaleNormal="100" zoomScaleSheetLayoutView="70" workbookViewId="0">
      <selection activeCell="D98" sqref="D98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0" t="s">
        <v>426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1838.27</v>
      </c>
      <c r="D4" s="5">
        <f>D5+D12+D14+D17+D7+D20</f>
        <v>662.01904999999999</v>
      </c>
      <c r="E4" s="5">
        <f>SUM(D4/C4*100)</f>
        <v>36.013156391607325</v>
      </c>
      <c r="F4" s="5">
        <f>SUM(D4-C4)</f>
        <v>-1176.2509500000001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93.616479999999996</v>
      </c>
      <c r="E5" s="5">
        <f t="shared" ref="E5:E51" si="0">SUM(D5/C5*100)</f>
        <v>57.787950617283947</v>
      </c>
      <c r="F5" s="5">
        <f t="shared" ref="F5:F48" si="1">SUM(D5-C5)</f>
        <v>-68.383520000000004</v>
      </c>
    </row>
    <row r="6" spans="1:6">
      <c r="A6" s="7">
        <v>1010200001</v>
      </c>
      <c r="B6" s="8" t="s">
        <v>225</v>
      </c>
      <c r="C6" s="9">
        <v>162</v>
      </c>
      <c r="D6" s="10">
        <v>93.616479999999996</v>
      </c>
      <c r="E6" s="9">
        <f t="shared" ref="E6:E11" si="2">SUM(D6/C6*100)</f>
        <v>57.787950617283947</v>
      </c>
      <c r="F6" s="9">
        <f t="shared" si="1"/>
        <v>-68.383520000000004</v>
      </c>
    </row>
    <row r="7" spans="1:6" ht="31.5">
      <c r="A7" s="3">
        <v>1030000000</v>
      </c>
      <c r="B7" s="13" t="s">
        <v>267</v>
      </c>
      <c r="C7" s="5">
        <f>C8+C10+C9</f>
        <v>684.27</v>
      </c>
      <c r="D7" s="5">
        <f>D8+D10+D9+D11</f>
        <v>450.63091000000003</v>
      </c>
      <c r="E7" s="9">
        <f t="shared" si="2"/>
        <v>65.85571631081298</v>
      </c>
      <c r="F7" s="9">
        <f t="shared" si="1"/>
        <v>-233.63908999999995</v>
      </c>
    </row>
    <row r="8" spans="1:6">
      <c r="A8" s="7">
        <v>1030223001</v>
      </c>
      <c r="B8" s="8" t="s">
        <v>269</v>
      </c>
      <c r="C8" s="9">
        <v>255.233</v>
      </c>
      <c r="D8" s="10">
        <v>220.28154000000001</v>
      </c>
      <c r="E8" s="9">
        <f t="shared" si="2"/>
        <v>86.306057602269306</v>
      </c>
      <c r="F8" s="9">
        <f t="shared" si="1"/>
        <v>-34.951459999999997</v>
      </c>
    </row>
    <row r="9" spans="1:6">
      <c r="A9" s="7">
        <v>1030224001</v>
      </c>
      <c r="B9" s="8" t="s">
        <v>275</v>
      </c>
      <c r="C9" s="9">
        <v>2.7370000000000001</v>
      </c>
      <c r="D9" s="10">
        <v>1.2961</v>
      </c>
      <c r="E9" s="9">
        <f t="shared" si="2"/>
        <v>47.354767994154187</v>
      </c>
      <c r="F9" s="9">
        <f t="shared" si="1"/>
        <v>-1.4409000000000001</v>
      </c>
    </row>
    <row r="10" spans="1:6">
      <c r="A10" s="7">
        <v>1030225001</v>
      </c>
      <c r="B10" s="8" t="s">
        <v>268</v>
      </c>
      <c r="C10" s="9">
        <v>426.3</v>
      </c>
      <c r="D10" s="10">
        <v>254.55799999999999</v>
      </c>
      <c r="E10" s="9">
        <f t="shared" si="2"/>
        <v>59.713347407928687</v>
      </c>
      <c r="F10" s="9">
        <f t="shared" si="1"/>
        <v>-171.74200000000002</v>
      </c>
    </row>
    <row r="11" spans="1:6">
      <c r="A11" s="7">
        <v>1030226001</v>
      </c>
      <c r="B11" s="8" t="s">
        <v>277</v>
      </c>
      <c r="C11" s="9">
        <v>0</v>
      </c>
      <c r="D11" s="10">
        <v>-25.504729999999999</v>
      </c>
      <c r="E11" s="9" t="e">
        <f t="shared" si="2"/>
        <v>#DIV/0!</v>
      </c>
      <c r="F11" s="9">
        <f t="shared" si="1"/>
        <v>-25.504729999999999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112.37296000000001</v>
      </c>
      <c r="E14" s="5">
        <f t="shared" si="0"/>
        <v>11.729954070981211</v>
      </c>
      <c r="F14" s="5">
        <f t="shared" si="1"/>
        <v>-845.62703999999997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14.68643</v>
      </c>
      <c r="E15" s="9">
        <f t="shared" si="0"/>
        <v>7.4173888888888886</v>
      </c>
      <c r="F15" s="9">
        <f>SUM(D15-C15)</f>
        <v>-183.31357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97.686530000000005</v>
      </c>
      <c r="E16" s="9">
        <f t="shared" si="0"/>
        <v>12.853490789473684</v>
      </c>
      <c r="F16" s="9">
        <f t="shared" si="1"/>
        <v>-662.31347000000005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3.35</v>
      </c>
      <c r="E17" s="5">
        <f t="shared" si="0"/>
        <v>83.75</v>
      </c>
      <c r="F17" s="5">
        <f t="shared" si="1"/>
        <v>-0.64999999999999991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3.35</v>
      </c>
      <c r="E18" s="9">
        <f t="shared" si="0"/>
        <v>83.75</v>
      </c>
      <c r="F18" s="9">
        <f t="shared" si="1"/>
        <v>-0.64999999999999991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152.85279</v>
      </c>
      <c r="E25" s="5">
        <f t="shared" si="0"/>
        <v>64.421282801782809</v>
      </c>
      <c r="F25" s="5">
        <f t="shared" si="1"/>
        <v>-84.417850000000016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100.57136</v>
      </c>
      <c r="E26" s="5">
        <f t="shared" si="0"/>
        <v>47.024388200269094</v>
      </c>
      <c r="F26" s="5">
        <f t="shared" si="1"/>
        <v>-113.29928000000001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96.62</v>
      </c>
      <c r="E27" s="9">
        <f t="shared" si="0"/>
        <v>46.480830578094142</v>
      </c>
      <c r="F27" s="9">
        <f t="shared" si="1"/>
        <v>-111.25064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3.9513600000000002</v>
      </c>
      <c r="E28" s="9">
        <f t="shared" si="0"/>
        <v>65.856000000000009</v>
      </c>
      <c r="F28" s="9">
        <f t="shared" si="1"/>
        <v>-2.0486399999999998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3.0170300000000001</v>
      </c>
      <c r="E29" s="5">
        <f t="shared" si="0"/>
        <v>30.170300000000001</v>
      </c>
      <c r="F29" s="5">
        <f t="shared" si="1"/>
        <v>-6.9829699999999999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3.0170300000000001</v>
      </c>
      <c r="E30" s="9">
        <f t="shared" si="0"/>
        <v>30.170300000000001</v>
      </c>
      <c r="F30" s="9">
        <f t="shared" si="1"/>
        <v>-6.9829699999999999</v>
      </c>
    </row>
    <row r="31" spans="1:6" ht="23.25" hidden="1" customHeight="1">
      <c r="A31" s="70">
        <v>1140000000</v>
      </c>
      <c r="B31" s="71" t="s">
        <v>129</v>
      </c>
      <c r="C31" s="5">
        <f>C32+C33</f>
        <v>13.4</v>
      </c>
      <c r="D31" s="5">
        <f>D32+D33</f>
        <v>49.264400000000002</v>
      </c>
      <c r="E31" s="5">
        <f t="shared" si="0"/>
        <v>367.64477611940299</v>
      </c>
      <c r="F31" s="5">
        <f t="shared" si="1"/>
        <v>35.864400000000003</v>
      </c>
    </row>
    <row r="32" spans="1:6" ht="22.5" hidden="1" customHeight="1">
      <c r="A32" s="16">
        <v>1140200000</v>
      </c>
      <c r="B32" s="18" t="s">
        <v>218</v>
      </c>
      <c r="C32" s="9">
        <v>13.4</v>
      </c>
      <c r="D32" s="10">
        <v>49.264400000000002</v>
      </c>
      <c r="E32" s="9">
        <f t="shared" si="0"/>
        <v>367.64477611940299</v>
      </c>
      <c r="F32" s="9">
        <f t="shared" si="1"/>
        <v>35.864400000000003</v>
      </c>
    </row>
    <row r="33" spans="1:7" ht="21.75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2075.5406400000002</v>
      </c>
      <c r="D39" s="125">
        <f>SUM(D4,D25)</f>
        <v>814.87184000000002</v>
      </c>
      <c r="E39" s="5">
        <f t="shared" si="0"/>
        <v>39.260702695756414</v>
      </c>
      <c r="F39" s="5">
        <f t="shared" si="1"/>
        <v>-1260.6688000000001</v>
      </c>
    </row>
    <row r="40" spans="1:7" s="6" customFormat="1">
      <c r="A40" s="3">
        <v>2000000000</v>
      </c>
      <c r="B40" s="4" t="s">
        <v>17</v>
      </c>
      <c r="C40" s="227">
        <f>C41+C42+C43+C44+C48+C49</f>
        <v>16921.761910000001</v>
      </c>
      <c r="D40" s="227">
        <f>D41+D42+D43+D44+D48+D49+D50</f>
        <v>5313.48783</v>
      </c>
      <c r="E40" s="5">
        <f t="shared" si="0"/>
        <v>31.400322603877122</v>
      </c>
      <c r="F40" s="5">
        <f t="shared" si="1"/>
        <v>-11608.274080000001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2828.7</v>
      </c>
      <c r="E41" s="9">
        <f t="shared" si="0"/>
        <v>58.333333333333336</v>
      </c>
      <c r="F41" s="9">
        <f t="shared" si="1"/>
        <v>-2020.5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2194.1673500000002</v>
      </c>
      <c r="E43" s="9">
        <f t="shared" si="0"/>
        <v>20.436262084947611</v>
      </c>
      <c r="F43" s="9">
        <f t="shared" si="1"/>
        <v>-8542.4700100000009</v>
      </c>
    </row>
    <row r="44" spans="1:7" ht="18" customHeight="1">
      <c r="A44" s="16">
        <v>2023000000</v>
      </c>
      <c r="B44" s="17" t="s">
        <v>20</v>
      </c>
      <c r="C44" s="12">
        <v>235.76499999999999</v>
      </c>
      <c r="D44" s="180">
        <v>152.815</v>
      </c>
      <c r="E44" s="9">
        <f t="shared" si="0"/>
        <v>64.816660657858463</v>
      </c>
      <c r="F44" s="9">
        <f t="shared" si="1"/>
        <v>-82.949999999999989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/>
      <c r="E48" s="9">
        <f t="shared" si="0"/>
        <v>0</v>
      </c>
      <c r="F48" s="9">
        <f t="shared" si="1"/>
        <v>-662.37999000000002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137.80547999999999</v>
      </c>
      <c r="E49" s="9">
        <f>SUM(D49/C49*100)</f>
        <v>31.478280986896689</v>
      </c>
      <c r="F49" s="9">
        <f>SUM(D49-C49)</f>
        <v>-299.97408000000001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18997.30255</v>
      </c>
      <c r="D51" s="243">
        <f>SUM(D39,D40,)</f>
        <v>6128.3596699999998</v>
      </c>
      <c r="E51" s="5">
        <f t="shared" si="0"/>
        <v>32.259104437961376</v>
      </c>
      <c r="F51" s="5">
        <f>SUM(D51-C51)</f>
        <v>-12868.942880000001</v>
      </c>
      <c r="G51" s="193"/>
    </row>
    <row r="52" spans="1:7" s="6" customFormat="1">
      <c r="A52" s="3"/>
      <c r="B52" s="21" t="s">
        <v>307</v>
      </c>
      <c r="C52" s="243">
        <f>C51-C98</f>
        <v>-659.32935999999972</v>
      </c>
      <c r="D52" s="243">
        <f>D51-D98</f>
        <v>-363.23954000000049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1687.6139999999998</v>
      </c>
      <c r="D56" s="176">
        <f>D57+D58+D59+D60+D61+D63+D62</f>
        <v>878.39751000000001</v>
      </c>
      <c r="E56" s="34">
        <f>SUM(D56/C56*100)</f>
        <v>52.049669533435974</v>
      </c>
      <c r="F56" s="34">
        <f>SUM(D56-C56)</f>
        <v>-809.21648999999979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867.89350999999999</v>
      </c>
      <c r="E58" s="38">
        <f t="shared" ref="E58:E98" si="3">SUM(D58/C58*100)</f>
        <v>52.059762703120974</v>
      </c>
      <c r="F58" s="38">
        <f t="shared" ref="F58:F98" si="4">SUM(D58-C58)</f>
        <v>-799.21648999999991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10.504</v>
      </c>
      <c r="D63" s="37">
        <v>10.504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235.76499999999999</v>
      </c>
      <c r="D64" s="32">
        <f>D65</f>
        <v>116.31717999999999</v>
      </c>
      <c r="E64" s="34">
        <f>SUM(D64/C64*100)</f>
        <v>49.336067694526328</v>
      </c>
      <c r="F64" s="34">
        <f t="shared" si="4"/>
        <v>-119.44781999999999</v>
      </c>
    </row>
    <row r="65" spans="1:7">
      <c r="A65" s="43" t="s">
        <v>45</v>
      </c>
      <c r="B65" s="44" t="s">
        <v>46</v>
      </c>
      <c r="C65" s="37">
        <v>235.76499999999999</v>
      </c>
      <c r="D65" s="37">
        <v>116.31717999999999</v>
      </c>
      <c r="E65" s="261">
        <f>SUM(D65/C65*100)</f>
        <v>49.336067694526328</v>
      </c>
      <c r="F65" s="38">
        <f t="shared" si="4"/>
        <v>-119.44781999999999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8.6713400000000007</v>
      </c>
      <c r="E66" s="34">
        <f t="shared" si="3"/>
        <v>69.370720000000006</v>
      </c>
      <c r="F66" s="34">
        <f t="shared" si="4"/>
        <v>-3.8286599999999993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3.84</v>
      </c>
      <c r="E70" s="34">
        <f t="shared" si="3"/>
        <v>51.2</v>
      </c>
      <c r="F70" s="34">
        <f t="shared" si="4"/>
        <v>-3.66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6480.2069099999999</v>
      </c>
      <c r="D72" s="48">
        <f>SUM(D73:D76)</f>
        <v>2060.68163</v>
      </c>
      <c r="E72" s="34">
        <f t="shared" si="3"/>
        <v>31.79962705851317</v>
      </c>
      <c r="F72" s="34">
        <f t="shared" si="4"/>
        <v>-4419.5252799999998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5680.2069099999999</v>
      </c>
      <c r="D75" s="37">
        <v>1697.68163</v>
      </c>
      <c r="E75" s="38">
        <f t="shared" si="3"/>
        <v>29.887672348893364</v>
      </c>
      <c r="F75" s="38">
        <f t="shared" si="4"/>
        <v>-3982.5252799999998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1035.9459999999999</v>
      </c>
      <c r="D77" s="32">
        <f>SUM(D78:D80)</f>
        <v>585.05246999999997</v>
      </c>
      <c r="E77" s="34">
        <f t="shared" si="3"/>
        <v>56.475189826496752</v>
      </c>
      <c r="F77" s="34">
        <f t="shared" si="4"/>
        <v>-450.89352999999994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hidden="1" customHeight="1">
      <c r="A79" s="35" t="s">
        <v>69</v>
      </c>
      <c r="B79" s="51" t="s">
        <v>70</v>
      </c>
      <c r="C79" s="37">
        <v>85</v>
      </c>
      <c r="D79" s="37">
        <v>62.710560000000001</v>
      </c>
      <c r="E79" s="34">
        <f t="shared" si="3"/>
        <v>73.777129411764705</v>
      </c>
      <c r="F79" s="34">
        <f t="shared" si="4"/>
        <v>-22.289439999999999</v>
      </c>
    </row>
    <row r="80" spans="1:7">
      <c r="A80" s="35" t="s">
        <v>71</v>
      </c>
      <c r="B80" s="39" t="s">
        <v>72</v>
      </c>
      <c r="C80" s="37">
        <v>950.94600000000003</v>
      </c>
      <c r="D80" s="37">
        <v>522.34190999999998</v>
      </c>
      <c r="E80" s="38">
        <f t="shared" si="3"/>
        <v>54.928661564379041</v>
      </c>
      <c r="F80" s="38">
        <f t="shared" si="4"/>
        <v>-428.60409000000004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2829.9790800000001</v>
      </c>
      <c r="E81" s="34">
        <f>SUM(D81/C81*100)</f>
        <v>27.773210724660437</v>
      </c>
      <c r="F81" s="34">
        <f t="shared" si="4"/>
        <v>-7359.6209200000003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2829.9790800000001</v>
      </c>
      <c r="E82" s="38">
        <f>SUM(D82/C82*100)</f>
        <v>27.773210724660437</v>
      </c>
      <c r="F82" s="38">
        <f t="shared" si="4"/>
        <v>-7359.6209200000003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19656.63191</v>
      </c>
      <c r="D98" s="246">
        <f>D56+D64+D66+D72+D77+D81+D83+D88+D94</f>
        <v>6491.5992100000003</v>
      </c>
      <c r="E98" s="34">
        <f t="shared" si="3"/>
        <v>33.024982304814401</v>
      </c>
      <c r="F98" s="34">
        <f t="shared" si="4"/>
        <v>-13165.0327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61528DAC-5C4C-48F4-ADE2-8A724B05A086}" scale="70" showPageBreaks="1" hiddenRows="1" view="pageBreakPreview" topLeftCell="A34">
      <selection activeCell="B62" sqref="B62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8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9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28" zoomScale="70" zoomScaleNormal="100" zoomScaleSheetLayoutView="70" workbookViewId="0">
      <selection activeCell="C98" sqref="C98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427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758.33919000000003</v>
      </c>
      <c r="E4" s="5">
        <f>SUM(D4/C4*100)</f>
        <v>41.756466604261881</v>
      </c>
      <c r="F4" s="5">
        <f>SUM(D4-C4)</f>
        <v>-1057.7608099999998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78.464510000000004</v>
      </c>
      <c r="E5" s="5">
        <f t="shared" ref="E5:E51" si="0">SUM(D5/C5*100)</f>
        <v>49.348748427672959</v>
      </c>
      <c r="F5" s="5">
        <f t="shared" ref="F5:F51" si="1">SUM(D5-C5)</f>
        <v>-80.535489999999996</v>
      </c>
    </row>
    <row r="6" spans="1:6">
      <c r="A6" s="7">
        <v>1010200001</v>
      </c>
      <c r="B6" s="8" t="s">
        <v>225</v>
      </c>
      <c r="C6" s="9">
        <v>159</v>
      </c>
      <c r="D6" s="10">
        <v>78.464510000000004</v>
      </c>
      <c r="E6" s="9">
        <f t="shared" ref="E6:E11" si="2">SUM(D6/C6*100)</f>
        <v>49.348748427672959</v>
      </c>
      <c r="F6" s="9">
        <f t="shared" si="1"/>
        <v>-80.535489999999996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603.95767000000001</v>
      </c>
      <c r="E7" s="5">
        <f t="shared" si="2"/>
        <v>65.855159742667098</v>
      </c>
      <c r="F7" s="5">
        <f t="shared" si="1"/>
        <v>-313.14233000000002</v>
      </c>
    </row>
    <row r="8" spans="1:6">
      <c r="A8" s="7">
        <v>1030223001</v>
      </c>
      <c r="B8" s="8" t="s">
        <v>269</v>
      </c>
      <c r="C8" s="9">
        <v>342.07900000000001</v>
      </c>
      <c r="D8" s="10">
        <v>295.23208</v>
      </c>
      <c r="E8" s="9">
        <f t="shared" si="2"/>
        <v>86.305233586393783</v>
      </c>
      <c r="F8" s="9">
        <f t="shared" si="1"/>
        <v>-46.846920000000011</v>
      </c>
    </row>
    <row r="9" spans="1:6">
      <c r="A9" s="7">
        <v>1030224001</v>
      </c>
      <c r="B9" s="8" t="s">
        <v>275</v>
      </c>
      <c r="C9" s="9">
        <v>3.6680000000000001</v>
      </c>
      <c r="D9" s="10">
        <v>1.7371099999999999</v>
      </c>
      <c r="E9" s="9">
        <f>SUM(D9/C9*100)</f>
        <v>47.358505997818973</v>
      </c>
      <c r="F9" s="9">
        <f t="shared" si="1"/>
        <v>-1.9308900000000002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341.17113999999998</v>
      </c>
      <c r="E10" s="9">
        <f t="shared" si="2"/>
        <v>59.712846523952791</v>
      </c>
      <c r="F10" s="9">
        <f t="shared" si="1"/>
        <v>-230.18185999999997</v>
      </c>
    </row>
    <row r="11" spans="1:6">
      <c r="A11" s="7">
        <v>1030226001</v>
      </c>
      <c r="B11" s="8" t="s">
        <v>277</v>
      </c>
      <c r="C11" s="9">
        <v>0</v>
      </c>
      <c r="D11" s="10">
        <v>-34.182659999999998</v>
      </c>
      <c r="E11" s="9" t="e">
        <f t="shared" si="2"/>
        <v>#DIV/0!</v>
      </c>
      <c r="F11" s="9">
        <f t="shared" si="1"/>
        <v>-34.182659999999998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65.235010000000003</v>
      </c>
      <c r="E14" s="5">
        <f t="shared" si="0"/>
        <v>9.2927364672364678</v>
      </c>
      <c r="F14" s="5">
        <f t="shared" si="1"/>
        <v>-636.76499000000001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-0.15401999999999999</v>
      </c>
      <c r="E15" s="9">
        <f t="shared" si="0"/>
        <v>-6.2356275303643717E-2</v>
      </c>
      <c r="F15" s="9">
        <f>SUM(D15-C15)</f>
        <v>-247.15402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65.389030000000005</v>
      </c>
      <c r="E16" s="9">
        <f t="shared" si="0"/>
        <v>14.371215384615384</v>
      </c>
      <c r="F16" s="9">
        <f t="shared" si="1"/>
        <v>-389.61097000000001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4.7</v>
      </c>
      <c r="E17" s="5">
        <f t="shared" si="0"/>
        <v>58.75</v>
      </c>
      <c r="F17" s="5">
        <f t="shared" si="1"/>
        <v>-3.3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4.7</v>
      </c>
      <c r="E18" s="9">
        <f t="shared" si="0"/>
        <v>58.75</v>
      </c>
      <c r="F18" s="9">
        <f t="shared" si="1"/>
        <v>-3.3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480</v>
      </c>
      <c r="D25" s="5">
        <f>D26+D29+D32+D37+D35</f>
        <v>421.03611000000001</v>
      </c>
      <c r="E25" s="5">
        <f t="shared" si="0"/>
        <v>87.715856250000002</v>
      </c>
      <c r="F25" s="5">
        <f t="shared" si="1"/>
        <v>-58.963889999999992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392.88451000000003</v>
      </c>
      <c r="E26" s="5">
        <f t="shared" si="0"/>
        <v>112.25271714285716</v>
      </c>
      <c r="F26" s="5">
        <f t="shared" si="1"/>
        <v>42.884510000000034</v>
      </c>
    </row>
    <row r="27" spans="1:6">
      <c r="A27" s="16">
        <v>1110502510</v>
      </c>
      <c r="B27" s="17" t="s">
        <v>222</v>
      </c>
      <c r="C27" s="12">
        <v>320</v>
      </c>
      <c r="D27" s="10">
        <v>352.46289000000002</v>
      </c>
      <c r="E27" s="9">
        <f t="shared" si="0"/>
        <v>110.14465312500002</v>
      </c>
      <c r="F27" s="9">
        <f t="shared" si="1"/>
        <v>32.462890000000016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40.421619999999997</v>
      </c>
      <c r="E28" s="9">
        <f t="shared" si="0"/>
        <v>134.73873333333333</v>
      </c>
      <c r="F28" s="9">
        <f t="shared" si="1"/>
        <v>10.421619999999997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28.151599999999998</v>
      </c>
      <c r="E29" s="5">
        <f t="shared" si="0"/>
        <v>21.655076923076923</v>
      </c>
      <c r="F29" s="5">
        <f t="shared" si="1"/>
        <v>-101.8484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28.151599999999998</v>
      </c>
      <c r="E30" s="9">
        <f t="shared" si="0"/>
        <v>21.655076923076923</v>
      </c>
      <c r="F30" s="9">
        <f t="shared" si="1"/>
        <v>-101.8484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/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hidden="1" customHeight="1">
      <c r="A35" s="3">
        <v>1160000000</v>
      </c>
      <c r="B35" s="13" t="s">
        <v>241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hidden="1" customHeight="1">
      <c r="A36" s="7">
        <v>1163305010</v>
      </c>
      <c r="B36" s="8" t="s">
        <v>256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2296.1</v>
      </c>
      <c r="D40" s="125">
        <f>D4+D25</f>
        <v>1179.3753000000002</v>
      </c>
      <c r="E40" s="5">
        <f t="shared" si="0"/>
        <v>51.364282914507221</v>
      </c>
      <c r="F40" s="5">
        <f t="shared" si="1"/>
        <v>-1116.7246999999998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8919.8316399999985</v>
      </c>
      <c r="D41" s="227">
        <f>D42+D43+D44+D45+D46+D48+D49</f>
        <v>4508.2577899999997</v>
      </c>
      <c r="E41" s="5">
        <f t="shared" si="0"/>
        <v>50.541960565524761</v>
      </c>
      <c r="F41" s="5">
        <f t="shared" si="1"/>
        <v>-4411.5738499999989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1364.2439999999999</v>
      </c>
      <c r="E42" s="9">
        <f t="shared" si="0"/>
        <v>58.333433103861118</v>
      </c>
      <c r="F42" s="9">
        <f t="shared" si="1"/>
        <v>-974.4559999999999</v>
      </c>
    </row>
    <row r="43" spans="1:7" ht="15.75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4944.6908299999996</v>
      </c>
      <c r="D44" s="10">
        <v>2243.4595199999999</v>
      </c>
      <c r="E44" s="9">
        <f t="shared" si="0"/>
        <v>45.371077730253155</v>
      </c>
      <c r="F44" s="9">
        <f t="shared" si="1"/>
        <v>-2701.2313099999997</v>
      </c>
    </row>
    <row r="45" spans="1:7" ht="18" customHeight="1">
      <c r="A45" s="16">
        <v>2023000000</v>
      </c>
      <c r="B45" s="17" t="s">
        <v>20</v>
      </c>
      <c r="C45" s="12">
        <v>94.305999999999997</v>
      </c>
      <c r="D45" s="180">
        <v>66.573999999999998</v>
      </c>
      <c r="E45" s="9">
        <f t="shared" si="0"/>
        <v>70.593599558882786</v>
      </c>
      <c r="F45" s="9">
        <f t="shared" si="1"/>
        <v>-27.731999999999999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417.44195000000002</v>
      </c>
      <c r="E46" s="9">
        <f t="shared" si="0"/>
        <v>40.597991894833179</v>
      </c>
      <c r="F46" s="9">
        <f t="shared" si="1"/>
        <v>-610.79104999999993</v>
      </c>
    </row>
    <row r="47" spans="1:7" ht="32.25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.75" customHeight="1">
      <c r="A48" s="16">
        <v>2070500010</v>
      </c>
      <c r="B48" s="8" t="s">
        <v>334</v>
      </c>
      <c r="C48" s="12">
        <v>513.90180999999995</v>
      </c>
      <c r="D48" s="181">
        <v>416.53832</v>
      </c>
      <c r="E48" s="9">
        <f t="shared" si="0"/>
        <v>81.054067507565321</v>
      </c>
      <c r="F48" s="9">
        <f t="shared" si="1"/>
        <v>-97.363489999999956</v>
      </c>
    </row>
    <row r="49" spans="1:8" ht="21.75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11215.931639999999</v>
      </c>
      <c r="D51" s="243">
        <f>D40+D41</f>
        <v>5687.6330899999994</v>
      </c>
      <c r="E51" s="92">
        <f t="shared" si="0"/>
        <v>50.710304525358183</v>
      </c>
      <c r="F51" s="92">
        <f t="shared" si="1"/>
        <v>-5528.2985499999995</v>
      </c>
      <c r="G51" s="193">
        <f>7662.29943-C51</f>
        <v>-3553.6322099999988</v>
      </c>
      <c r="H51" s="193">
        <f>1130.4405-D51</f>
        <v>-4557.1925899999997</v>
      </c>
    </row>
    <row r="52" spans="1:8" s="6" customFormat="1">
      <c r="A52" s="3"/>
      <c r="B52" s="21" t="s">
        <v>307</v>
      </c>
      <c r="C52" s="92">
        <f>C51-C98</f>
        <v>-530.02748000000065</v>
      </c>
      <c r="D52" s="92">
        <f>D51-D98</f>
        <v>-152.02972000000045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1303.4739999999999</v>
      </c>
      <c r="D56" s="33">
        <f>D57+D58+D59+D60+D61+D63+D62</f>
        <v>653.83069999999998</v>
      </c>
      <c r="E56" s="34">
        <f>SUM(D56/C56*100)</f>
        <v>50.1606246077789</v>
      </c>
      <c r="F56" s="34">
        <f>SUM(D56-C56)</f>
        <v>-649.64329999999995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649.87469999999996</v>
      </c>
      <c r="E58" s="38">
        <f t="shared" ref="E58:E98" si="3">SUM(D58/C58*100)</f>
        <v>50.396714121090206</v>
      </c>
      <c r="F58" s="38">
        <f t="shared" ref="F58:F98" si="4">SUM(D58-C58)</f>
        <v>-639.64330000000007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94.305999999999997</v>
      </c>
      <c r="D64" s="32">
        <f>D65</f>
        <v>51.051940000000002</v>
      </c>
      <c r="E64" s="34">
        <f t="shared" si="3"/>
        <v>54.134349882298046</v>
      </c>
      <c r="F64" s="34">
        <f t="shared" si="4"/>
        <v>-43.254059999999996</v>
      </c>
    </row>
    <row r="65" spans="1:7">
      <c r="A65" s="43" t="s">
        <v>45</v>
      </c>
      <c r="B65" s="44" t="s">
        <v>46</v>
      </c>
      <c r="C65" s="37">
        <v>94.305999999999997</v>
      </c>
      <c r="D65" s="37">
        <v>51.051940000000002</v>
      </c>
      <c r="E65" s="38">
        <f t="shared" si="3"/>
        <v>54.134349882298046</v>
      </c>
      <c r="F65" s="38">
        <f t="shared" si="4"/>
        <v>-43.254059999999996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20</v>
      </c>
      <c r="D66" s="254">
        <f>D69+D70</f>
        <v>2.83134</v>
      </c>
      <c r="E66" s="34">
        <f t="shared" si="3"/>
        <v>14.156700000000001</v>
      </c>
      <c r="F66" s="34">
        <f t="shared" si="4"/>
        <v>-17.168659999999999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15</v>
      </c>
      <c r="D70" s="37">
        <v>0</v>
      </c>
      <c r="E70" s="34">
        <f t="shared" si="3"/>
        <v>0</v>
      </c>
      <c r="F70" s="34">
        <f t="shared" si="4"/>
        <v>-15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5342.6914800000004</v>
      </c>
      <c r="D72" s="48">
        <f>SUM(D73:D77)</f>
        <v>1165.0149999999999</v>
      </c>
      <c r="E72" s="34">
        <f t="shared" si="3"/>
        <v>21.805769701678521</v>
      </c>
      <c r="F72" s="34">
        <f t="shared" si="4"/>
        <v>-4177.6764800000001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4892.6914800000004</v>
      </c>
      <c r="D76" s="37">
        <v>758.01499999999999</v>
      </c>
      <c r="E76" s="38">
        <f t="shared" si="3"/>
        <v>15.492801929133696</v>
      </c>
      <c r="F76" s="38">
        <f t="shared" si="4"/>
        <v>-4134.6764800000001</v>
      </c>
    </row>
    <row r="77" spans="1:7">
      <c r="A77" s="35" t="s">
        <v>63</v>
      </c>
      <c r="B77" s="39" t="s">
        <v>64</v>
      </c>
      <c r="C77" s="49">
        <v>450</v>
      </c>
      <c r="D77" s="37">
        <v>407</v>
      </c>
      <c r="E77" s="38">
        <f t="shared" si="3"/>
        <v>90.444444444444443</v>
      </c>
      <c r="F77" s="38">
        <f t="shared" si="4"/>
        <v>-43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3807.0876400000002</v>
      </c>
      <c r="D78" s="32">
        <f>SUM(D79:D81)</f>
        <v>3288.7838299999999</v>
      </c>
      <c r="E78" s="34">
        <f t="shared" si="3"/>
        <v>86.385818793496426</v>
      </c>
      <c r="F78" s="34">
        <f t="shared" si="4"/>
        <v>-518.30381000000034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hidden="1" customHeight="1">
      <c r="A80" s="35" t="s">
        <v>69</v>
      </c>
      <c r="B80" s="51" t="s">
        <v>70</v>
      </c>
      <c r="C80" s="37">
        <v>2743.1332400000001</v>
      </c>
      <c r="D80" s="37">
        <v>2494.41374</v>
      </c>
      <c r="E80" s="38">
        <f t="shared" si="3"/>
        <v>90.933014249063589</v>
      </c>
      <c r="F80" s="38">
        <f t="shared" si="4"/>
        <v>-248.71950000000015</v>
      </c>
    </row>
    <row r="81" spans="1:6">
      <c r="A81" s="35" t="s">
        <v>71</v>
      </c>
      <c r="B81" s="39" t="s">
        <v>72</v>
      </c>
      <c r="C81" s="37">
        <v>1063.9544000000001</v>
      </c>
      <c r="D81" s="37">
        <v>794.37009</v>
      </c>
      <c r="E81" s="38">
        <f t="shared" si="3"/>
        <v>74.662042846949078</v>
      </c>
      <c r="F81" s="38">
        <f t="shared" si="4"/>
        <v>-269.58431000000007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1176.4000000000001</v>
      </c>
      <c r="D82" s="32">
        <f>D83</f>
        <v>678.15</v>
      </c>
      <c r="E82" s="34">
        <f t="shared" si="3"/>
        <v>57.646208772526343</v>
      </c>
      <c r="F82" s="34">
        <f t="shared" si="4"/>
        <v>-498.25000000000011</v>
      </c>
    </row>
    <row r="83" spans="1:6" ht="14.25" customHeight="1">
      <c r="A83" s="35" t="s">
        <v>85</v>
      </c>
      <c r="B83" s="39" t="s">
        <v>230</v>
      </c>
      <c r="C83" s="37">
        <v>1176.4000000000001</v>
      </c>
      <c r="D83" s="37">
        <v>678.15</v>
      </c>
      <c r="E83" s="38">
        <f t="shared" si="3"/>
        <v>57.646208772526343</v>
      </c>
      <c r="F83" s="38">
        <f t="shared" si="4"/>
        <v>-498.25000000000011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11745.95912</v>
      </c>
      <c r="D98" s="246">
        <f>D56+D64+D66+D72+D78+D82+D96+D84</f>
        <v>5839.6628099999998</v>
      </c>
      <c r="E98" s="34">
        <f t="shared" si="3"/>
        <v>49.716355644867939</v>
      </c>
      <c r="F98" s="34">
        <f t="shared" si="4"/>
        <v>-5906.2963099999997</v>
      </c>
      <c r="G98" s="193">
        <f>8096.52307-C98</f>
        <v>-3649.4360499999993</v>
      </c>
      <c r="H98" s="193">
        <f>899.25122-D98</f>
        <v>-4940.4115899999997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61528DAC-5C4C-48F4-ADE2-8A724B05A086}" scale="70" showPageBreaks="1" printArea="1" hiddenRows="1" view="pageBreakPreview" topLeftCell="A31">
      <selection activeCell="D83" sqref="D83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8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9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8" zoomScale="70" zoomScaleNormal="100" zoomScaleSheetLayoutView="70" workbookViewId="0">
      <selection activeCell="A32" sqref="A32:XFD32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435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508.78270000000003</v>
      </c>
      <c r="E4" s="5">
        <f>SUM(D4/C4*100)</f>
        <v>44.6406341852895</v>
      </c>
      <c r="F4" s="5">
        <f>SUM(D4-C4)</f>
        <v>-630.94730000000004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48.30771</v>
      </c>
      <c r="E5" s="5">
        <f t="shared" ref="E5:E48" si="0">SUM(D5/C5*100)</f>
        <v>43.52045945945946</v>
      </c>
      <c r="F5" s="5">
        <f t="shared" ref="F5:F48" si="1">SUM(D5-C5)</f>
        <v>-62.69229</v>
      </c>
    </row>
    <row r="6" spans="1:6">
      <c r="A6" s="7">
        <v>1010200001</v>
      </c>
      <c r="B6" s="8" t="s">
        <v>225</v>
      </c>
      <c r="C6" s="9">
        <v>111</v>
      </c>
      <c r="D6" s="10">
        <v>48.30771</v>
      </c>
      <c r="E6" s="9">
        <f t="shared" ref="E6:E11" si="2">SUM(D6/C6*100)</f>
        <v>43.52045945945946</v>
      </c>
      <c r="F6" s="9">
        <f t="shared" si="1"/>
        <v>-62.69229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282.34551000000005</v>
      </c>
      <c r="E7" s="5">
        <f t="shared" si="2"/>
        <v>65.856252186690938</v>
      </c>
      <c r="F7" s="5">
        <f t="shared" si="1"/>
        <v>-146.38448999999991</v>
      </c>
    </row>
    <row r="8" spans="1:6">
      <c r="A8" s="7">
        <v>1030223001</v>
      </c>
      <c r="B8" s="8" t="s">
        <v>269</v>
      </c>
      <c r="C8" s="9">
        <v>159.916</v>
      </c>
      <c r="D8" s="10">
        <v>138.01872</v>
      </c>
      <c r="E8" s="9">
        <f t="shared" si="2"/>
        <v>86.307011180869964</v>
      </c>
      <c r="F8" s="9">
        <f t="shared" si="1"/>
        <v>-21.897279999999995</v>
      </c>
    </row>
    <row r="9" spans="1:6">
      <c r="A9" s="7">
        <v>1030224001</v>
      </c>
      <c r="B9" s="8" t="s">
        <v>275</v>
      </c>
      <c r="C9" s="9">
        <v>1.7150000000000001</v>
      </c>
      <c r="D9" s="10">
        <v>0.81206999999999996</v>
      </c>
      <c r="E9" s="9">
        <f t="shared" si="2"/>
        <v>47.351020408163258</v>
      </c>
      <c r="F9" s="9">
        <f t="shared" si="1"/>
        <v>-0.90293000000000012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159.49485000000001</v>
      </c>
      <c r="E10" s="9">
        <f t="shared" si="2"/>
        <v>59.71375782013412</v>
      </c>
      <c r="F10" s="9">
        <f t="shared" si="1"/>
        <v>-107.60414999999998</v>
      </c>
    </row>
    <row r="11" spans="1:6">
      <c r="A11" s="7">
        <v>1030226001</v>
      </c>
      <c r="B11" s="8" t="s">
        <v>277</v>
      </c>
      <c r="C11" s="9">
        <v>0</v>
      </c>
      <c r="D11" s="10">
        <v>-15.980130000000001</v>
      </c>
      <c r="E11" s="9" t="e">
        <f t="shared" si="2"/>
        <v>#DIV/0!</v>
      </c>
      <c r="F11" s="9">
        <f t="shared" si="1"/>
        <v>-15.980130000000001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1.0592999999999999</v>
      </c>
      <c r="E12" s="5">
        <f t="shared" si="0"/>
        <v>10.593</v>
      </c>
      <c r="F12" s="5">
        <f t="shared" si="1"/>
        <v>-8.9406999999999996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1.0592999999999999</v>
      </c>
      <c r="E13" s="9">
        <f t="shared" si="0"/>
        <v>10.593</v>
      </c>
      <c r="F13" s="9">
        <f t="shared" si="1"/>
        <v>-8.9406999999999996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175.47018</v>
      </c>
      <c r="E14" s="5">
        <f t="shared" si="0"/>
        <v>29.994902564102567</v>
      </c>
      <c r="F14" s="5">
        <f t="shared" si="1"/>
        <v>-409.52981999999997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130.89299</v>
      </c>
      <c r="E15" s="9">
        <f t="shared" si="0"/>
        <v>48.299996309963099</v>
      </c>
      <c r="F15" s="9">
        <f>SUM(D15-C15)</f>
        <v>-140.10701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44.577190000000002</v>
      </c>
      <c r="E16" s="9">
        <f t="shared" si="0"/>
        <v>14.196557324840764</v>
      </c>
      <c r="F16" s="9">
        <f t="shared" si="1"/>
        <v>-269.42281000000003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.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</f>
        <v>16.383299999999998</v>
      </c>
      <c r="E23" s="5">
        <f t="shared" si="0"/>
        <v>54.610999999999997</v>
      </c>
      <c r="F23" s="5">
        <f t="shared" si="1"/>
        <v>-13.616700000000002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16.383299999999998</v>
      </c>
      <c r="E24" s="5">
        <f t="shared" si="0"/>
        <v>54.610999999999997</v>
      </c>
      <c r="F24" s="5">
        <f t="shared" si="1"/>
        <v>-13.616700000000002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16.383299999999998</v>
      </c>
      <c r="E25" s="9">
        <f t="shared" si="0"/>
        <v>54.610999999999997</v>
      </c>
      <c r="F25" s="9">
        <f t="shared" si="1"/>
        <v>-13.616700000000002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536">
        <v>1160000000</v>
      </c>
      <c r="B32" s="537" t="s">
        <v>241</v>
      </c>
      <c r="C32" s="9">
        <v>0</v>
      </c>
      <c r="D32" s="10">
        <v>0.33851999999999999</v>
      </c>
      <c r="E32" s="9"/>
      <c r="F32" s="9"/>
    </row>
    <row r="33" spans="1:8" ht="18" hidden="1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hidden="1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hidden="1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525.16600000000005</v>
      </c>
      <c r="E36" s="5">
        <f t="shared" si="0"/>
        <v>44.896343600659982</v>
      </c>
      <c r="F36" s="5">
        <f t="shared" si="1"/>
        <v>-644.56399999999996</v>
      </c>
    </row>
    <row r="37" spans="1:8" s="6" customFormat="1">
      <c r="A37" s="3">
        <v>2000000000</v>
      </c>
      <c r="B37" s="4" t="s">
        <v>17</v>
      </c>
      <c r="C37" s="5">
        <f>C38+C40+C41+C42+C43+C44</f>
        <v>10739.342600000002</v>
      </c>
      <c r="D37" s="227">
        <f>D38+D40+D41+D42+D44+D43</f>
        <v>3782.4719200000004</v>
      </c>
      <c r="E37" s="5">
        <f t="shared" si="0"/>
        <v>35.220702615446868</v>
      </c>
      <c r="F37" s="5">
        <f t="shared" si="1"/>
        <v>-6956.8706800000018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1222.2560000000001</v>
      </c>
      <c r="E38" s="9">
        <f t="shared" si="0"/>
        <v>58.333221972987161</v>
      </c>
      <c r="F38" s="9">
        <f t="shared" si="1"/>
        <v>-873.0440000000001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2072.2287999999999</v>
      </c>
      <c r="E41" s="9">
        <f t="shared" si="0"/>
        <v>38.428115284434867</v>
      </c>
      <c r="F41" s="9">
        <f t="shared" si="1"/>
        <v>-3320.25216</v>
      </c>
    </row>
    <row r="42" spans="1:8" ht="17.25" customHeight="1">
      <c r="A42" s="16">
        <v>2023000000</v>
      </c>
      <c r="B42" s="17" t="s">
        <v>20</v>
      </c>
      <c r="C42" s="12">
        <v>94.305000000000007</v>
      </c>
      <c r="D42" s="180">
        <v>66.573999999999998</v>
      </c>
      <c r="E42" s="9">
        <f t="shared" si="0"/>
        <v>70.594348125762153</v>
      </c>
      <c r="F42" s="9">
        <f t="shared" si="1"/>
        <v>-27.731000000000009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/>
      <c r="E43" s="9">
        <f t="shared" si="0"/>
        <v>0</v>
      </c>
      <c r="F43" s="9">
        <f t="shared" si="1"/>
        <v>-2391.2614800000001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421.41311999999999</v>
      </c>
      <c r="E44" s="9">
        <f t="shared" si="0"/>
        <v>55.015115239109335</v>
      </c>
      <c r="F44" s="9">
        <f t="shared" si="1"/>
        <v>-344.58204000000006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11909.072600000001</v>
      </c>
      <c r="D48" s="247">
        <f>D36+D37</f>
        <v>4307.6379200000001</v>
      </c>
      <c r="E48" s="5">
        <f t="shared" si="0"/>
        <v>36.171061044669422</v>
      </c>
      <c r="F48" s="5">
        <f t="shared" si="1"/>
        <v>-7601.4346800000012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-31.442159999996875</v>
      </c>
      <c r="D49" s="187">
        <f>D48-D95</f>
        <v>349.94534999999996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409</v>
      </c>
      <c r="D51" s="471" t="s">
        <v>416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750.69466</v>
      </c>
      <c r="E53" s="34">
        <f>SUM(D53/C53*100)</f>
        <v>58.475426436658054</v>
      </c>
      <c r="F53" s="34">
        <f>SUM(D53-C53)</f>
        <v>-533.08334000000002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747.54265999999996</v>
      </c>
      <c r="E55" s="38">
        <f>SUM(D55/C55*100)</f>
        <v>58.832627382093548</v>
      </c>
      <c r="F55" s="38">
        <f t="shared" ref="F55:F95" si="3">SUM(D55-C55)</f>
        <v>-523.08334000000002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hidden="1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94.305000000000007</v>
      </c>
      <c r="D61" s="32">
        <f>D62</f>
        <v>38.852789999999999</v>
      </c>
      <c r="E61" s="34">
        <f t="shared" si="4"/>
        <v>41.199077461428338</v>
      </c>
      <c r="F61" s="34">
        <f t="shared" si="3"/>
        <v>-55.452210000000008</v>
      </c>
    </row>
    <row r="62" spans="1:6" ht="17.850000000000001" customHeight="1">
      <c r="A62" s="43" t="s">
        <v>45</v>
      </c>
      <c r="B62" s="44" t="s">
        <v>46</v>
      </c>
      <c r="C62" s="37">
        <v>94.305000000000007</v>
      </c>
      <c r="D62" s="37">
        <v>38.852789999999999</v>
      </c>
      <c r="E62" s="38">
        <f t="shared" si="4"/>
        <v>41.199077461428338</v>
      </c>
      <c r="F62" s="38">
        <f t="shared" si="3"/>
        <v>-55.452210000000008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4.83134</v>
      </c>
      <c r="E63" s="34">
        <f t="shared" si="4"/>
        <v>60.391750000000002</v>
      </c>
      <c r="F63" s="34">
        <f t="shared" si="3"/>
        <v>-3.16866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0</v>
      </c>
      <c r="E67" s="38">
        <f t="shared" si="4"/>
        <v>0</v>
      </c>
      <c r="F67" s="38">
        <f t="shared" si="3"/>
        <v>-3.16866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5.7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272.56196999999997</v>
      </c>
      <c r="E69" s="34">
        <f t="shared" si="4"/>
        <v>21.22455664701026</v>
      </c>
      <c r="F69" s="34">
        <f t="shared" si="3"/>
        <v>-1011.6201900000001</v>
      </c>
    </row>
    <row r="70" spans="1:7" ht="16.5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245.06197</v>
      </c>
      <c r="E72" s="38">
        <f t="shared" si="4"/>
        <v>19.500712097321411</v>
      </c>
      <c r="F72" s="38">
        <f t="shared" si="3"/>
        <v>-1011.6201900000001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8399.4495999999999</v>
      </c>
      <c r="D74" s="32">
        <f>D77+D76</f>
        <v>2435.4668900000001</v>
      </c>
      <c r="E74" s="34">
        <f t="shared" si="4"/>
        <v>28.995553351495793</v>
      </c>
      <c r="F74" s="34">
        <f t="shared" si="3"/>
        <v>-5963.9827100000002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8203.8996000000006</v>
      </c>
      <c r="D76" s="37">
        <v>2327.06592</v>
      </c>
      <c r="E76" s="38">
        <f t="shared" si="4"/>
        <v>28.365363223118916</v>
      </c>
      <c r="F76" s="38">
        <f t="shared" si="3"/>
        <v>-5876.8336800000006</v>
      </c>
    </row>
    <row r="77" spans="1:7" ht="17.850000000000001" customHeight="1">
      <c r="A77" s="35" t="s">
        <v>71</v>
      </c>
      <c r="B77" s="39" t="s">
        <v>72</v>
      </c>
      <c r="C77" s="37">
        <v>195.55</v>
      </c>
      <c r="D77" s="37">
        <v>108.40097</v>
      </c>
      <c r="E77" s="38">
        <f t="shared" si="4"/>
        <v>55.433889030938374</v>
      </c>
      <c r="F77" s="38">
        <f t="shared" si="3"/>
        <v>-87.14903000000001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865.8</v>
      </c>
      <c r="D78" s="32">
        <f>D79</f>
        <v>450.28492</v>
      </c>
      <c r="E78" s="34">
        <f t="shared" si="4"/>
        <v>52.007960267960271</v>
      </c>
      <c r="F78" s="34">
        <f t="shared" si="3"/>
        <v>-415.51507999999995</v>
      </c>
    </row>
    <row r="79" spans="1:7" ht="15" customHeight="1">
      <c r="A79" s="35" t="s">
        <v>85</v>
      </c>
      <c r="B79" s="39" t="s">
        <v>230</v>
      </c>
      <c r="C79" s="37">
        <v>865.8</v>
      </c>
      <c r="D79" s="37">
        <v>450.28492</v>
      </c>
      <c r="E79" s="38">
        <f t="shared" si="4"/>
        <v>52.007960267960271</v>
      </c>
      <c r="F79" s="38">
        <f t="shared" si="3"/>
        <v>-415.51507999999995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11940.514759999998</v>
      </c>
      <c r="D95" s="249">
        <f>D53+D61+D63+D69+D74+D78+D85</f>
        <v>3957.6925700000002</v>
      </c>
      <c r="E95" s="34">
        <f t="shared" si="4"/>
        <v>33.145074978325312</v>
      </c>
      <c r="F95" s="34">
        <f t="shared" si="3"/>
        <v>-7982.822189999998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 topLeftCell="A19">
      <selection activeCell="D84" sqref="D8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8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9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428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1002.556</v>
      </c>
      <c r="D4" s="5">
        <f>D5+D12+D14+D17+D20+D7</f>
        <v>517.08812</v>
      </c>
      <c r="E4" s="5">
        <f>SUM(D4/C4*100)</f>
        <v>51.576981235960886</v>
      </c>
      <c r="F4" s="5">
        <f>SUM(D4-C4)</f>
        <v>-485.46788000000004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45.32835</v>
      </c>
      <c r="E5" s="5">
        <f t="shared" ref="E5:E51" si="0">SUM(D5/C5*100)</f>
        <v>48.740161290322582</v>
      </c>
      <c r="F5" s="5">
        <f t="shared" ref="F5:F51" si="1">SUM(D5-C5)</f>
        <v>-47.67165</v>
      </c>
    </row>
    <row r="6" spans="1:6">
      <c r="A6" s="7">
        <v>1010200001</v>
      </c>
      <c r="B6" s="8" t="s">
        <v>225</v>
      </c>
      <c r="C6" s="9">
        <v>93</v>
      </c>
      <c r="D6" s="10">
        <v>45.32835</v>
      </c>
      <c r="E6" s="9">
        <f t="shared" ref="E6:E11" si="2">SUM(D6/C6*100)</f>
        <v>48.740161290322582</v>
      </c>
      <c r="F6" s="9">
        <f t="shared" si="1"/>
        <v>-47.67165</v>
      </c>
    </row>
    <row r="7" spans="1:6" ht="31.5">
      <c r="A7" s="3">
        <v>1030000000</v>
      </c>
      <c r="B7" s="13" t="s">
        <v>267</v>
      </c>
      <c r="C7" s="5">
        <f>C8+C10+C9</f>
        <v>408.86</v>
      </c>
      <c r="D7" s="227">
        <f>D8+D10+D9+D11</f>
        <v>269.25666999999999</v>
      </c>
      <c r="E7" s="9">
        <f t="shared" si="2"/>
        <v>65.855468864648032</v>
      </c>
      <c r="F7" s="9">
        <f t="shared" si="1"/>
        <v>-139.60333000000003</v>
      </c>
    </row>
    <row r="8" spans="1:6">
      <c r="A8" s="7">
        <v>1030223001</v>
      </c>
      <c r="B8" s="8" t="s">
        <v>269</v>
      </c>
      <c r="C8" s="9">
        <v>152.505</v>
      </c>
      <c r="D8" s="10">
        <v>131.62052</v>
      </c>
      <c r="E8" s="9">
        <f t="shared" si="2"/>
        <v>86.305708009573451</v>
      </c>
      <c r="F8" s="9">
        <f t="shared" si="1"/>
        <v>-20.884479999999996</v>
      </c>
    </row>
    <row r="9" spans="1:6">
      <c r="A9" s="7">
        <v>1030224001</v>
      </c>
      <c r="B9" s="8" t="s">
        <v>275</v>
      </c>
      <c r="C9" s="9">
        <v>1.635</v>
      </c>
      <c r="D9" s="10">
        <v>0.77446000000000004</v>
      </c>
      <c r="E9" s="9">
        <f t="shared" si="2"/>
        <v>47.367584097859329</v>
      </c>
      <c r="F9" s="9">
        <f t="shared" si="1"/>
        <v>-0.86053999999999997</v>
      </c>
    </row>
    <row r="10" spans="1:6">
      <c r="A10" s="7">
        <v>1030225001</v>
      </c>
      <c r="B10" s="8" t="s">
        <v>268</v>
      </c>
      <c r="C10" s="9">
        <v>254.72</v>
      </c>
      <c r="D10" s="10">
        <v>152.10105999999999</v>
      </c>
      <c r="E10" s="9">
        <f t="shared" si="2"/>
        <v>59.713041771356778</v>
      </c>
      <c r="F10" s="9">
        <f t="shared" si="1"/>
        <v>-102.61894000000001</v>
      </c>
    </row>
    <row r="11" spans="1:6">
      <c r="A11" s="7">
        <v>1030226001</v>
      </c>
      <c r="B11" s="8" t="s">
        <v>277</v>
      </c>
      <c r="C11" s="9">
        <v>0</v>
      </c>
      <c r="D11" s="10">
        <v>-15.239369999999999</v>
      </c>
      <c r="E11" s="9" t="e">
        <f t="shared" si="2"/>
        <v>#DIV/0!</v>
      </c>
      <c r="F11" s="9">
        <f t="shared" si="1"/>
        <v>-15.239369999999999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57.606470000000002</v>
      </c>
      <c r="E14" s="9">
        <f t="shared" si="0"/>
        <v>12.641425423966854</v>
      </c>
      <c r="F14" s="9">
        <f t="shared" si="1"/>
        <v>-398.08953000000002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9.8586899999999993</v>
      </c>
      <c r="E15" s="9">
        <f>SUM(D15/C15*100)</f>
        <v>10.26946875</v>
      </c>
      <c r="F15" s="9">
        <f>SUM(D15-C14)</f>
        <v>-445.83731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47.747779999999999</v>
      </c>
      <c r="E16" s="9">
        <f t="shared" si="0"/>
        <v>13.27448178461812</v>
      </c>
      <c r="F16" s="9">
        <f t="shared" si="1"/>
        <v>-311.94822000000005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1.4</v>
      </c>
      <c r="E17" s="5">
        <f t="shared" si="0"/>
        <v>27.999999999999996</v>
      </c>
      <c r="F17" s="5">
        <f t="shared" si="1"/>
        <v>-3.6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1.4</v>
      </c>
      <c r="E18" s="9">
        <f t="shared" si="0"/>
        <v>27.999999999999996</v>
      </c>
      <c r="F18" s="9">
        <f t="shared" si="1"/>
        <v>-3.6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hidden="1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136.29852</v>
      </c>
      <c r="E25" s="5">
        <f t="shared" si="0"/>
        <v>100.11643895989424</v>
      </c>
      <c r="F25" s="5">
        <f t="shared" si="1"/>
        <v>0.15852000000000999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43.90936</v>
      </c>
      <c r="E26" s="5">
        <f t="shared" si="0"/>
        <v>50.974413745066173</v>
      </c>
      <c r="F26" s="5">
        <f t="shared" si="1"/>
        <v>-42.230640000000001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43.90936</v>
      </c>
      <c r="E27" s="9">
        <f t="shared" si="0"/>
        <v>50.974413745066173</v>
      </c>
      <c r="F27" s="9">
        <f t="shared" si="1"/>
        <v>-42.230640000000001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13.91216</v>
      </c>
      <c r="E29" s="5">
        <f t="shared" si="0"/>
        <v>27.824320000000004</v>
      </c>
      <c r="F29" s="5">
        <f t="shared" si="1"/>
        <v>-36.08784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13.91216</v>
      </c>
      <c r="E30" s="9">
        <f t="shared" si="0"/>
        <v>27.824320000000004</v>
      </c>
      <c r="F30" s="9">
        <f t="shared" si="1"/>
        <v>-36.08784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1138.6959999999999</v>
      </c>
      <c r="D40" s="125">
        <f>D4+D25</f>
        <v>653.38663999999994</v>
      </c>
      <c r="E40" s="5">
        <f t="shared" si="0"/>
        <v>57.380252499350135</v>
      </c>
      <c r="F40" s="5">
        <f t="shared" si="1"/>
        <v>-485.30935999999997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7471.13526</v>
      </c>
      <c r="D41" s="250">
        <f>D42+D44+D45+D46+D47+D48+D43+D50</f>
        <v>3153.1678999999999</v>
      </c>
      <c r="E41" s="5">
        <f t="shared" si="0"/>
        <v>42.20466890596758</v>
      </c>
      <c r="F41" s="5">
        <f t="shared" si="1"/>
        <v>-4317.9673600000006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1980.7059999999999</v>
      </c>
      <c r="E42" s="9">
        <f t="shared" si="0"/>
        <v>58.333264614931522</v>
      </c>
      <c r="F42" s="9">
        <f t="shared" si="1"/>
        <v>-1414.7940000000001</v>
      </c>
    </row>
    <row r="43" spans="1:7" ht="17.25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3397.261</v>
      </c>
      <c r="D44" s="10">
        <v>698.74</v>
      </c>
      <c r="E44" s="9">
        <f>SUM(D44/C44*100)</f>
        <v>20.567745604473721</v>
      </c>
      <c r="F44" s="9">
        <f t="shared" si="1"/>
        <v>-2698.5209999999997</v>
      </c>
    </row>
    <row r="45" spans="1:7" ht="17.25" customHeight="1">
      <c r="A45" s="16">
        <v>2023000000</v>
      </c>
      <c r="B45" s="17" t="s">
        <v>20</v>
      </c>
      <c r="C45" s="12">
        <v>94.305999999999997</v>
      </c>
      <c r="D45" s="180">
        <v>66.573999999999998</v>
      </c>
      <c r="E45" s="9">
        <f t="shared" si="0"/>
        <v>70.593599558882786</v>
      </c>
      <c r="F45" s="9">
        <f t="shared" si="1"/>
        <v>-27.731999999999999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327.81338</v>
      </c>
      <c r="E46" s="9">
        <f t="shared" si="0"/>
        <v>70.983181743437754</v>
      </c>
      <c r="F46" s="9">
        <f t="shared" si="1"/>
        <v>-134.005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79.334519999999998</v>
      </c>
      <c r="E50" s="9">
        <f t="shared" si="0"/>
        <v>64.895376584418727</v>
      </c>
      <c r="F50" s="9">
        <f t="shared" si="1"/>
        <v>-42.915360000000007</v>
      </c>
    </row>
    <row r="51" spans="1:8" s="6" customFormat="1" ht="19.5" customHeight="1">
      <c r="A51" s="3"/>
      <c r="B51" s="4" t="s">
        <v>25</v>
      </c>
      <c r="C51" s="243">
        <f>C40+C41</f>
        <v>8609.831259999999</v>
      </c>
      <c r="D51" s="244">
        <f>D40+D41</f>
        <v>3806.5545400000001</v>
      </c>
      <c r="E51" s="92">
        <f t="shared" si="0"/>
        <v>44.211720590677409</v>
      </c>
      <c r="F51" s="92">
        <f t="shared" si="1"/>
        <v>-4803.2767199999989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-328.18882000000121</v>
      </c>
      <c r="D52" s="92">
        <f>D51-D98</f>
        <v>401.73128000000042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786.05704000000003</v>
      </c>
      <c r="E56" s="34">
        <f>SUM(D56/C56*100)</f>
        <v>48.572771067065105</v>
      </c>
      <c r="F56" s="34">
        <f>SUM(D56-C56)</f>
        <v>-832.25096000000019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785.05704000000003</v>
      </c>
      <c r="E58" s="38">
        <f t="shared" ref="E58:E98" si="3">SUM(D58/C58*100)</f>
        <v>49.085085470619866</v>
      </c>
      <c r="F58" s="38">
        <f t="shared" ref="F58:F98" si="4">SUM(D58-C58)</f>
        <v>-814.32296000000008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hidden="1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1</v>
      </c>
      <c r="E63" s="38">
        <f t="shared" si="3"/>
        <v>11.200716845878135</v>
      </c>
      <c r="F63" s="38">
        <f t="shared" si="4"/>
        <v>-7.9280000000000008</v>
      </c>
    </row>
    <row r="64" spans="1:8" s="6" customFormat="1">
      <c r="A64" s="41" t="s">
        <v>43</v>
      </c>
      <c r="B64" s="42" t="s">
        <v>44</v>
      </c>
      <c r="C64" s="32">
        <f>C65</f>
        <v>94.305999999999997</v>
      </c>
      <c r="D64" s="32">
        <f>D65</f>
        <v>48.221170000000001</v>
      </c>
      <c r="E64" s="34">
        <f t="shared" si="3"/>
        <v>51.132663881407339</v>
      </c>
      <c r="F64" s="34">
        <f t="shared" si="4"/>
        <v>-46.084829999999997</v>
      </c>
    </row>
    <row r="65" spans="1:7">
      <c r="A65" s="43" t="s">
        <v>45</v>
      </c>
      <c r="B65" s="44" t="s">
        <v>46</v>
      </c>
      <c r="C65" s="37">
        <v>94.305999999999997</v>
      </c>
      <c r="D65" s="37">
        <v>48.221170000000001</v>
      </c>
      <c r="E65" s="38">
        <f t="shared" si="3"/>
        <v>51.132663881407339</v>
      </c>
      <c r="F65" s="38">
        <f t="shared" si="4"/>
        <v>-46.084829999999997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7.0313400000000001</v>
      </c>
      <c r="E66" s="34">
        <f t="shared" si="3"/>
        <v>24.67136842105263</v>
      </c>
      <c r="F66" s="34">
        <f t="shared" si="4"/>
        <v>-21.46866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4.2</v>
      </c>
      <c r="E70" s="38">
        <f t="shared" si="3"/>
        <v>23.333333333333332</v>
      </c>
      <c r="F70" s="38">
        <f t="shared" si="4"/>
        <v>-13.8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1392.1851799999999</v>
      </c>
      <c r="D72" s="48">
        <f>SUM(D73:D76)</f>
        <v>595.24953000000005</v>
      </c>
      <c r="E72" s="34">
        <f t="shared" si="3"/>
        <v>42.756490914520448</v>
      </c>
      <c r="F72" s="34">
        <f t="shared" si="4"/>
        <v>-796.9356499999999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1337.1851799999999</v>
      </c>
      <c r="D75" s="37">
        <v>547.74953000000005</v>
      </c>
      <c r="E75" s="38">
        <f t="shared" si="3"/>
        <v>40.962877707035318</v>
      </c>
      <c r="F75" s="38">
        <f t="shared" si="4"/>
        <v>-789.4356499999999</v>
      </c>
    </row>
    <row r="76" spans="1:7" ht="16.5" customHeight="1">
      <c r="A76" s="35" t="s">
        <v>63</v>
      </c>
      <c r="B76" s="39" t="s">
        <v>64</v>
      </c>
      <c r="C76" s="49">
        <v>55</v>
      </c>
      <c r="D76" s="37">
        <v>47.5</v>
      </c>
      <c r="E76" s="38">
        <f t="shared" si="3"/>
        <v>86.36363636363636</v>
      </c>
      <c r="F76" s="38">
        <f t="shared" si="4"/>
        <v>-7.5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4756.3208999999997</v>
      </c>
      <c r="D77" s="32">
        <f>SUM(D78:D80)</f>
        <v>1357.09618</v>
      </c>
      <c r="E77" s="34">
        <f t="shared" si="3"/>
        <v>28.532477276711926</v>
      </c>
      <c r="F77" s="34">
        <f t="shared" si="4"/>
        <v>-3399.2247199999997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2975.1803799999998</v>
      </c>
      <c r="D79" s="37">
        <v>435.82193000000001</v>
      </c>
      <c r="E79" s="38">
        <f t="shared" si="3"/>
        <v>14.648588466424348</v>
      </c>
      <c r="F79" s="38">
        <f t="shared" si="4"/>
        <v>-2539.3584499999997</v>
      </c>
    </row>
    <row r="80" spans="1:7">
      <c r="A80" s="35" t="s">
        <v>71</v>
      </c>
      <c r="B80" s="39" t="s">
        <v>72</v>
      </c>
      <c r="C80" s="37">
        <v>1781.1405199999999</v>
      </c>
      <c r="D80" s="37">
        <v>921.27425000000005</v>
      </c>
      <c r="E80" s="38">
        <f t="shared" si="3"/>
        <v>51.723838723291749</v>
      </c>
      <c r="F80" s="38">
        <f t="shared" si="4"/>
        <v>-859.86626999999987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605.73800000000006</v>
      </c>
      <c r="E81" s="34">
        <f t="shared" si="3"/>
        <v>58.333782742681052</v>
      </c>
      <c r="F81" s="34">
        <f t="shared" si="4"/>
        <v>-432.66200000000003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605.73800000000006</v>
      </c>
      <c r="E82" s="38">
        <f t="shared" si="3"/>
        <v>58.333782742681052</v>
      </c>
      <c r="F82" s="38">
        <f t="shared" si="4"/>
        <v>-432.66200000000003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8938.0200800000002</v>
      </c>
      <c r="D98" s="246">
        <f>D56+D64+D66+D72+D77+D81+D83+D88+D94</f>
        <v>3404.8232599999997</v>
      </c>
      <c r="E98" s="34">
        <f t="shared" si="3"/>
        <v>38.093707885247888</v>
      </c>
      <c r="F98" s="34">
        <f t="shared" si="4"/>
        <v>-5533.196820000001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61528DAC-5C4C-48F4-ADE2-8A724B05A086}" scale="70" showPageBreaks="1" hiddenRows="1" view="pageBreakPreview" topLeftCell="A38">
      <selection activeCell="D82" sqref="D82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50" zoomScale="70" zoomScaleNormal="100" zoomScaleSheetLayoutView="70" workbookViewId="0">
      <selection activeCell="D99" sqref="D99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429</v>
      </c>
      <c r="B1" s="531"/>
      <c r="C1" s="531"/>
      <c r="D1" s="531"/>
      <c r="E1" s="531"/>
      <c r="F1" s="531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405.18101999999999</v>
      </c>
      <c r="E4" s="5">
        <f>SUM(D4/C4*100)</f>
        <v>45.51572904965176</v>
      </c>
      <c r="F4" s="5">
        <f>SUM(D4-C4)</f>
        <v>-485.01898000000006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27.558589999999999</v>
      </c>
      <c r="E5" s="5">
        <f t="shared" ref="E5:E51" si="0">SUM(D5/C5*100)</f>
        <v>45.93098333333333</v>
      </c>
      <c r="F5" s="5">
        <f t="shared" ref="F5:F51" si="1">SUM(D5-C5)</f>
        <v>-32.441410000000005</v>
      </c>
    </row>
    <row r="6" spans="1:6">
      <c r="A6" s="7">
        <v>1010200001</v>
      </c>
      <c r="B6" s="8" t="s">
        <v>225</v>
      </c>
      <c r="C6" s="9">
        <v>60</v>
      </c>
      <c r="D6" s="10">
        <v>27.558589999999999</v>
      </c>
      <c r="E6" s="9">
        <f t="shared" ref="E6:E11" si="2">SUM(D6/C6*100)</f>
        <v>45.93098333333333</v>
      </c>
      <c r="F6" s="9">
        <f t="shared" si="1"/>
        <v>-32.441410000000005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276.73599999999999</v>
      </c>
      <c r="E7" s="5">
        <f t="shared" si="2"/>
        <v>65.858162779628742</v>
      </c>
      <c r="F7" s="5">
        <f t="shared" si="1"/>
        <v>-143.46400000000006</v>
      </c>
    </row>
    <row r="8" spans="1:6">
      <c r="A8" s="7">
        <v>1030223001</v>
      </c>
      <c r="B8" s="8" t="s">
        <v>269</v>
      </c>
      <c r="C8" s="9">
        <v>156.73500000000001</v>
      </c>
      <c r="D8" s="10">
        <v>135.27663000000001</v>
      </c>
      <c r="E8" s="9">
        <f t="shared" si="2"/>
        <v>86.309139630586657</v>
      </c>
      <c r="F8" s="9">
        <f t="shared" si="1"/>
        <v>-21.458370000000002</v>
      </c>
    </row>
    <row r="9" spans="1:6">
      <c r="A9" s="7">
        <v>1030224001</v>
      </c>
      <c r="B9" s="8" t="s">
        <v>275</v>
      </c>
      <c r="C9" s="9">
        <v>1.68</v>
      </c>
      <c r="D9" s="10">
        <v>0.79593999999999998</v>
      </c>
      <c r="E9" s="9">
        <f t="shared" si="2"/>
        <v>47.377380952380953</v>
      </c>
      <c r="F9" s="9">
        <f t="shared" si="1"/>
        <v>-0.88405999999999996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156.32607999999999</v>
      </c>
      <c r="E10" s="9">
        <f t="shared" si="2"/>
        <v>59.715445881162012</v>
      </c>
      <c r="F10" s="9">
        <f t="shared" si="1"/>
        <v>-105.45892000000003</v>
      </c>
    </row>
    <row r="11" spans="1:6">
      <c r="A11" s="7">
        <v>1030226001</v>
      </c>
      <c r="B11" s="8" t="s">
        <v>277</v>
      </c>
      <c r="C11" s="9">
        <v>0</v>
      </c>
      <c r="D11" s="10">
        <v>-15.662649999999999</v>
      </c>
      <c r="E11" s="9" t="e">
        <f t="shared" si="2"/>
        <v>#DIV/0!</v>
      </c>
      <c r="F11" s="9">
        <f t="shared" si="1"/>
        <v>-15.662649999999999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96.453630000000004</v>
      </c>
      <c r="E14" s="5">
        <f t="shared" si="0"/>
        <v>24.295624685138538</v>
      </c>
      <c r="F14" s="5">
        <f t="shared" si="1"/>
        <v>-300.54637000000002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57.476520000000001</v>
      </c>
      <c r="E15" s="9">
        <f t="shared" si="0"/>
        <v>63.8628</v>
      </c>
      <c r="F15" s="9">
        <f>SUM(D15-C15)</f>
        <v>-32.523479999999999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38.977110000000003</v>
      </c>
      <c r="E16" s="9">
        <f t="shared" si="0"/>
        <v>12.696127035830621</v>
      </c>
      <c r="F16" s="9">
        <f t="shared" si="1"/>
        <v>-268.02289000000002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</v>
      </c>
      <c r="E17" s="5">
        <f t="shared" si="0"/>
        <v>33.333333333333329</v>
      </c>
      <c r="F17" s="5">
        <f t="shared" si="1"/>
        <v>-2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</v>
      </c>
      <c r="E18" s="9">
        <f t="shared" si="0"/>
        <v>33.333333333333329</v>
      </c>
      <c r="F18" s="9">
        <f t="shared" si="1"/>
        <v>-2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1351.57158</v>
      </c>
      <c r="E25" s="5">
        <f t="shared" si="0"/>
        <v>88.653223225061666</v>
      </c>
      <c r="F25" s="5">
        <f t="shared" si="1"/>
        <v>-172.98841999999991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45.643999999999998</v>
      </c>
      <c r="E26" s="5">
        <f t="shared" si="0"/>
        <v>22.821999999999999</v>
      </c>
      <c r="F26" s="5">
        <f t="shared" si="1"/>
        <v>-154.35599999999999</v>
      </c>
    </row>
    <row r="27" spans="1:6">
      <c r="A27" s="16">
        <v>1110502510</v>
      </c>
      <c r="B27" s="17" t="s">
        <v>222</v>
      </c>
      <c r="C27" s="12">
        <v>180</v>
      </c>
      <c r="D27" s="10">
        <v>30.470800000000001</v>
      </c>
      <c r="E27" s="9">
        <f t="shared" si="0"/>
        <v>16.928222222222221</v>
      </c>
      <c r="F27" s="9">
        <f t="shared" si="1"/>
        <v>-149.5292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15.1732</v>
      </c>
      <c r="E28" s="9">
        <f t="shared" si="0"/>
        <v>75.866</v>
      </c>
      <c r="F28" s="9">
        <f t="shared" si="1"/>
        <v>-4.8268000000000004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412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1294.56</v>
      </c>
      <c r="E31" s="5">
        <f t="shared" si="0"/>
        <v>100</v>
      </c>
      <c r="F31" s="5">
        <f t="shared" si="1"/>
        <v>0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944.6</v>
      </c>
      <c r="E32" s="9">
        <f t="shared" si="0"/>
        <v>100</v>
      </c>
      <c r="F32" s="9">
        <f t="shared" si="1"/>
        <v>0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1756.7526</v>
      </c>
      <c r="E40" s="5">
        <f t="shared" si="0"/>
        <v>72.750608756149674</v>
      </c>
      <c r="F40" s="5">
        <f t="shared" si="1"/>
        <v>-658.00740000000019</v>
      </c>
    </row>
    <row r="41" spans="1:7" s="6" customFormat="1">
      <c r="A41" s="3">
        <v>2000000000</v>
      </c>
      <c r="B41" s="4" t="s">
        <v>17</v>
      </c>
      <c r="C41" s="5">
        <f>C42+C43+C44+C45+C46+C47+C50</f>
        <v>5593.3964999999998</v>
      </c>
      <c r="D41" s="5">
        <f>D42+D43+D44+D45+D46+D47+D50</f>
        <v>4346.28802</v>
      </c>
      <c r="E41" s="5">
        <f t="shared" si="0"/>
        <v>77.703914249597716</v>
      </c>
      <c r="F41" s="5">
        <f t="shared" si="1"/>
        <v>-1247.1084799999999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1107.05</v>
      </c>
      <c r="E42" s="9">
        <f t="shared" si="0"/>
        <v>58.333333333333336</v>
      </c>
      <c r="F42" s="9">
        <f t="shared" si="1"/>
        <v>-790.75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2679.3413599999999</v>
      </c>
      <c r="D44" s="10">
        <v>2482.1821199999999</v>
      </c>
      <c r="E44" s="9">
        <f t="shared" si="0"/>
        <v>92.641503507414228</v>
      </c>
      <c r="F44" s="9">
        <f t="shared" si="1"/>
        <v>-197.15923999999995</v>
      </c>
    </row>
    <row r="45" spans="1:7" ht="15.75" customHeight="1">
      <c r="A45" s="16">
        <v>2023000000</v>
      </c>
      <c r="B45" s="17" t="s">
        <v>20</v>
      </c>
      <c r="C45" s="12">
        <v>101.45229999999999</v>
      </c>
      <c r="D45" s="180">
        <v>66.573999999999998</v>
      </c>
      <c r="E45" s="9">
        <f t="shared" si="0"/>
        <v>65.620986414305051</v>
      </c>
      <c r="F45" s="9">
        <f t="shared" si="1"/>
        <v>-34.878299999999996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353.97500000000002</v>
      </c>
      <c r="E46" s="9">
        <f t="shared" si="0"/>
        <v>83.051392264882267</v>
      </c>
      <c r="F46" s="9">
        <f t="shared" si="1"/>
        <v>-72.236999999999966</v>
      </c>
    </row>
    <row r="47" spans="1:7" ht="30.75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488.59084000000001</v>
      </c>
      <c r="D50" s="10">
        <v>336.50689999999997</v>
      </c>
      <c r="E50" s="9">
        <f t="shared" si="0"/>
        <v>68.872944895978804</v>
      </c>
      <c r="F50" s="9">
        <f t="shared" si="1"/>
        <v>-152.08394000000004</v>
      </c>
    </row>
    <row r="51" spans="1:8" s="6" customFormat="1" ht="17.25" customHeight="1">
      <c r="A51" s="7"/>
      <c r="B51" s="4" t="s">
        <v>25</v>
      </c>
      <c r="C51" s="247">
        <f>C40+C41</f>
        <v>8008.1565000000001</v>
      </c>
      <c r="D51" s="248">
        <f>D40+D41</f>
        <v>6103.0406199999998</v>
      </c>
      <c r="E51" s="92">
        <f t="shared" si="0"/>
        <v>76.210306579298233</v>
      </c>
      <c r="F51" s="92">
        <f t="shared" si="1"/>
        <v>-1905.1158800000003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-327.20116000000144</v>
      </c>
      <c r="D52" s="247">
        <f>D51-D98</f>
        <v>-222.51396000000022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57">
        <f>C57+C58+C59+C60+C61+C63+C62</f>
        <v>1484.3130000000001</v>
      </c>
      <c r="D56" s="33">
        <f>D57+D58+D59+D60+D61+D63+D62</f>
        <v>752.76652000000001</v>
      </c>
      <c r="E56" s="34">
        <f>SUM(D56/C56*100)</f>
        <v>50.714810151228207</v>
      </c>
      <c r="F56" s="34">
        <f>SUM(D56-C56)</f>
        <v>-731.54648000000009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729.79052000000001</v>
      </c>
      <c r="E58" s="38">
        <f t="shared" ref="E58:E98" si="3">SUM(D58/C58*100)</f>
        <v>50.284015359630466</v>
      </c>
      <c r="F58" s="38">
        <f t="shared" ref="F58:F98" si="4">SUM(D58-C58)</f>
        <v>-721.54647999999997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94.305999999999997</v>
      </c>
      <c r="D64" s="33">
        <f>D65</f>
        <v>48.533360000000002</v>
      </c>
      <c r="E64" s="34">
        <f t="shared" si="3"/>
        <v>51.463703263843243</v>
      </c>
      <c r="F64" s="34">
        <f t="shared" si="4"/>
        <v>-45.772639999999996</v>
      </c>
    </row>
    <row r="65" spans="1:9">
      <c r="A65" s="433" t="s">
        <v>45</v>
      </c>
      <c r="B65" s="44" t="s">
        <v>46</v>
      </c>
      <c r="C65" s="189">
        <v>94.305999999999997</v>
      </c>
      <c r="D65" s="189">
        <v>48.533360000000002</v>
      </c>
      <c r="E65" s="38">
        <f t="shared" si="3"/>
        <v>51.463703263843243</v>
      </c>
      <c r="F65" s="38">
        <f t="shared" si="4"/>
        <v>-45.772639999999996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4" t="s">
        <v>55</v>
      </c>
      <c r="B72" s="31" t="s">
        <v>56</v>
      </c>
      <c r="C72" s="33">
        <f>SUM(C73:C76)</f>
        <v>2865.0158200000001</v>
      </c>
      <c r="D72" s="33">
        <f>SUM(D73:D76)</f>
        <v>2679.81621</v>
      </c>
      <c r="E72" s="34">
        <f t="shared" si="3"/>
        <v>93.535825920849533</v>
      </c>
      <c r="F72" s="34">
        <f t="shared" si="4"/>
        <v>-185.19961000000012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2649.6162100000001</v>
      </c>
      <c r="E75" s="38">
        <f t="shared" si="3"/>
        <v>93.713120667722265</v>
      </c>
      <c r="F75" s="38">
        <f t="shared" si="4"/>
        <v>-177.75331000000006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2998.1128399999998</v>
      </c>
      <c r="D77" s="33">
        <f>SUM(D78:D80)</f>
        <v>2322.98315</v>
      </c>
      <c r="E77" s="34">
        <f t="shared" si="3"/>
        <v>77.481511669854299</v>
      </c>
      <c r="F77" s="34">
        <f t="shared" si="4"/>
        <v>-675.12968999999975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950.67448999999999</v>
      </c>
      <c r="D79" s="189">
        <v>520.34058000000005</v>
      </c>
      <c r="E79" s="38">
        <f t="shared" si="3"/>
        <v>54.733832186871879</v>
      </c>
      <c r="F79" s="38">
        <f t="shared" si="4"/>
        <v>-430.33390999999995</v>
      </c>
    </row>
    <row r="80" spans="1:9">
      <c r="A80" s="35" t="s">
        <v>71</v>
      </c>
      <c r="B80" s="39" t="s">
        <v>72</v>
      </c>
      <c r="C80" s="189">
        <v>2047.4383499999999</v>
      </c>
      <c r="D80" s="189">
        <v>1802.64257</v>
      </c>
      <c r="E80" s="38">
        <f t="shared" si="3"/>
        <v>88.043802149158736</v>
      </c>
      <c r="F80" s="38">
        <f t="shared" si="4"/>
        <v>-244.79577999999992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493.79399999999998</v>
      </c>
      <c r="E81" s="34">
        <f t="shared" si="3"/>
        <v>58.3336089781453</v>
      </c>
      <c r="F81" s="34">
        <f t="shared" si="4"/>
        <v>-352.70600000000002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493.79399999999998</v>
      </c>
      <c r="E82" s="38">
        <f t="shared" si="3"/>
        <v>58.3336089781453</v>
      </c>
      <c r="F82" s="38">
        <f t="shared" si="4"/>
        <v>-352.70600000000002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8335.3576600000015</v>
      </c>
      <c r="D98" s="249">
        <f>D56+D64+D66+D72+D77+D81+D88+D83</f>
        <v>6325.55458</v>
      </c>
      <c r="E98" s="34">
        <f t="shared" si="3"/>
        <v>75.888220254246392</v>
      </c>
      <c r="F98" s="34">
        <f t="shared" si="4"/>
        <v>-2009.8030800000015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61528DAC-5C4C-48F4-ADE2-8A724B05A086}" scale="70" showPageBreaks="1" hiddenRows="1" view="pageBreakPreview" topLeftCell="A29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4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7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6" zoomScale="70" zoomScaleNormal="100" zoomScaleSheetLayoutView="70" workbookViewId="0">
      <selection activeCell="D97" sqref="D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0" t="s">
        <v>430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43.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918.38089000000002</v>
      </c>
      <c r="E4" s="5">
        <f>SUM(D4/C4*100)</f>
        <v>40.767101986460993</v>
      </c>
      <c r="F4" s="5">
        <f>SUM(D4-C4)</f>
        <v>-1334.3691100000001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91.934929999999994</v>
      </c>
      <c r="E5" s="5">
        <f t="shared" ref="E5:E50" si="0">SUM(D5/C5*100)</f>
        <v>72.96423015873016</v>
      </c>
      <c r="F5" s="5">
        <f t="shared" ref="F5:F50" si="1">SUM(D5-C5)</f>
        <v>-34.065070000000006</v>
      </c>
    </row>
    <row r="6" spans="1:6">
      <c r="A6" s="7">
        <v>1010200001</v>
      </c>
      <c r="B6" s="8" t="s">
        <v>225</v>
      </c>
      <c r="C6" s="9">
        <v>126</v>
      </c>
      <c r="D6" s="10">
        <v>91.934929999999994</v>
      </c>
      <c r="E6" s="9">
        <f t="shared" ref="E6:E11" si="2">SUM(D6/C6*100)</f>
        <v>72.96423015873016</v>
      </c>
      <c r="F6" s="9">
        <f t="shared" si="1"/>
        <v>-34.065070000000006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445.02143000000001</v>
      </c>
      <c r="E7" s="5">
        <f t="shared" si="2"/>
        <v>65.855927487976331</v>
      </c>
      <c r="F7" s="5">
        <f t="shared" si="1"/>
        <v>-230.72856999999999</v>
      </c>
    </row>
    <row r="8" spans="1:6">
      <c r="A8" s="7">
        <v>1030223001</v>
      </c>
      <c r="B8" s="8" t="s">
        <v>269</v>
      </c>
      <c r="C8" s="9">
        <v>252.05500000000001</v>
      </c>
      <c r="D8" s="10">
        <v>217.53944999999999</v>
      </c>
      <c r="E8" s="9">
        <f t="shared" si="2"/>
        <v>86.306341869829993</v>
      </c>
      <c r="F8" s="9">
        <f t="shared" si="1"/>
        <v>-34.515550000000019</v>
      </c>
    </row>
    <row r="9" spans="1:6">
      <c r="A9" s="7">
        <v>1030224001</v>
      </c>
      <c r="B9" s="8" t="s">
        <v>275</v>
      </c>
      <c r="C9" s="9">
        <v>2.7029999999999998</v>
      </c>
      <c r="D9" s="10">
        <v>1.2799799999999999</v>
      </c>
      <c r="E9" s="9">
        <f t="shared" si="2"/>
        <v>47.354051054384016</v>
      </c>
      <c r="F9" s="9">
        <f t="shared" si="1"/>
        <v>-1.42302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251.38927000000001</v>
      </c>
      <c r="E10" s="9">
        <f t="shared" si="2"/>
        <v>59.713550376254176</v>
      </c>
      <c r="F10" s="9">
        <f t="shared" si="1"/>
        <v>-169.60273000000001</v>
      </c>
    </row>
    <row r="11" spans="1:6">
      <c r="A11" s="7">
        <v>1030226001</v>
      </c>
      <c r="B11" s="8" t="s">
        <v>277</v>
      </c>
      <c r="C11" s="9">
        <v>0</v>
      </c>
      <c r="D11" s="10">
        <v>-25.187270000000002</v>
      </c>
      <c r="E11" s="9" t="e">
        <f t="shared" si="2"/>
        <v>#DIV/0!</v>
      </c>
      <c r="F11" s="9">
        <f t="shared" si="1"/>
        <v>-25.187270000000002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297.6026</v>
      </c>
      <c r="E14" s="5">
        <f t="shared" si="0"/>
        <v>21.364149318018661</v>
      </c>
      <c r="F14" s="5">
        <f t="shared" si="1"/>
        <v>-1095.3974000000001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86.463949999999997</v>
      </c>
      <c r="E15" s="9">
        <f t="shared" si="0"/>
        <v>19.968579676674363</v>
      </c>
      <c r="F15" s="9">
        <f>SUM(D15-C15)</f>
        <v>-346.53604999999999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211.13865000000001</v>
      </c>
      <c r="E16" s="9">
        <f t="shared" si="0"/>
        <v>21.993609375000002</v>
      </c>
      <c r="F16" s="9">
        <f t="shared" si="1"/>
        <v>-748.86135000000002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2.5</v>
      </c>
      <c r="E17" s="5">
        <f t="shared" si="0"/>
        <v>31.25</v>
      </c>
      <c r="F17" s="5">
        <f t="shared" si="1"/>
        <v>-5.5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2.5</v>
      </c>
      <c r="E18" s="9">
        <f t="shared" si="0"/>
        <v>31.25</v>
      </c>
      <c r="F18" s="9">
        <f t="shared" si="1"/>
        <v>-5.5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366.83983999999998</v>
      </c>
      <c r="E25" s="5">
        <f t="shared" si="0"/>
        <v>94.061497435897437</v>
      </c>
      <c r="F25" s="5">
        <f t="shared" si="1"/>
        <v>-23.160160000000019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331.24246999999997</v>
      </c>
      <c r="E26" s="5">
        <f t="shared" si="0"/>
        <v>94.640705714285701</v>
      </c>
      <c r="F26" s="5">
        <f t="shared" si="1"/>
        <v>-18.757530000000031</v>
      </c>
    </row>
    <row r="27" spans="1:6">
      <c r="A27" s="16">
        <v>1110502510</v>
      </c>
      <c r="B27" s="17" t="s">
        <v>222</v>
      </c>
      <c r="C27" s="12">
        <v>320</v>
      </c>
      <c r="D27" s="10">
        <v>316.29921999999999</v>
      </c>
      <c r="E27" s="9">
        <f t="shared" si="0"/>
        <v>98.843506250000004</v>
      </c>
      <c r="F27" s="9">
        <f t="shared" si="1"/>
        <v>-3.7007800000000088</v>
      </c>
    </row>
    <row r="28" spans="1:6">
      <c r="A28" s="7">
        <v>1110503510</v>
      </c>
      <c r="B28" s="11" t="s">
        <v>221</v>
      </c>
      <c r="C28" s="12">
        <v>30</v>
      </c>
      <c r="D28" s="10">
        <v>14.943250000000001</v>
      </c>
      <c r="E28" s="9">
        <f t="shared" si="0"/>
        <v>49.810833333333335</v>
      </c>
      <c r="F28" s="9">
        <f t="shared" si="1"/>
        <v>-15.056749999999999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35.597369999999998</v>
      </c>
      <c r="E29" s="5">
        <f t="shared" si="0"/>
        <v>88.993424999999988</v>
      </c>
      <c r="F29" s="5">
        <f t="shared" si="1"/>
        <v>-4.402630000000002</v>
      </c>
    </row>
    <row r="30" spans="1:6" ht="36" customHeight="1">
      <c r="A30" s="7">
        <v>1130206510</v>
      </c>
      <c r="B30" s="8" t="s">
        <v>412</v>
      </c>
      <c r="C30" s="9">
        <v>40</v>
      </c>
      <c r="D30" s="10">
        <v>35.597369999999998</v>
      </c>
      <c r="E30" s="9">
        <f t="shared" si="0"/>
        <v>88.993424999999988</v>
      </c>
      <c r="F30" s="9">
        <f t="shared" si="1"/>
        <v>-4.402630000000002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1285.22073</v>
      </c>
      <c r="E39" s="5">
        <f t="shared" si="0"/>
        <v>48.631945132910793</v>
      </c>
      <c r="F39" s="5">
        <f t="shared" si="1"/>
        <v>-1357.52927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11254.858970000001</v>
      </c>
      <c r="D40" s="5">
        <f>SUM(D41:D48)</f>
        <v>1788.5240000000001</v>
      </c>
      <c r="E40" s="5">
        <f t="shared" si="0"/>
        <v>15.891127598909396</v>
      </c>
      <c r="F40" s="5">
        <f t="shared" si="1"/>
        <v>-9466.3349700000017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1410.15</v>
      </c>
      <c r="E41" s="9">
        <f t="shared" si="0"/>
        <v>58.333333333333336</v>
      </c>
      <c r="F41" s="9">
        <f t="shared" si="1"/>
        <v>-1007.25</v>
      </c>
    </row>
    <row r="42" spans="1:7" ht="1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6448.2049999999999</v>
      </c>
      <c r="D43" s="10">
        <v>311.8</v>
      </c>
      <c r="E43" s="9">
        <f t="shared" si="0"/>
        <v>4.8354542077989153</v>
      </c>
      <c r="F43" s="9">
        <f t="shared" si="1"/>
        <v>-6136.4049999999997</v>
      </c>
    </row>
    <row r="44" spans="1:7" ht="18.75" customHeight="1">
      <c r="A44" s="16">
        <v>2023000000</v>
      </c>
      <c r="B44" s="17" t="s">
        <v>20</v>
      </c>
      <c r="C44" s="12">
        <v>94.305999999999997</v>
      </c>
      <c r="D44" s="180">
        <v>66.573999999999998</v>
      </c>
      <c r="E44" s="9">
        <f t="shared" si="0"/>
        <v>70.593599558882786</v>
      </c>
      <c r="F44" s="9">
        <f t="shared" si="1"/>
        <v>-27.731999999999999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/>
      <c r="E45" s="9">
        <f t="shared" si="0"/>
        <v>0</v>
      </c>
      <c r="F45" s="9">
        <f t="shared" si="1"/>
        <v>-2294.9479700000002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13897.608970000001</v>
      </c>
      <c r="D50" s="244">
        <f>D39+D40</f>
        <v>3073.7447300000003</v>
      </c>
      <c r="E50" s="5">
        <f t="shared" si="0"/>
        <v>22.11707594187693</v>
      </c>
      <c r="F50" s="5">
        <f t="shared" si="1"/>
        <v>-10823.864240000001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-384.86570999999822</v>
      </c>
      <c r="D51" s="92">
        <f>D50-D97</f>
        <v>160.33635000000049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409</v>
      </c>
      <c r="D53" s="471" t="s">
        <v>416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879.20414000000005</v>
      </c>
      <c r="E55" s="34">
        <f>SUM(D55/C55*100)</f>
        <v>45.681604044403223</v>
      </c>
      <c r="F55" s="34">
        <f>SUM(D55-C55)</f>
        <v>-1045.4308600000002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874.88214000000005</v>
      </c>
      <c r="E57" s="34">
        <f>SUM(D57/C57*100)</f>
        <v>47.155500985547995</v>
      </c>
      <c r="F57" s="38">
        <f t="shared" ref="F57:F97" si="3">SUM(D57-C57)</f>
        <v>-980.43086000000005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hidden="1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94.305999999999997</v>
      </c>
      <c r="D63" s="32">
        <f>D64</f>
        <v>42.579160000000002</v>
      </c>
      <c r="E63" s="34">
        <f t="shared" si="4"/>
        <v>45.150001060377917</v>
      </c>
      <c r="F63" s="34">
        <f t="shared" si="3"/>
        <v>-51.726839999999996</v>
      </c>
    </row>
    <row r="64" spans="1:8">
      <c r="A64" s="43" t="s">
        <v>45</v>
      </c>
      <c r="B64" s="44" t="s">
        <v>46</v>
      </c>
      <c r="C64" s="37">
        <v>94.305999999999997</v>
      </c>
      <c r="D64" s="37">
        <v>42.579160000000002</v>
      </c>
      <c r="E64" s="38">
        <f t="shared" si="4"/>
        <v>45.150001060377917</v>
      </c>
      <c r="F64" s="38">
        <f t="shared" si="3"/>
        <v>-51.726839999999996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53.731339999999996</v>
      </c>
      <c r="E65" s="34">
        <f t="shared" si="4"/>
        <v>16.048787335722817</v>
      </c>
      <c r="F65" s="34">
        <f t="shared" si="3"/>
        <v>-281.06866000000002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19.899999999999999</v>
      </c>
      <c r="E69" s="34">
        <f t="shared" si="4"/>
        <v>6.7229729729729719</v>
      </c>
      <c r="F69" s="34">
        <f t="shared" si="3"/>
        <v>-276.10000000000002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538.64417000000003</v>
      </c>
      <c r="E71" s="34">
        <f t="shared" si="4"/>
        <v>24.26454380760676</v>
      </c>
      <c r="F71" s="34">
        <f t="shared" si="3"/>
        <v>-1681.2375400000001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453.94416999999999</v>
      </c>
      <c r="E74" s="38">
        <f t="shared" si="4"/>
        <v>21.413655670438324</v>
      </c>
      <c r="F74" s="38">
        <f t="shared" si="3"/>
        <v>-1665.9375400000001</v>
      </c>
    </row>
    <row r="75" spans="1:7">
      <c r="A75" s="35" t="s">
        <v>63</v>
      </c>
      <c r="B75" s="39" t="s">
        <v>64</v>
      </c>
      <c r="C75" s="49">
        <v>100</v>
      </c>
      <c r="D75" s="37">
        <v>84.7</v>
      </c>
      <c r="E75" s="38">
        <f t="shared" si="4"/>
        <v>84.7</v>
      </c>
      <c r="F75" s="38">
        <f t="shared" si="3"/>
        <v>-15.299999999999997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6754.7004500000003</v>
      </c>
      <c r="D76" s="32">
        <f>SUM(D77:D79)</f>
        <v>736.85257000000001</v>
      </c>
      <c r="E76" s="34">
        <f t="shared" si="4"/>
        <v>10.908737929303735</v>
      </c>
      <c r="F76" s="34">
        <f t="shared" si="3"/>
        <v>-6017.8478800000003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6271.0754500000003</v>
      </c>
      <c r="D78" s="37">
        <v>477.30058000000002</v>
      </c>
      <c r="E78" s="38">
        <f t="shared" si="4"/>
        <v>7.6111439545827819</v>
      </c>
      <c r="F78" s="38">
        <f t="shared" si="3"/>
        <v>-5793.7748700000002</v>
      </c>
    </row>
    <row r="79" spans="1:7">
      <c r="A79" s="35" t="s">
        <v>71</v>
      </c>
      <c r="B79" s="39" t="s">
        <v>72</v>
      </c>
      <c r="C79" s="37">
        <v>483.625</v>
      </c>
      <c r="D79" s="37">
        <v>259.55198999999999</v>
      </c>
      <c r="E79" s="38">
        <f t="shared" si="4"/>
        <v>53.668025846471956</v>
      </c>
      <c r="F79" s="38">
        <f t="shared" si="3"/>
        <v>-224.07301000000001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630.76300000000003</v>
      </c>
      <c r="E80" s="34">
        <f t="shared" si="4"/>
        <v>21.596653886321914</v>
      </c>
      <c r="F80" s="34">
        <f t="shared" si="3"/>
        <v>-2289.88852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630.76300000000003</v>
      </c>
      <c r="E81" s="38">
        <f t="shared" si="4"/>
        <v>21.596653886321914</v>
      </c>
      <c r="F81" s="38">
        <f t="shared" si="3"/>
        <v>-2289.88852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14282.474679999999</v>
      </c>
      <c r="D97" s="246">
        <f>D55+D63+D71+D76+D80+D82+D87+D65+D93</f>
        <v>2913.4083799999999</v>
      </c>
      <c r="E97" s="34">
        <f t="shared" si="4"/>
        <v>20.398484473280369</v>
      </c>
      <c r="F97" s="34">
        <f t="shared" si="3"/>
        <v>-11369.066299999999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61528DAC-5C4C-48F4-ADE2-8A724B05A086}" scale="70" showPageBreaks="1" printArea="1" hiddenRows="1" view="pageBreakPreview" topLeftCell="A40">
      <selection activeCell="D87" sqref="D87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7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8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54" zoomScale="70" zoomScaleNormal="100" zoomScaleSheetLayoutView="70" workbookViewId="0">
      <selection activeCell="A34" sqref="A34:XFD34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431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570.97093999999993</v>
      </c>
      <c r="E4" s="5">
        <f>SUM(D4/C4*100)</f>
        <v>44.812612527764031</v>
      </c>
      <c r="F4" s="5">
        <f>SUM(D4-C4)</f>
        <v>-703.15906000000018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113.57052</v>
      </c>
      <c r="E5" s="5">
        <f t="shared" ref="E5:E52" si="0">SUM(D5/C5*100)</f>
        <v>66.415508771929822</v>
      </c>
      <c r="F5" s="5">
        <f t="shared" ref="F5:F52" si="1">SUM(D5-C5)</f>
        <v>-57.429479999999998</v>
      </c>
    </row>
    <row r="6" spans="1:6">
      <c r="A6" s="7">
        <v>1010200001</v>
      </c>
      <c r="B6" s="8" t="s">
        <v>225</v>
      </c>
      <c r="C6" s="9">
        <v>171</v>
      </c>
      <c r="D6" s="10">
        <v>113.57052</v>
      </c>
      <c r="E6" s="9">
        <f t="shared" ref="E6:E11" si="2">SUM(D6/C6*100)</f>
        <v>66.415508771929822</v>
      </c>
      <c r="F6" s="9">
        <f t="shared" si="1"/>
        <v>-57.429479999999998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405.75482</v>
      </c>
      <c r="E7" s="5">
        <f t="shared" si="2"/>
        <v>65.855390907762967</v>
      </c>
      <c r="F7" s="5">
        <f t="shared" si="1"/>
        <v>-210.37518</v>
      </c>
    </row>
    <row r="8" spans="1:6">
      <c r="A8" s="7">
        <v>1030223001</v>
      </c>
      <c r="B8" s="8" t="s">
        <v>269</v>
      </c>
      <c r="C8" s="9">
        <v>229.816</v>
      </c>
      <c r="D8" s="10">
        <v>198.34477999999999</v>
      </c>
      <c r="E8" s="9">
        <f t="shared" si="2"/>
        <v>86.305905594040439</v>
      </c>
      <c r="F8" s="9">
        <f t="shared" si="1"/>
        <v>-31.471220000000017</v>
      </c>
    </row>
    <row r="9" spans="1:6">
      <c r="A9" s="7">
        <v>1030224001</v>
      </c>
      <c r="B9" s="8" t="s">
        <v>275</v>
      </c>
      <c r="C9" s="9">
        <v>2.4649999999999999</v>
      </c>
      <c r="D9" s="10">
        <v>1.16703</v>
      </c>
      <c r="E9" s="9">
        <f t="shared" si="2"/>
        <v>47.344016227180532</v>
      </c>
      <c r="F9" s="9">
        <f t="shared" si="1"/>
        <v>-1.2979699999999998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229.20787000000001</v>
      </c>
      <c r="E10" s="9">
        <f t="shared" si="2"/>
        <v>59.713030384343845</v>
      </c>
      <c r="F10" s="9">
        <f t="shared" si="1"/>
        <v>-154.64112999999998</v>
      </c>
    </row>
    <row r="11" spans="1:6">
      <c r="A11" s="7">
        <v>1030226001</v>
      </c>
      <c r="B11" s="8" t="s">
        <v>277</v>
      </c>
      <c r="C11" s="9">
        <v>0</v>
      </c>
      <c r="D11" s="10">
        <v>-22.964860000000002</v>
      </c>
      <c r="E11" s="9" t="e">
        <f t="shared" si="2"/>
        <v>#DIV/0!</v>
      </c>
      <c r="F11" s="9">
        <f t="shared" si="1"/>
        <v>-22.964860000000002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48.645600000000002</v>
      </c>
      <c r="E14" s="5">
        <f t="shared" si="0"/>
        <v>10.372196162046908</v>
      </c>
      <c r="F14" s="5">
        <f t="shared" si="1"/>
        <v>-420.3544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4.5818599999999998</v>
      </c>
      <c r="E15" s="9">
        <f t="shared" si="0"/>
        <v>3.6950483870967741</v>
      </c>
      <c r="F15" s="9">
        <f>SUM(D15-C15)</f>
        <v>-119.41813999999999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44.063740000000003</v>
      </c>
      <c r="E16" s="9">
        <f t="shared" si="0"/>
        <v>12.772098550724639</v>
      </c>
      <c r="F16" s="9">
        <f t="shared" si="1"/>
        <v>-300.93626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</v>
      </c>
      <c r="E17" s="5">
        <f t="shared" si="0"/>
        <v>37.5</v>
      </c>
      <c r="F17" s="5">
        <f t="shared" si="1"/>
        <v>-5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3</v>
      </c>
      <c r="E18" s="9">
        <f t="shared" si="0"/>
        <v>37.5</v>
      </c>
      <c r="F18" s="9">
        <f t="shared" si="1"/>
        <v>-5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C26+C29+C31+C35</f>
        <v>140</v>
      </c>
      <c r="D25" s="5">
        <f>D26+D29+D31+D35+D34</f>
        <v>192.63233</v>
      </c>
      <c r="E25" s="5">
        <f t="shared" si="0"/>
        <v>137.59452142857143</v>
      </c>
      <c r="F25" s="5">
        <f t="shared" si="1"/>
        <v>52.632329999999996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36.5</v>
      </c>
      <c r="E26" s="5">
        <f t="shared" si="0"/>
        <v>91.25</v>
      </c>
      <c r="F26" s="5">
        <f t="shared" si="1"/>
        <v>-3.5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36.5</v>
      </c>
      <c r="E28" s="9">
        <f t="shared" si="0"/>
        <v>91.25</v>
      </c>
      <c r="F28" s="9">
        <f t="shared" si="1"/>
        <v>-3.5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156.00528</v>
      </c>
      <c r="E29" s="5">
        <f t="shared" si="0"/>
        <v>156.00528</v>
      </c>
      <c r="F29" s="5">
        <f t="shared" si="1"/>
        <v>56.005279999999999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156.00528</v>
      </c>
      <c r="E30" s="9">
        <f t="shared" si="0"/>
        <v>156.00528</v>
      </c>
      <c r="F30" s="9">
        <f t="shared" si="1"/>
        <v>56.005279999999999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536">
        <v>1160000000</v>
      </c>
      <c r="B34" s="537" t="s">
        <v>241</v>
      </c>
      <c r="C34" s="9">
        <v>0</v>
      </c>
      <c r="D34" s="10">
        <v>0.12705</v>
      </c>
      <c r="E34" s="9" t="e">
        <f>SUM(D34/C34*100)</f>
        <v>#DIV/0!</v>
      </c>
      <c r="F34" s="9">
        <f>SUM(D34-C34)</f>
        <v>0.12705</v>
      </c>
    </row>
    <row r="35" spans="1:7" ht="15" customHeight="1">
      <c r="A35" s="3">
        <v>1170000000</v>
      </c>
      <c r="B35" s="13" t="s">
        <v>132</v>
      </c>
      <c r="C35" s="5">
        <f>C36+C37</f>
        <v>0</v>
      </c>
      <c r="D35" s="5">
        <f>D36+D37</f>
        <v>0</v>
      </c>
      <c r="E35" s="5" t="e">
        <f t="shared" si="0"/>
        <v>#DIV/0!</v>
      </c>
      <c r="F35" s="5">
        <f t="shared" si="1"/>
        <v>0</v>
      </c>
    </row>
    <row r="36" spans="1:7" ht="19.5" customHeight="1">
      <c r="A36" s="7">
        <v>1170105010</v>
      </c>
      <c r="B36" s="8" t="s">
        <v>15</v>
      </c>
      <c r="C36" s="9">
        <v>0</v>
      </c>
      <c r="D36" s="9">
        <v>0</v>
      </c>
      <c r="E36" s="9" t="e">
        <f t="shared" si="0"/>
        <v>#DIV/0!</v>
      </c>
      <c r="F36" s="9">
        <f t="shared" si="1"/>
        <v>0</v>
      </c>
    </row>
    <row r="37" spans="1:7" ht="23.25" customHeight="1">
      <c r="A37" s="7">
        <v>1170505005</v>
      </c>
      <c r="B37" s="11" t="s">
        <v>217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s="6" customFormat="1" ht="15" customHeight="1">
      <c r="A38" s="3">
        <v>1000000000</v>
      </c>
      <c r="B38" s="4" t="s">
        <v>16</v>
      </c>
      <c r="C38" s="125">
        <f>SUM(C4,C25)</f>
        <v>1414.13</v>
      </c>
      <c r="D38" s="125">
        <f>D4+D25</f>
        <v>763.60326999999995</v>
      </c>
      <c r="E38" s="5">
        <f t="shared" si="0"/>
        <v>53.99809564891487</v>
      </c>
      <c r="F38" s="5">
        <f t="shared" si="1"/>
        <v>-650.52673000000016</v>
      </c>
    </row>
    <row r="39" spans="1:7" s="6" customFormat="1">
      <c r="A39" s="3">
        <v>2000000000</v>
      </c>
      <c r="B39" s="4" t="s">
        <v>17</v>
      </c>
      <c r="C39" s="245">
        <f>C40+C41+C42+C43+C50+C51</f>
        <v>12094.03865</v>
      </c>
      <c r="D39" s="5">
        <f>D40+D41+D42+D43+D50+D51</f>
        <v>4415.5598399999999</v>
      </c>
      <c r="E39" s="5">
        <f t="shared" si="0"/>
        <v>36.510217701346605</v>
      </c>
      <c r="F39" s="5">
        <f t="shared" si="1"/>
        <v>-7678.4788100000005</v>
      </c>
      <c r="G39" s="19"/>
    </row>
    <row r="40" spans="1:7" ht="16.5" customHeight="1">
      <c r="A40" s="16">
        <v>2021000000</v>
      </c>
      <c r="B40" s="17" t="s">
        <v>18</v>
      </c>
      <c r="C40" s="12">
        <v>4903.5</v>
      </c>
      <c r="D40" s="20">
        <v>2860.375</v>
      </c>
      <c r="E40" s="9">
        <v>0</v>
      </c>
      <c r="F40" s="9">
        <f t="shared" si="1"/>
        <v>-2043.125</v>
      </c>
    </row>
    <row r="41" spans="1:7" ht="17.25" customHeight="1">
      <c r="A41" s="16">
        <v>2021500200</v>
      </c>
      <c r="B41" s="17" t="s">
        <v>228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v>6399.0466500000002</v>
      </c>
      <c r="D42" s="10">
        <v>1109.55</v>
      </c>
      <c r="E42" s="9">
        <f t="shared" si="0"/>
        <v>17.339301628626195</v>
      </c>
      <c r="F42" s="9">
        <f t="shared" si="1"/>
        <v>-5289.49665</v>
      </c>
    </row>
    <row r="43" spans="1:7" ht="17.25" customHeight="1">
      <c r="A43" s="16">
        <v>2023000000</v>
      </c>
      <c r="B43" s="17" t="s">
        <v>20</v>
      </c>
      <c r="C43" s="12">
        <v>235.76499999999999</v>
      </c>
      <c r="D43" s="180">
        <v>152.815</v>
      </c>
      <c r="E43" s="9">
        <f t="shared" si="0"/>
        <v>64.816660657858463</v>
      </c>
      <c r="F43" s="9">
        <f t="shared" si="1"/>
        <v>-82.949999999999989</v>
      </c>
    </row>
    <row r="44" spans="1:7" ht="18" hidden="1" customHeight="1">
      <c r="A44" s="16">
        <v>2020400000</v>
      </c>
      <c r="B44" s="17" t="s">
        <v>21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2">
        <v>2180000000</v>
      </c>
      <c r="B46" s="123" t="s">
        <v>288</v>
      </c>
      <c r="C46" s="184">
        <f>C47</f>
        <v>0</v>
      </c>
      <c r="D46" s="236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287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0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152.125</v>
      </c>
      <c r="D50" s="10"/>
      <c r="E50" s="9">
        <f t="shared" si="0"/>
        <v>0</v>
      </c>
      <c r="F50" s="9">
        <f t="shared" si="1"/>
        <v>-152.125</v>
      </c>
    </row>
    <row r="51" spans="1:8" s="6" customFormat="1" ht="15" customHeight="1">
      <c r="A51" s="7">
        <v>2070500010</v>
      </c>
      <c r="B51" s="11" t="s">
        <v>289</v>
      </c>
      <c r="C51" s="12">
        <v>403.60199999999998</v>
      </c>
      <c r="D51" s="10">
        <v>292.81984</v>
      </c>
      <c r="E51" s="9">
        <v>0</v>
      </c>
      <c r="F51" s="9">
        <f>SUM(D51-C51)</f>
        <v>-110.78215999999998</v>
      </c>
    </row>
    <row r="52" spans="1:8" s="6" customFormat="1" ht="18" customHeight="1">
      <c r="A52" s="3"/>
      <c r="B52" s="4" t="s">
        <v>25</v>
      </c>
      <c r="C52" s="243">
        <f>C38+C39</f>
        <v>13508.16865</v>
      </c>
      <c r="D52" s="243">
        <f>D38+D39</f>
        <v>5179.1631099999995</v>
      </c>
      <c r="E52" s="5">
        <f t="shared" si="0"/>
        <v>38.340971631265496</v>
      </c>
      <c r="F52" s="5">
        <f t="shared" si="1"/>
        <v>-8329.0055400000001</v>
      </c>
      <c r="G52" s="93"/>
      <c r="H52" s="193"/>
    </row>
    <row r="53" spans="1:8" s="6" customFormat="1">
      <c r="A53" s="3"/>
      <c r="B53" s="21" t="s">
        <v>307</v>
      </c>
      <c r="C53" s="92">
        <f>C52-C99</f>
        <v>-1002.14084</v>
      </c>
      <c r="D53" s="92">
        <f>D52-D99</f>
        <v>-496.39300000000003</v>
      </c>
      <c r="E53" s="22"/>
      <c r="F53" s="22"/>
    </row>
    <row r="54" spans="1:8">
      <c r="A54" s="23"/>
      <c r="B54" s="24"/>
      <c r="C54" s="113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1653.289</v>
      </c>
      <c r="D57" s="33">
        <f>D58+D59+D60+D61+D62+D64+D63</f>
        <v>755.30555000000004</v>
      </c>
      <c r="E57" s="34">
        <f>SUM(D57/C57*100)</f>
        <v>45.68502844935157</v>
      </c>
      <c r="F57" s="34">
        <f>SUM(D57-C57)</f>
        <v>-897.98344999999995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1643.125</v>
      </c>
      <c r="D59" s="37">
        <v>750.14155000000005</v>
      </c>
      <c r="E59" s="38">
        <f t="shared" ref="E59:E99" si="3">SUM(D59/C59*100)</f>
        <v>45.653346519589199</v>
      </c>
      <c r="F59" s="38">
        <f t="shared" ref="F59:F99" si="4">SUM(D59-C59)</f>
        <v>-892.98344999999995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5.1639999999999997</v>
      </c>
      <c r="D64" s="37">
        <v>5.1639999999999997</v>
      </c>
      <c r="E64" s="38">
        <f t="shared" si="3"/>
        <v>100</v>
      </c>
      <c r="F64" s="38">
        <f t="shared" si="4"/>
        <v>0</v>
      </c>
    </row>
    <row r="65" spans="1:7" s="6" customFormat="1" ht="15" customHeight="1">
      <c r="A65" s="41" t="s">
        <v>43</v>
      </c>
      <c r="B65" s="42" t="s">
        <v>44</v>
      </c>
      <c r="C65" s="32">
        <f>C66</f>
        <v>235.76499999999999</v>
      </c>
      <c r="D65" s="32">
        <f>D66</f>
        <v>116.325</v>
      </c>
      <c r="E65" s="34">
        <f t="shared" si="3"/>
        <v>49.339384556655993</v>
      </c>
      <c r="F65" s="34">
        <f t="shared" si="4"/>
        <v>-119.43999999999998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116.325</v>
      </c>
      <c r="E66" s="38">
        <f t="shared" si="3"/>
        <v>49.339384556655993</v>
      </c>
      <c r="F66" s="38">
        <f t="shared" si="4"/>
        <v>-119.43999999999998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325.38</v>
      </c>
      <c r="D67" s="32">
        <f>SUM(D70+D71+D72)</f>
        <v>321.68939</v>
      </c>
      <c r="E67" s="34">
        <f t="shared" si="3"/>
        <v>98.865753887762011</v>
      </c>
      <c r="F67" s="34">
        <f t="shared" si="4"/>
        <v>-3.6906099999999924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5">
        <v>3</v>
      </c>
      <c r="D70" s="37">
        <v>2.83134</v>
      </c>
      <c r="E70" s="34">
        <f t="shared" si="3"/>
        <v>94.378</v>
      </c>
      <c r="F70" s="34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320.38</v>
      </c>
      <c r="D71" s="37">
        <v>318.85804999999999</v>
      </c>
      <c r="E71" s="34">
        <f t="shared" si="3"/>
        <v>99.52495474124477</v>
      </c>
      <c r="F71" s="34">
        <f t="shared" si="4"/>
        <v>-1.5219500000000039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4.25" customHeight="1">
      <c r="A73" s="30" t="s">
        <v>55</v>
      </c>
      <c r="B73" s="31" t="s">
        <v>56</v>
      </c>
      <c r="C73" s="48">
        <f>SUM(C74:C77)</f>
        <v>3033.2308400000002</v>
      </c>
      <c r="D73" s="48">
        <f>SUM(D74:D77)</f>
        <v>1106.9003600000001</v>
      </c>
      <c r="E73" s="34">
        <f t="shared" si="3"/>
        <v>36.492453703259855</v>
      </c>
      <c r="F73" s="34">
        <f t="shared" si="4"/>
        <v>-1926.3304800000001</v>
      </c>
    </row>
    <row r="74" spans="1:7" ht="17.2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9.5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2983.2308400000002</v>
      </c>
      <c r="D76" s="37">
        <v>1105.9003600000001</v>
      </c>
      <c r="E76" s="38">
        <f t="shared" si="3"/>
        <v>37.070559380513778</v>
      </c>
      <c r="F76" s="38">
        <f t="shared" si="4"/>
        <v>-1877.3304800000001</v>
      </c>
    </row>
    <row r="77" spans="1:7">
      <c r="A77" s="35" t="s">
        <v>63</v>
      </c>
      <c r="B77" s="39" t="s">
        <v>64</v>
      </c>
      <c r="C77" s="49">
        <v>50</v>
      </c>
      <c r="D77" s="37">
        <v>1</v>
      </c>
      <c r="E77" s="38">
        <f t="shared" si="3"/>
        <v>2</v>
      </c>
      <c r="F77" s="38">
        <f t="shared" si="4"/>
        <v>-49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7169.9446499999995</v>
      </c>
      <c r="D78" s="32">
        <f>SUM(D79:D81)</f>
        <v>2319.3006</v>
      </c>
      <c r="E78" s="34">
        <f t="shared" si="3"/>
        <v>32.347538415097809</v>
      </c>
      <c r="F78" s="34">
        <f t="shared" si="4"/>
        <v>-4850.644049999999</v>
      </c>
    </row>
    <row r="79" spans="1:7" ht="14.25" hidden="1" customHeight="1">
      <c r="A79" s="35" t="s">
        <v>67</v>
      </c>
      <c r="B79" s="51" t="s">
        <v>68</v>
      </c>
      <c r="C79" s="37">
        <v>0</v>
      </c>
      <c r="D79" s="37"/>
      <c r="E79" s="38" t="e">
        <f t="shared" si="3"/>
        <v>#DIV/0!</v>
      </c>
      <c r="F79" s="38">
        <f t="shared" si="4"/>
        <v>0</v>
      </c>
    </row>
    <row r="80" spans="1:7" ht="24.75" customHeight="1">
      <c r="A80" s="35" t="s">
        <v>69</v>
      </c>
      <c r="B80" s="51" t="s">
        <v>70</v>
      </c>
      <c r="C80" s="37">
        <v>913.52099999999996</v>
      </c>
      <c r="D80" s="37">
        <v>727.69199000000003</v>
      </c>
      <c r="E80" s="38">
        <f t="shared" si="3"/>
        <v>79.657937803290793</v>
      </c>
      <c r="F80" s="38">
        <f t="shared" si="4"/>
        <v>-185.82900999999993</v>
      </c>
    </row>
    <row r="81" spans="1:6">
      <c r="A81" s="35" t="s">
        <v>71</v>
      </c>
      <c r="B81" s="39" t="s">
        <v>72</v>
      </c>
      <c r="C81" s="37">
        <v>6256.4236499999997</v>
      </c>
      <c r="D81" s="37">
        <v>1591.60861</v>
      </c>
      <c r="E81" s="38">
        <f t="shared" si="3"/>
        <v>25.439591355038754</v>
      </c>
      <c r="F81" s="38">
        <f t="shared" si="4"/>
        <v>-4664.8150399999995</v>
      </c>
    </row>
    <row r="82" spans="1:6" s="6" customFormat="1">
      <c r="A82" s="30" t="s">
        <v>83</v>
      </c>
      <c r="B82" s="31" t="s">
        <v>84</v>
      </c>
      <c r="C82" s="32">
        <f>C83</f>
        <v>2082.6999999999998</v>
      </c>
      <c r="D82" s="32">
        <f>SUM(D83)</f>
        <v>1046.04521</v>
      </c>
      <c r="E82" s="34">
        <f t="shared" si="3"/>
        <v>50.225438613338454</v>
      </c>
      <c r="F82" s="34">
        <f t="shared" si="4"/>
        <v>-1036.6547899999998</v>
      </c>
    </row>
    <row r="83" spans="1:6" ht="15" customHeight="1">
      <c r="A83" s="35" t="s">
        <v>85</v>
      </c>
      <c r="B83" s="39" t="s">
        <v>230</v>
      </c>
      <c r="C83" s="37">
        <v>2082.6999999999998</v>
      </c>
      <c r="D83" s="37">
        <v>1046.04521</v>
      </c>
      <c r="E83" s="38">
        <f t="shared" si="3"/>
        <v>50.225438613338454</v>
      </c>
      <c r="F83" s="38">
        <f t="shared" si="4"/>
        <v>-1036.6547899999998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5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10</v>
      </c>
      <c r="D89" s="32">
        <f>D90+D91+D92+D93+D94</f>
        <v>9.99</v>
      </c>
      <c r="E89" s="38"/>
      <c r="F89" s="22">
        <f>F90+F91+F92+F93+F94</f>
        <v>-9.9999999999997868E-3</v>
      </c>
    </row>
    <row r="90" spans="1:6" ht="16.5" customHeight="1">
      <c r="A90" s="35" t="s">
        <v>94</v>
      </c>
      <c r="B90" s="39" t="s">
        <v>95</v>
      </c>
      <c r="C90" s="37">
        <v>10</v>
      </c>
      <c r="D90" s="37">
        <v>9.99</v>
      </c>
      <c r="E90" s="38"/>
      <c r="F90" s="38">
        <f>SUM(D90-C90)</f>
        <v>-9.9999999999997868E-3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2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246">
        <f>C57+C65+C67+C73+C78+C82+C89+C84</f>
        <v>14510.30949</v>
      </c>
      <c r="D99" s="246">
        <f>D57+D65+D67+D73+D78+D82+D89+D84</f>
        <v>5675.5561099999995</v>
      </c>
      <c r="E99" s="34">
        <f t="shared" si="3"/>
        <v>39.113956279922185</v>
      </c>
      <c r="F99" s="34">
        <f t="shared" si="4"/>
        <v>-8834.7533800000001</v>
      </c>
    </row>
    <row r="100" spans="1:6">
      <c r="D100" s="175"/>
    </row>
    <row r="101" spans="1:6" s="65" customFormat="1" ht="18" customHeight="1">
      <c r="A101" s="63" t="s">
        <v>117</v>
      </c>
      <c r="B101" s="63"/>
      <c r="C101" s="129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18"/>
    </row>
    <row r="142" hidden="1"/>
  </sheetData>
  <customSheetViews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zoomScale="70" zoomScaleNormal="100" zoomScaleSheetLayoutView="70" workbookViewId="0">
      <selection activeCell="C45" sqref="C45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30" t="s">
        <v>432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54.7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1076.2538</v>
      </c>
      <c r="E4" s="5">
        <f>SUM(D4/C4*100)</f>
        <v>41.299071373752874</v>
      </c>
      <c r="F4" s="5">
        <f>SUM(D4-C4)</f>
        <v>-1529.7462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146.26194000000001</v>
      </c>
      <c r="E5" s="5">
        <f t="shared" ref="E5:E52" si="0">SUM(D5/C5*100)</f>
        <v>77.387269841269841</v>
      </c>
      <c r="F5" s="5">
        <f t="shared" ref="F5:F52" si="1">SUM(D5-C5)</f>
        <v>-42.73805999999999</v>
      </c>
    </row>
    <row r="6" spans="1:6">
      <c r="A6" s="7">
        <v>1010200001</v>
      </c>
      <c r="B6" s="8" t="s">
        <v>225</v>
      </c>
      <c r="C6" s="9">
        <v>189</v>
      </c>
      <c r="D6" s="10">
        <v>146.26194000000001</v>
      </c>
      <c r="E6" s="9">
        <f t="shared" ref="E6:E11" si="2">SUM(D6/C6*100)</f>
        <v>77.387269841269841</v>
      </c>
      <c r="F6" s="9">
        <f t="shared" si="1"/>
        <v>-42.73805999999999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628.26550000000009</v>
      </c>
      <c r="E7" s="5">
        <f t="shared" si="2"/>
        <v>65.855922431865835</v>
      </c>
      <c r="F7" s="5">
        <f t="shared" si="1"/>
        <v>-325.73449999999991</v>
      </c>
    </row>
    <row r="8" spans="1:6">
      <c r="A8" s="7">
        <v>1030223001</v>
      </c>
      <c r="B8" s="8" t="s">
        <v>269</v>
      </c>
      <c r="C8" s="9">
        <v>355.84199999999998</v>
      </c>
      <c r="D8" s="10">
        <v>307.11450000000002</v>
      </c>
      <c r="E8" s="9">
        <f t="shared" si="2"/>
        <v>86.306422513362676</v>
      </c>
      <c r="F8" s="9">
        <f t="shared" si="1"/>
        <v>-48.727499999999964</v>
      </c>
    </row>
    <row r="9" spans="1:6">
      <c r="A9" s="7">
        <v>1030224001</v>
      </c>
      <c r="B9" s="8" t="s">
        <v>275</v>
      </c>
      <c r="C9" s="9">
        <v>3.8159999999999998</v>
      </c>
      <c r="D9" s="10">
        <v>1.80704</v>
      </c>
      <c r="E9" s="9">
        <f t="shared" si="2"/>
        <v>47.354297693920337</v>
      </c>
      <c r="F9" s="9">
        <f t="shared" si="1"/>
        <v>-2.0089600000000001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354.90249</v>
      </c>
      <c r="E10" s="9">
        <f t="shared" si="2"/>
        <v>59.713513431660559</v>
      </c>
      <c r="F10" s="9">
        <f>SUM(D10-C10)</f>
        <v>-239.43950999999998</v>
      </c>
    </row>
    <row r="11" spans="1:6">
      <c r="A11" s="7">
        <v>1030226001</v>
      </c>
      <c r="B11" s="8" t="s">
        <v>277</v>
      </c>
      <c r="C11" s="9">
        <v>0</v>
      </c>
      <c r="D11" s="10">
        <v>-35.558529999999998</v>
      </c>
      <c r="E11" s="9" t="e">
        <f t="shared" si="2"/>
        <v>#DIV/0!</v>
      </c>
      <c r="F11" s="9">
        <f>SUM(D11-C11)</f>
        <v>-35.558529999999998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288.79309999999998</v>
      </c>
      <c r="E14" s="5">
        <f t="shared" si="0"/>
        <v>20.124954703832749</v>
      </c>
      <c r="F14" s="5">
        <f t="shared" si="1"/>
        <v>-1146.2069000000001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157.46428</v>
      </c>
      <c r="E15" s="9">
        <f t="shared" si="0"/>
        <v>40.899812987012993</v>
      </c>
      <c r="F15" s="9">
        <f>SUM(D15-C15)</f>
        <v>-227.53572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131.32882000000001</v>
      </c>
      <c r="E16" s="9">
        <f t="shared" si="0"/>
        <v>12.507506666666668</v>
      </c>
      <c r="F16" s="9">
        <f t="shared" si="1"/>
        <v>-918.67118000000005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195</v>
      </c>
      <c r="D25" s="5">
        <f>D30+D37+D26+D35</f>
        <v>43.830709999999996</v>
      </c>
      <c r="E25" s="5">
        <f t="shared" si="0"/>
        <v>22.477287179487178</v>
      </c>
      <c r="F25" s="5">
        <f t="shared" si="1"/>
        <v>-151.16928999999999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16.701519999999999</v>
      </c>
      <c r="E26" s="5">
        <f t="shared" si="0"/>
        <v>83.507599999999996</v>
      </c>
      <c r="F26" s="5">
        <f t="shared" si="1"/>
        <v>-3.2984800000000014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16.701519999999999</v>
      </c>
      <c r="E27" s="9">
        <f t="shared" si="0"/>
        <v>83.507599999999996</v>
      </c>
      <c r="F27" s="9">
        <f t="shared" si="1"/>
        <v>-3.2984800000000014</v>
      </c>
    </row>
    <row r="28" spans="1:6" ht="15.75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27.129190000000001</v>
      </c>
      <c r="E30" s="5">
        <f t="shared" si="0"/>
        <v>54.258380000000002</v>
      </c>
      <c r="F30" s="5">
        <f t="shared" si="1"/>
        <v>-22.870809999999999</v>
      </c>
    </row>
    <row r="31" spans="1:6" ht="34.5" customHeight="1">
      <c r="A31" s="7">
        <v>1130206510</v>
      </c>
      <c r="B31" s="8" t="s">
        <v>412</v>
      </c>
      <c r="C31" s="9">
        <v>50</v>
      </c>
      <c r="D31" s="10">
        <v>27.129190000000001</v>
      </c>
      <c r="E31" s="9">
        <f t="shared" si="0"/>
        <v>54.258380000000002</v>
      </c>
      <c r="F31" s="9">
        <f t="shared" si="1"/>
        <v>-22.870809999999999</v>
      </c>
    </row>
    <row r="32" spans="1:6" ht="34.5" customHeight="1">
      <c r="A32" s="70">
        <v>1140000000</v>
      </c>
      <c r="B32" s="71" t="s">
        <v>129</v>
      </c>
      <c r="C32" s="5">
        <f>C33+C34</f>
        <v>125</v>
      </c>
      <c r="D32" s="5">
        <f>D33+D34</f>
        <v>0</v>
      </c>
      <c r="E32" s="5">
        <f t="shared" si="0"/>
        <v>0</v>
      </c>
      <c r="F32" s="5">
        <f t="shared" si="1"/>
        <v>-125</v>
      </c>
    </row>
    <row r="33" spans="1:7" ht="34.5" customHeight="1">
      <c r="A33" s="16">
        <v>1140200000</v>
      </c>
      <c r="B33" s="1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.5" customHeight="1">
      <c r="A36" s="7">
        <v>1163305010</v>
      </c>
      <c r="B36" s="8" t="s">
        <v>256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2801</v>
      </c>
      <c r="D40" s="125">
        <f>D4+D25</f>
        <v>1120.0845099999999</v>
      </c>
      <c r="E40" s="5">
        <f t="shared" si="0"/>
        <v>39.988736522670472</v>
      </c>
      <c r="F40" s="5">
        <f t="shared" si="1"/>
        <v>-1680.9154900000001</v>
      </c>
    </row>
    <row r="41" spans="1:7" s="6" customFormat="1">
      <c r="A41" s="3">
        <v>2000000000</v>
      </c>
      <c r="B41" s="4" t="s">
        <v>17</v>
      </c>
      <c r="C41" s="5">
        <f>C42+C44+C45+C47+C51</f>
        <v>12048.305970000001</v>
      </c>
      <c r="D41" s="5">
        <f>D42+D44+D45+D47+D48+D49+D43+D51</f>
        <v>3541.6735499999995</v>
      </c>
      <c r="E41" s="5">
        <f t="shared" si="0"/>
        <v>29.395614278212083</v>
      </c>
      <c r="F41" s="5">
        <f t="shared" si="1"/>
        <v>-8506.6324200000017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2001.944</v>
      </c>
      <c r="E42" s="9">
        <f t="shared" si="0"/>
        <v>58.333401322882359</v>
      </c>
      <c r="F42" s="9">
        <f t="shared" si="1"/>
        <v>-1429.9560000000001</v>
      </c>
    </row>
    <row r="43" spans="1:7" ht="24.75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4212.85016</v>
      </c>
      <c r="D44" s="10">
        <v>1041.93443</v>
      </c>
      <c r="E44" s="9">
        <f t="shared" si="0"/>
        <v>24.732292638672913</v>
      </c>
      <c r="F44" s="9">
        <f t="shared" si="1"/>
        <v>-3170.9157299999997</v>
      </c>
    </row>
    <row r="45" spans="1:7" ht="15.7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5.75" hidden="1" customHeight="1">
      <c r="A46" s="16">
        <v>2070503010</v>
      </c>
      <c r="B46" s="17" t="s">
        <v>257</v>
      </c>
      <c r="C46" s="12">
        <v>287.08235999999999</v>
      </c>
      <c r="D46" s="180">
        <v>0</v>
      </c>
      <c r="E46" s="9">
        <f t="shared" si="0"/>
        <v>0</v>
      </c>
      <c r="F46" s="9">
        <f t="shared" si="1"/>
        <v>-287.08235999999999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83.186999999999998</v>
      </c>
      <c r="E47" s="9">
        <f t="shared" si="0"/>
        <v>2.1436034443659375</v>
      </c>
      <c r="F47" s="9">
        <f t="shared" si="1"/>
        <v>-3797.5214500000002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hidden="1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14849.305970000001</v>
      </c>
      <c r="D52" s="244">
        <f>D40+D41</f>
        <v>4661.7580599999992</v>
      </c>
      <c r="E52" s="5">
        <f t="shared" si="0"/>
        <v>31.393777388775824</v>
      </c>
      <c r="F52" s="5">
        <f t="shared" si="1"/>
        <v>-10187.547910000001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-942.68690999999853</v>
      </c>
      <c r="D53" s="268">
        <f>D52-D99</f>
        <v>-679.430080000001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1786.0791300000001</v>
      </c>
      <c r="D57" s="33">
        <f>D58+D59+D60+D61+D62+D64+D63</f>
        <v>954.57047</v>
      </c>
      <c r="E57" s="34">
        <f>SUM(D57/C57*100)</f>
        <v>53.445026816924958</v>
      </c>
      <c r="F57" s="34">
        <f>SUM(D57-C57)</f>
        <v>-831.50866000000008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1703.4670000000001</v>
      </c>
      <c r="D59" s="37">
        <v>886.95834000000002</v>
      </c>
      <c r="E59" s="38">
        <f t="shared" ref="E59:E99" si="3">SUM(D59/C59*100)</f>
        <v>52.067832250345916</v>
      </c>
      <c r="F59" s="38">
        <f t="shared" ref="F59:F99" si="4">SUM(D59-C59)</f>
        <v>-816.50866000000008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129.63901999999999</v>
      </c>
      <c r="E65" s="34">
        <f t="shared" si="3"/>
        <v>54.986541683455982</v>
      </c>
      <c r="F65" s="34">
        <f t="shared" si="4"/>
        <v>-106.12598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129.63901999999999</v>
      </c>
      <c r="E66" s="38">
        <f t="shared" si="3"/>
        <v>54.986541683455982</v>
      </c>
      <c r="F66" s="38">
        <f t="shared" si="4"/>
        <v>-106.12598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25</v>
      </c>
      <c r="D67" s="32">
        <f>D71+D70+D72</f>
        <v>18.097239999999999</v>
      </c>
      <c r="E67" s="34">
        <f t="shared" si="3"/>
        <v>72.388959999999997</v>
      </c>
      <c r="F67" s="34">
        <f t="shared" si="4"/>
        <v>-6.9027600000000007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2.83134</v>
      </c>
      <c r="E70" s="34">
        <f t="shared" si="3"/>
        <v>94.378</v>
      </c>
      <c r="F70" s="34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5628.24179</v>
      </c>
      <c r="D73" s="48">
        <f>SUM(D74:D77)</f>
        <v>1895.37816</v>
      </c>
      <c r="E73" s="34">
        <f t="shared" si="3"/>
        <v>33.676203523587425</v>
      </c>
      <c r="F73" s="34">
        <f t="shared" si="4"/>
        <v>-3732.8636299999998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5465.24179</v>
      </c>
      <c r="D76" s="37">
        <v>1887.37816</v>
      </c>
      <c r="E76" s="38">
        <f t="shared" si="3"/>
        <v>34.53421152296356</v>
      </c>
      <c r="F76" s="38">
        <f t="shared" si="4"/>
        <v>-3577.8636299999998</v>
      </c>
    </row>
    <row r="77" spans="1:7">
      <c r="A77" s="35" t="s">
        <v>63</v>
      </c>
      <c r="B77" s="39" t="s">
        <v>64</v>
      </c>
      <c r="C77" s="49">
        <v>163</v>
      </c>
      <c r="D77" s="37">
        <v>8</v>
      </c>
      <c r="E77" s="38">
        <f t="shared" si="3"/>
        <v>4.9079754601226995</v>
      </c>
      <c r="F77" s="38">
        <f t="shared" si="4"/>
        <v>-155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5881.11996</v>
      </c>
      <c r="D78" s="32">
        <f>SUM(D79:D81)</f>
        <v>901.29458</v>
      </c>
      <c r="E78" s="34">
        <f t="shared" si="3"/>
        <v>15.32522013035082</v>
      </c>
      <c r="F78" s="34">
        <f t="shared" si="4"/>
        <v>-4979.8253800000002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3140</v>
      </c>
      <c r="D80" s="37">
        <v>299.68275</v>
      </c>
      <c r="E80" s="38">
        <f t="shared" si="3"/>
        <v>9.544036624203823</v>
      </c>
      <c r="F80" s="38">
        <f t="shared" si="4"/>
        <v>-2840.3172500000001</v>
      </c>
    </row>
    <row r="81" spans="1:6">
      <c r="A81" s="35" t="s">
        <v>71</v>
      </c>
      <c r="B81" s="39" t="s">
        <v>72</v>
      </c>
      <c r="C81" s="37">
        <v>2741.11996</v>
      </c>
      <c r="D81" s="37">
        <v>601.61183000000005</v>
      </c>
      <c r="E81" s="38">
        <f>SUM(D81/C81*100)</f>
        <v>21.947665143410948</v>
      </c>
      <c r="F81" s="38">
        <f t="shared" si="4"/>
        <v>-2139.5081300000002</v>
      </c>
    </row>
    <row r="82" spans="1:6" s="6" customFormat="1">
      <c r="A82" s="30" t="s">
        <v>83</v>
      </c>
      <c r="B82" s="31" t="s">
        <v>84</v>
      </c>
      <c r="C82" s="32">
        <f>C83</f>
        <v>2213.7869999999998</v>
      </c>
      <c r="D82" s="32">
        <f>SUM(D83)</f>
        <v>1420.35367</v>
      </c>
      <c r="E82" s="34">
        <f t="shared" si="3"/>
        <v>64.159454816565471</v>
      </c>
      <c r="F82" s="34">
        <f t="shared" si="4"/>
        <v>-793.43332999999984</v>
      </c>
    </row>
    <row r="83" spans="1:6" ht="18.75" customHeight="1">
      <c r="A83" s="35" t="s">
        <v>85</v>
      </c>
      <c r="B83" s="39" t="s">
        <v>230</v>
      </c>
      <c r="C83" s="37">
        <v>2213.7869999999998</v>
      </c>
      <c r="D83" s="37">
        <v>1420.35367</v>
      </c>
      <c r="E83" s="38">
        <f t="shared" si="3"/>
        <v>64.159454816565471</v>
      </c>
      <c r="F83" s="38">
        <f t="shared" si="4"/>
        <v>-793.43332999999984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15791.99288</v>
      </c>
      <c r="D99" s="249">
        <f>D57+D65+D67+D73+D78+D82+D84+D89+D95</f>
        <v>5341.1881400000002</v>
      </c>
      <c r="E99" s="34">
        <f t="shared" si="3"/>
        <v>33.822128597616242</v>
      </c>
      <c r="F99" s="34">
        <f t="shared" si="4"/>
        <v>-10450.80474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61528DAC-5C4C-48F4-ADE2-8A724B05A086}" scale="70" showPageBreaks="1" printArea="1" hiddenRows="1" view="pageBreakPreview">
      <selection activeCell="C6" sqref="C6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7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8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3" zoomScale="70" zoomScaleNormal="100" zoomScaleSheetLayoutView="70" workbookViewId="0">
      <selection activeCell="D14" sqref="D1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30" t="s">
        <v>433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47.2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492.01915999999994</v>
      </c>
      <c r="E4" s="5">
        <f>SUM(D4/C4*100)</f>
        <v>32.242831491893732</v>
      </c>
      <c r="F4" s="5">
        <f>SUM(D4-C4)</f>
        <v>-1033.9608400000002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46.233310000000003</v>
      </c>
      <c r="E5" s="5">
        <f t="shared" ref="E5:E49" si="0">SUM(D5/C5*100)</f>
        <v>38.527758333333331</v>
      </c>
      <c r="F5" s="5">
        <f t="shared" ref="F5:F49" si="1">SUM(D5-C5)</f>
        <v>-73.766689999999997</v>
      </c>
    </row>
    <row r="6" spans="1:6">
      <c r="A6" s="7">
        <v>1010200001</v>
      </c>
      <c r="B6" s="8" t="s">
        <v>225</v>
      </c>
      <c r="C6" s="9">
        <v>120</v>
      </c>
      <c r="D6" s="10">
        <v>46.233310000000003</v>
      </c>
      <c r="E6" s="9">
        <f t="shared" ref="E6:E11" si="2">SUM(D6/C6*100)</f>
        <v>38.527758333333331</v>
      </c>
      <c r="F6" s="9">
        <f t="shared" si="1"/>
        <v>-73.766689999999997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360.87871999999993</v>
      </c>
      <c r="E7" s="5">
        <f t="shared" si="2"/>
        <v>65.856184532282185</v>
      </c>
      <c r="F7" s="5">
        <f t="shared" si="1"/>
        <v>-187.10128000000009</v>
      </c>
    </row>
    <row r="8" spans="1:6">
      <c r="A8" s="7">
        <v>1030223001</v>
      </c>
      <c r="B8" s="8" t="s">
        <v>269</v>
      </c>
      <c r="C8" s="9">
        <v>204.39599999999999</v>
      </c>
      <c r="D8" s="10">
        <v>176.40800999999999</v>
      </c>
      <c r="E8" s="9">
        <f t="shared" si="2"/>
        <v>86.306977631656196</v>
      </c>
      <c r="F8" s="9">
        <f t="shared" si="1"/>
        <v>-27.987989999999996</v>
      </c>
    </row>
    <row r="9" spans="1:6">
      <c r="A9" s="7">
        <v>1030224001</v>
      </c>
      <c r="B9" s="8" t="s">
        <v>275</v>
      </c>
      <c r="C9" s="9">
        <v>2.1920000000000002</v>
      </c>
      <c r="D9" s="10">
        <v>1.03799</v>
      </c>
      <c r="E9" s="9">
        <f t="shared" si="2"/>
        <v>47.353558394160579</v>
      </c>
      <c r="F9" s="9">
        <f t="shared" si="1"/>
        <v>-1.1540100000000002</v>
      </c>
    </row>
    <row r="10" spans="1:6">
      <c r="A10" s="7">
        <v>1030225001</v>
      </c>
      <c r="B10" s="8" t="s">
        <v>268</v>
      </c>
      <c r="C10" s="9">
        <v>341.392</v>
      </c>
      <c r="D10" s="10">
        <v>203.85772</v>
      </c>
      <c r="E10" s="9">
        <f t="shared" si="2"/>
        <v>59.713678117823498</v>
      </c>
      <c r="F10" s="9">
        <f t="shared" si="1"/>
        <v>-137.53428</v>
      </c>
    </row>
    <row r="11" spans="1:6">
      <c r="A11" s="7">
        <v>1030226001</v>
      </c>
      <c r="B11" s="8" t="s">
        <v>277</v>
      </c>
      <c r="C11" s="9">
        <v>0</v>
      </c>
      <c r="D11" s="10">
        <v>-20.425000000000001</v>
      </c>
      <c r="E11" s="9" t="e">
        <f t="shared" si="2"/>
        <v>#DIV/0!</v>
      </c>
      <c r="F11" s="9">
        <f t="shared" si="1"/>
        <v>-20.425000000000001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843</v>
      </c>
      <c r="D14" s="5">
        <f>D15+D16</f>
        <v>83.707129999999992</v>
      </c>
      <c r="E14" s="5">
        <f t="shared" si="0"/>
        <v>9.9296714116251472</v>
      </c>
      <c r="F14" s="5">
        <f t="shared" si="1"/>
        <v>-759.29286999999999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-2.2331400000000001</v>
      </c>
      <c r="E15" s="9">
        <f t="shared" si="0"/>
        <v>-0.69137461300309599</v>
      </c>
      <c r="F15" s="9">
        <f>SUM(D15-C15)</f>
        <v>-325.23313999999999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85.940269999999998</v>
      </c>
      <c r="E16" s="9">
        <f t="shared" si="0"/>
        <v>16.526975</v>
      </c>
      <c r="F16" s="9">
        <f t="shared" si="1"/>
        <v>-434.05973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1.2</v>
      </c>
      <c r="E17" s="5">
        <f t="shared" si="0"/>
        <v>24</v>
      </c>
      <c r="F17" s="5">
        <f t="shared" si="1"/>
        <v>-3.8</v>
      </c>
    </row>
    <row r="18" spans="1:6">
      <c r="A18" s="7">
        <v>1080400001</v>
      </c>
      <c r="B18" s="8" t="s">
        <v>224</v>
      </c>
      <c r="C18" s="9">
        <v>5</v>
      </c>
      <c r="D18" s="10">
        <v>1.2</v>
      </c>
      <c r="E18" s="9">
        <f t="shared" si="0"/>
        <v>24</v>
      </c>
      <c r="F18" s="9">
        <f t="shared" si="1"/>
        <v>-3.8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249.07481999999999</v>
      </c>
      <c r="E25" s="5">
        <f t="shared" si="0"/>
        <v>77.83588125</v>
      </c>
      <c r="F25" s="5">
        <f t="shared" si="1"/>
        <v>-70.925180000000012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249.07481999999999</v>
      </c>
      <c r="E26" s="5">
        <f t="shared" si="0"/>
        <v>77.83588125</v>
      </c>
      <c r="F26" s="5">
        <f t="shared" si="1"/>
        <v>-70.925180000000012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249.07481999999999</v>
      </c>
      <c r="E27" s="5">
        <f t="shared" si="0"/>
        <v>77.83588125</v>
      </c>
      <c r="F27" s="9">
        <f t="shared" si="1"/>
        <v>-70.925180000000012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256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hidden="1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1845.98</v>
      </c>
      <c r="D38" s="125">
        <f>D4+D25</f>
        <v>741.09397999999987</v>
      </c>
      <c r="E38" s="5">
        <f t="shared" si="0"/>
        <v>40.146371033272295</v>
      </c>
      <c r="F38" s="5">
        <f t="shared" si="1"/>
        <v>-1104.8860200000001</v>
      </c>
    </row>
    <row r="39" spans="1:8" s="6" customFormat="1">
      <c r="A39" s="3">
        <v>2000000000</v>
      </c>
      <c r="B39" s="4" t="s">
        <v>17</v>
      </c>
      <c r="C39" s="5">
        <f>C40+C42+C43+C45+C46+C47+C41</f>
        <v>11117.56732</v>
      </c>
      <c r="D39" s="5">
        <f>D40+D42+D43+D45+D46+D47+D41</f>
        <v>1659.9253799999999</v>
      </c>
      <c r="E39" s="5">
        <f t="shared" si="0"/>
        <v>14.930652832781766</v>
      </c>
      <c r="F39" s="5">
        <f t="shared" si="1"/>
        <v>-9457.6419399999995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1241.9749999999999</v>
      </c>
      <c r="E40" s="9">
        <f t="shared" si="0"/>
        <v>58.333333333333336</v>
      </c>
      <c r="F40" s="9">
        <f t="shared" si="1"/>
        <v>-887.125</v>
      </c>
    </row>
    <row r="41" spans="1:8" ht="15.75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5635.3174399999998</v>
      </c>
      <c r="D42" s="10">
        <v>270</v>
      </c>
      <c r="E42" s="9">
        <f t="shared" si="0"/>
        <v>4.7912119037610061</v>
      </c>
      <c r="F42" s="9">
        <f t="shared" si="1"/>
        <v>-5365.3174399999998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2432.99764</v>
      </c>
      <c r="D45" s="181">
        <v>81.376379999999997</v>
      </c>
      <c r="E45" s="9">
        <f t="shared" si="0"/>
        <v>3.344696215981533</v>
      </c>
      <c r="F45" s="9">
        <f t="shared" si="1"/>
        <v>-2351.6212599999999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0</v>
      </c>
      <c r="E46" s="9">
        <f>SUM(D46/C46*100)</f>
        <v>0</v>
      </c>
      <c r="F46" s="9">
        <f t="shared" si="1"/>
        <v>-825.84623999999997</v>
      </c>
      <c r="G46" s="240"/>
      <c r="H46" s="240"/>
    </row>
    <row r="47" spans="1:8" ht="15.75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35">
        <f>SUM(C38,C39,C48)</f>
        <v>12963.54732</v>
      </c>
      <c r="D49" s="436">
        <f>D38+D39</f>
        <v>2401.0193599999998</v>
      </c>
      <c r="E49" s="5">
        <f t="shared" si="0"/>
        <v>18.521314426767564</v>
      </c>
      <c r="F49" s="5">
        <f t="shared" si="1"/>
        <v>-10562.527959999999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-315.59134999999878</v>
      </c>
      <c r="D50" s="243">
        <f>D49-D96</f>
        <v>618.41216999999983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409</v>
      </c>
      <c r="D52" s="471" t="s">
        <v>416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1555.4279999999999</v>
      </c>
      <c r="D54" s="32">
        <f>D55+D56+D57+D58+D59+D61+D60</f>
        <v>557.26458000000002</v>
      </c>
      <c r="E54" s="34">
        <f>SUM(D54/C54*100)</f>
        <v>35.827089392758779</v>
      </c>
      <c r="F54" s="34">
        <f>SUM(D54-C54)</f>
        <v>-998.16341999999986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553.64458000000002</v>
      </c>
      <c r="E56" s="38">
        <f t="shared" ref="E56:E96" si="3">SUM(D56/C56*100)</f>
        <v>36.025618034263232</v>
      </c>
      <c r="F56" s="38">
        <f t="shared" ref="F56:F96" si="4">SUM(D56-C56)</f>
        <v>-983.16341999999997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hidden="1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10</v>
      </c>
      <c r="D60" s="40">
        <v>0</v>
      </c>
      <c r="E60" s="38">
        <f t="shared" si="3"/>
        <v>0</v>
      </c>
      <c r="F60" s="38">
        <f t="shared" si="4"/>
        <v>-10</v>
      </c>
    </row>
    <row r="61" spans="1:8" ht="15.75" customHeight="1">
      <c r="A61" s="35" t="s">
        <v>41</v>
      </c>
      <c r="B61" s="39" t="s">
        <v>42</v>
      </c>
      <c r="C61" s="37">
        <v>8.6199999999999992</v>
      </c>
      <c r="D61" s="37">
        <v>3.62</v>
      </c>
      <c r="E61" s="38">
        <f t="shared" si="3"/>
        <v>41.995359628770309</v>
      </c>
      <c r="F61" s="38">
        <f t="shared" si="4"/>
        <v>-4.9999999999999991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15.63635</v>
      </c>
      <c r="E62" s="34">
        <f t="shared" si="3"/>
        <v>16.580440268911843</v>
      </c>
      <c r="F62" s="34">
        <f t="shared" si="4"/>
        <v>-78.66964999999999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15.63635</v>
      </c>
      <c r="E63" s="38">
        <f t="shared" si="3"/>
        <v>16.580440268911843</v>
      </c>
      <c r="F63" s="38">
        <f t="shared" si="4"/>
        <v>-78.66964999999999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9.3313400000000009</v>
      </c>
      <c r="E64" s="34">
        <f t="shared" si="3"/>
        <v>55.440267976287096</v>
      </c>
      <c r="F64" s="34">
        <f t="shared" si="4"/>
        <v>-7.5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4.5</v>
      </c>
      <c r="E68" s="34">
        <f t="shared" si="3"/>
        <v>37.5</v>
      </c>
      <c r="F68" s="34">
        <f t="shared" si="4"/>
        <v>-7.5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>
      <c r="A70" s="30" t="s">
        <v>55</v>
      </c>
      <c r="B70" s="31" t="s">
        <v>56</v>
      </c>
      <c r="C70" s="48">
        <f>SUM(C71:C74)</f>
        <v>1609.6513499999999</v>
      </c>
      <c r="D70" s="48">
        <f>SUM(D71:D74)</f>
        <v>314</v>
      </c>
      <c r="E70" s="34">
        <f t="shared" si="3"/>
        <v>19.507329956887869</v>
      </c>
      <c r="F70" s="34">
        <f t="shared" si="4"/>
        <v>-1295.6513499999999</v>
      </c>
    </row>
    <row r="71" spans="1:7" ht="15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18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306.5</v>
      </c>
      <c r="E73" s="38">
        <f t="shared" si="3"/>
        <v>19.853462017881913</v>
      </c>
      <c r="F73" s="38">
        <f t="shared" si="4"/>
        <v>-1237.3113499999999</v>
      </c>
    </row>
    <row r="74" spans="1:7">
      <c r="A74" s="35" t="s">
        <v>63</v>
      </c>
      <c r="B74" s="39" t="s">
        <v>64</v>
      </c>
      <c r="C74" s="49">
        <v>65.84</v>
      </c>
      <c r="D74" s="37">
        <v>7.5</v>
      </c>
      <c r="E74" s="38">
        <f t="shared" si="3"/>
        <v>11.391251518833535</v>
      </c>
      <c r="F74" s="38">
        <f t="shared" si="4"/>
        <v>-58.34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8762.9689799999996</v>
      </c>
      <c r="D75" s="32">
        <f>SUM(D77:D78)</f>
        <v>182.85754</v>
      </c>
      <c r="E75" s="34">
        <f t="shared" si="3"/>
        <v>2.0867076035227505</v>
      </c>
      <c r="F75" s="34">
        <f t="shared" si="4"/>
        <v>-8580.1114399999988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8451.7503199999992</v>
      </c>
      <c r="D77" s="37">
        <v>62</v>
      </c>
      <c r="E77" s="38">
        <f t="shared" si="3"/>
        <v>0.73357585887605836</v>
      </c>
      <c r="F77" s="38">
        <f t="shared" si="4"/>
        <v>-8389.7503199999992</v>
      </c>
    </row>
    <row r="78" spans="1:7">
      <c r="A78" s="35" t="s">
        <v>71</v>
      </c>
      <c r="B78" s="39" t="s">
        <v>72</v>
      </c>
      <c r="C78" s="37">
        <v>311.21866</v>
      </c>
      <c r="D78" s="37">
        <v>120.85754</v>
      </c>
      <c r="E78" s="38">
        <f>SUM(D78/C78*100)</f>
        <v>38.833641915944241</v>
      </c>
      <c r="F78" s="38">
        <f t="shared" si="4"/>
        <v>-190.36112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700.96738000000005</v>
      </c>
      <c r="E79" s="34">
        <f t="shared" si="3"/>
        <v>57.224022472698955</v>
      </c>
      <c r="F79" s="34">
        <f t="shared" si="4"/>
        <v>-523.98561999999993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700.96738000000005</v>
      </c>
      <c r="E80" s="38">
        <f t="shared" si="3"/>
        <v>57.224022472698955</v>
      </c>
      <c r="F80" s="38">
        <f t="shared" si="4"/>
        <v>-523.98561999999993</v>
      </c>
    </row>
    <row r="81" spans="1:6" s="6" customFormat="1" ht="0.75" hidden="1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hidden="1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15</v>
      </c>
      <c r="D86" s="32">
        <f>D87+D88+D89+D90+D91</f>
        <v>2.5499999999999998</v>
      </c>
      <c r="E86" s="38">
        <f t="shared" si="3"/>
        <v>17</v>
      </c>
      <c r="F86" s="22">
        <f>F87+F88+F89+F90+F91</f>
        <v>-12.45</v>
      </c>
    </row>
    <row r="87" spans="1:6" ht="14.25" customHeight="1">
      <c r="A87" s="35" t="s">
        <v>94</v>
      </c>
      <c r="B87" s="39" t="s">
        <v>95</v>
      </c>
      <c r="C87" s="230">
        <v>15</v>
      </c>
      <c r="D87" s="230">
        <v>2.5499999999999998</v>
      </c>
      <c r="E87" s="38">
        <f t="shared" si="3"/>
        <v>17</v>
      </c>
      <c r="F87" s="38">
        <f>SUM(D87-C87)</f>
        <v>-12.45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36">
        <f>C54+C62+C64+C70+C75+C79+C86</f>
        <v>13279.138669999998</v>
      </c>
      <c r="D96" s="436">
        <f>D54+D62+D64+D70+D75+D79+D86</f>
        <v>1782.6071899999999</v>
      </c>
      <c r="E96" s="34">
        <f t="shared" si="3"/>
        <v>13.424117590000288</v>
      </c>
      <c r="F96" s="34">
        <f t="shared" si="4"/>
        <v>-11496.531479999998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 topLeftCell="A29">
      <selection activeCell="C79" sqref="C79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4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8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9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Q33"/>
  <sheetViews>
    <sheetView view="pageBreakPreview" topLeftCell="A4" zoomScale="75" zoomScaleNormal="100" zoomScaleSheetLayoutView="70" workbookViewId="0">
      <selection activeCell="I14" sqref="I14:I29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4" width="11.140625" style="148" customWidth="1"/>
    <col min="15" max="15" width="15" style="148" customWidth="1"/>
    <col min="16" max="16" width="15.85546875" style="148" customWidth="1"/>
    <col min="17" max="17" width="13" style="148" bestFit="1" customWidth="1"/>
    <col min="18" max="18" width="14.140625" style="148" customWidth="1"/>
    <col min="19" max="19" width="15.7109375" style="148" customWidth="1"/>
    <col min="20" max="20" width="10.140625" style="148" customWidth="1"/>
    <col min="21" max="21" width="16.7109375" style="148" bestFit="1" customWidth="1"/>
    <col min="22" max="22" width="17.28515625" style="148" bestFit="1" customWidth="1"/>
    <col min="23" max="23" width="10" style="148" customWidth="1"/>
    <col min="24" max="24" width="13.5703125" style="148" customWidth="1"/>
    <col min="25" max="25" width="14.7109375" style="148" customWidth="1"/>
    <col min="26" max="26" width="12.28515625" style="148" customWidth="1"/>
    <col min="27" max="27" width="15.140625" style="148" customWidth="1"/>
    <col min="28" max="28" width="13.42578125" style="148" customWidth="1"/>
    <col min="29" max="29" width="12.5703125" style="148" customWidth="1"/>
    <col min="30" max="31" width="14.85546875" style="148" customWidth="1"/>
    <col min="32" max="32" width="10.7109375" style="148" customWidth="1"/>
    <col min="33" max="33" width="17" style="148" customWidth="1"/>
    <col min="34" max="34" width="15.7109375" style="148" customWidth="1"/>
    <col min="35" max="35" width="10" style="148" customWidth="1"/>
    <col min="36" max="36" width="13.85546875" style="148" customWidth="1"/>
    <col min="37" max="37" width="12.28515625" style="148" customWidth="1"/>
    <col min="38" max="38" width="11.85546875" style="148" customWidth="1"/>
    <col min="39" max="39" width="11" style="148" customWidth="1"/>
    <col min="40" max="40" width="14.5703125" style="148" customWidth="1"/>
    <col min="41" max="41" width="13.7109375" style="148" customWidth="1"/>
    <col min="42" max="42" width="15.42578125" style="148" customWidth="1"/>
    <col min="43" max="43" width="16" style="148" customWidth="1"/>
    <col min="44" max="44" width="16.28515625" style="148" customWidth="1"/>
    <col min="45" max="45" width="14.28515625" style="148" customWidth="1"/>
    <col min="46" max="46" width="15.42578125" style="148" customWidth="1"/>
    <col min="47" max="47" width="11" style="148" customWidth="1"/>
    <col min="48" max="48" width="14.42578125" style="148" customWidth="1"/>
    <col min="49" max="49" width="14.7109375" style="148" customWidth="1"/>
    <col min="50" max="50" width="12.42578125" style="148" customWidth="1"/>
    <col min="51" max="51" width="9.42578125" style="148" hidden="1" customWidth="1"/>
    <col min="52" max="52" width="9.7109375" style="148" hidden="1" customWidth="1"/>
    <col min="53" max="53" width="11.85546875" style="148" hidden="1" customWidth="1"/>
    <col min="54" max="54" width="13.85546875" style="148" customWidth="1"/>
    <col min="55" max="55" width="12.85546875" style="148" customWidth="1"/>
    <col min="56" max="56" width="11.7109375" style="148" customWidth="1"/>
    <col min="57" max="59" width="9.85546875" style="148" hidden="1" customWidth="1"/>
    <col min="60" max="60" width="17.42578125" style="148" customWidth="1"/>
    <col min="61" max="61" width="14" style="148" customWidth="1"/>
    <col min="62" max="62" width="16" style="148" customWidth="1"/>
    <col min="63" max="64" width="9.7109375" style="148" hidden="1" customWidth="1"/>
    <col min="65" max="65" width="17.7109375" style="148" hidden="1" customWidth="1"/>
    <col min="66" max="66" width="0.42578125" style="148" hidden="1" customWidth="1"/>
    <col min="67" max="67" width="20.5703125" style="148" hidden="1" customWidth="1"/>
    <col min="68" max="68" width="10.140625" style="148" hidden="1" customWidth="1"/>
    <col min="69" max="69" width="12.7109375" style="148" customWidth="1"/>
    <col min="70" max="70" width="11.5703125" style="148" customWidth="1"/>
    <col min="71" max="71" width="16.140625" style="148" customWidth="1"/>
    <col min="72" max="72" width="11.85546875" style="148" customWidth="1"/>
    <col min="73" max="73" width="10.5703125" style="148" customWidth="1"/>
    <col min="74" max="74" width="12.42578125" style="148" customWidth="1"/>
    <col min="75" max="76" width="9.7109375" style="148" hidden="1" customWidth="1"/>
    <col min="77" max="77" width="9.5703125" style="148" hidden="1" customWidth="1"/>
    <col min="78" max="78" width="9.42578125" style="148" hidden="1" customWidth="1"/>
    <col min="79" max="79" width="9.7109375" style="148" hidden="1" customWidth="1"/>
    <col min="80" max="80" width="10.140625" style="148" hidden="1" customWidth="1"/>
    <col min="81" max="81" width="20" style="148" customWidth="1"/>
    <col min="82" max="82" width="15.28515625" style="148" customWidth="1"/>
    <col min="83" max="83" width="10" style="148" customWidth="1"/>
    <col min="84" max="84" width="16.42578125" style="148" customWidth="1"/>
    <col min="85" max="85" width="15.7109375" style="148" customWidth="1"/>
    <col min="86" max="86" width="12.140625" style="148" customWidth="1"/>
    <col min="87" max="87" width="20.42578125" style="148" customWidth="1"/>
    <col min="88" max="88" width="21.42578125" style="148" customWidth="1"/>
    <col min="89" max="89" width="18.42578125" style="148" customWidth="1"/>
    <col min="90" max="90" width="18.5703125" style="148" customWidth="1"/>
    <col min="91" max="91" width="16.5703125" style="148" customWidth="1"/>
    <col min="92" max="92" width="10" style="148" customWidth="1"/>
    <col min="93" max="93" width="19.85546875" style="148" customWidth="1"/>
    <col min="94" max="94" width="18" style="148" customWidth="1"/>
    <col min="95" max="95" width="13.28515625" style="148" customWidth="1"/>
    <col min="96" max="96" width="19.85546875" style="148" customWidth="1"/>
    <col min="97" max="97" width="22.28515625" style="148" customWidth="1"/>
    <col min="98" max="98" width="14.85546875" style="148" customWidth="1"/>
    <col min="99" max="99" width="16.7109375" style="148" customWidth="1"/>
    <col min="100" max="100" width="16.85546875" style="148" customWidth="1"/>
    <col min="101" max="101" width="14.5703125" style="148" bestFit="1" customWidth="1"/>
    <col min="102" max="102" width="13.140625" style="148" bestFit="1" customWidth="1"/>
    <col min="103" max="103" width="14.42578125" style="148" customWidth="1"/>
    <col min="104" max="104" width="14.28515625" style="148" customWidth="1"/>
    <col min="105" max="106" width="9.85546875" style="148" hidden="1" customWidth="1"/>
    <col min="107" max="107" width="14.42578125" style="148" hidden="1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4" width="17.5703125" style="148" customWidth="1"/>
    <col min="115" max="115" width="20.28515625" style="148" customWidth="1"/>
    <col min="116" max="116" width="13.140625" style="148" bestFit="1" customWidth="1"/>
    <col min="117" max="117" width="18.140625" style="148" bestFit="1" customWidth="1"/>
    <col min="118" max="118" width="20.5703125" style="148" customWidth="1"/>
    <col min="119" max="119" width="13.28515625" style="148" customWidth="1"/>
    <col min="120" max="120" width="16.7109375" style="148" customWidth="1"/>
    <col min="121" max="121" width="16.85546875" style="148" customWidth="1"/>
    <col min="122" max="122" width="12.28515625" style="148" customWidth="1"/>
    <col min="123" max="123" width="15.28515625" style="148" customWidth="1"/>
    <col min="124" max="124" width="14.28515625" style="148" customWidth="1"/>
    <col min="125" max="125" width="13.85546875" style="148" customWidth="1"/>
    <col min="126" max="126" width="18.85546875" style="148" customWidth="1"/>
    <col min="127" max="127" width="13.7109375" style="148" customWidth="1"/>
    <col min="128" max="128" width="10.140625" style="148" customWidth="1"/>
    <col min="129" max="129" width="16" style="148" customWidth="1"/>
    <col min="130" max="130" width="14.28515625" style="148" customWidth="1"/>
    <col min="131" max="131" width="10.140625" style="148" customWidth="1"/>
    <col min="132" max="132" width="15.140625" style="148" customWidth="1"/>
    <col min="133" max="133" width="18.5703125" style="148" customWidth="1"/>
    <col min="134" max="134" width="10.140625" style="148" customWidth="1"/>
    <col min="135" max="135" width="15.28515625" style="148" customWidth="1"/>
    <col min="136" max="136" width="12.42578125" style="148" customWidth="1"/>
    <col min="137" max="137" width="10.140625" style="148" customWidth="1"/>
    <col min="138" max="138" width="16" style="148" customWidth="1"/>
    <col min="139" max="139" width="14.85546875" style="148" customWidth="1"/>
    <col min="140" max="140" width="10.5703125" style="148" customWidth="1"/>
    <col min="141" max="141" width="17.28515625" style="148" customWidth="1"/>
    <col min="142" max="142" width="15.85546875" style="148" customWidth="1"/>
    <col min="143" max="143" width="8.7109375" style="148" customWidth="1"/>
    <col min="144" max="144" width="14.5703125" style="148" customWidth="1"/>
    <col min="145" max="145" width="14.7109375" style="148" customWidth="1"/>
    <col min="146" max="147" width="10.140625" style="148" customWidth="1"/>
    <col min="148" max="148" width="8.140625" style="148" customWidth="1"/>
    <col min="149" max="149" width="11.42578125" style="148" customWidth="1"/>
    <col min="150" max="150" width="12" style="148" customWidth="1"/>
    <col min="151" max="151" width="12.5703125" style="148" customWidth="1"/>
    <col min="152" max="152" width="8.7109375" style="148" customWidth="1"/>
    <col min="153" max="153" width="9.85546875" style="148" customWidth="1"/>
    <col min="154" max="154" width="9" style="148" customWidth="1"/>
    <col min="155" max="155" width="11.28515625" style="148" customWidth="1"/>
    <col min="156" max="156" width="19" style="148" customWidth="1"/>
    <col min="157" max="157" width="15.28515625" style="148" customWidth="1"/>
    <col min="158" max="158" width="12.7109375" style="148" customWidth="1"/>
    <col min="159" max="159" width="14.85546875" style="148" customWidth="1"/>
    <col min="160" max="16384" width="9.140625" style="148"/>
  </cols>
  <sheetData>
    <row r="1" spans="1:162" ht="18" customHeight="1">
      <c r="AA1" s="510" t="s">
        <v>134</v>
      </c>
      <c r="AB1" s="510"/>
      <c r="AC1" s="510"/>
      <c r="AD1" s="151"/>
      <c r="AE1" s="151"/>
      <c r="AF1" s="151"/>
      <c r="AG1" s="505"/>
      <c r="AH1" s="505"/>
      <c r="AI1" s="505"/>
      <c r="AJ1" s="152"/>
      <c r="AK1" s="152"/>
      <c r="AL1" s="152"/>
      <c r="AM1" s="152"/>
      <c r="AN1" s="152"/>
      <c r="AO1" s="152"/>
    </row>
    <row r="2" spans="1:162" ht="19.5" customHeight="1">
      <c r="AA2" s="152" t="s">
        <v>135</v>
      </c>
      <c r="AB2" s="152"/>
      <c r="AC2" s="152"/>
      <c r="AD2" s="150"/>
      <c r="AE2" s="150"/>
      <c r="AF2" s="150"/>
      <c r="AG2" s="505"/>
      <c r="AH2" s="505"/>
      <c r="AI2" s="505"/>
      <c r="AJ2" s="152"/>
      <c r="AK2" s="152"/>
      <c r="AL2" s="152"/>
      <c r="AM2" s="152"/>
      <c r="AN2" s="152"/>
      <c r="AO2" s="152"/>
    </row>
    <row r="3" spans="1:162" ht="30.75" customHeight="1">
      <c r="A3" s="153"/>
      <c r="B3" s="350"/>
      <c r="C3" s="350"/>
      <c r="D3" s="351"/>
      <c r="E3" s="350"/>
      <c r="F3" s="350"/>
      <c r="G3" s="350"/>
      <c r="H3" s="350"/>
      <c r="I3" s="350"/>
      <c r="J3" s="350"/>
      <c r="K3" s="350"/>
      <c r="L3" s="350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515" t="s">
        <v>136</v>
      </c>
      <c r="AB3" s="515"/>
      <c r="AC3" s="515"/>
      <c r="AD3" s="153"/>
      <c r="AE3" s="153"/>
      <c r="AF3" s="153"/>
      <c r="AG3" s="509"/>
      <c r="AH3" s="509"/>
      <c r="AI3" s="509"/>
      <c r="AJ3" s="154"/>
      <c r="AK3" s="154"/>
      <c r="AL3" s="154"/>
      <c r="AM3" s="154"/>
      <c r="AN3" s="154"/>
      <c r="AO3" s="154"/>
      <c r="AP3" s="153"/>
      <c r="AQ3" s="153"/>
      <c r="AR3" s="153"/>
      <c r="AS3" s="153"/>
      <c r="AT3" s="153"/>
      <c r="AU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</row>
    <row r="4" spans="1:162" ht="24" customHeight="1">
      <c r="B4" s="513" t="s">
        <v>137</v>
      </c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513"/>
      <c r="AB4" s="513"/>
      <c r="AC4" s="513"/>
      <c r="AD4" s="155"/>
      <c r="AE4" s="155"/>
      <c r="AF4" s="155"/>
      <c r="AG4" s="155"/>
      <c r="AH4" s="155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1:162" ht="20.25" customHeight="1">
      <c r="B5" s="511" t="s">
        <v>417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156"/>
      <c r="AE5" s="156"/>
      <c r="AF5" s="156"/>
      <c r="AG5" s="156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</row>
    <row r="6" spans="1:162" ht="15" customHeight="1">
      <c r="A6" s="153"/>
      <c r="B6" s="353"/>
      <c r="C6" s="354"/>
      <c r="D6" s="355"/>
      <c r="E6" s="353"/>
      <c r="F6" s="353"/>
      <c r="G6" s="356"/>
      <c r="H6" s="356"/>
      <c r="I6" s="356"/>
      <c r="J6" s="356"/>
      <c r="K6" s="356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  <c r="Y6" s="512"/>
      <c r="Z6" s="512"/>
      <c r="AA6" s="512"/>
      <c r="AB6" s="353"/>
      <c r="AC6" s="356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Z6" s="153"/>
      <c r="FA6" s="153"/>
      <c r="FB6" s="153"/>
    </row>
    <row r="7" spans="1:162" s="157" customFormat="1" ht="15" customHeight="1">
      <c r="A7" s="504" t="s">
        <v>138</v>
      </c>
      <c r="B7" s="504" t="s">
        <v>139</v>
      </c>
      <c r="C7" s="495" t="s">
        <v>140</v>
      </c>
      <c r="D7" s="496"/>
      <c r="E7" s="497"/>
      <c r="F7" s="277" t="s">
        <v>141</v>
      </c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9"/>
      <c r="DG7" s="278"/>
      <c r="DH7" s="278"/>
      <c r="DI7" s="279"/>
      <c r="DJ7" s="495" t="s">
        <v>142</v>
      </c>
      <c r="DK7" s="496"/>
      <c r="DL7" s="497"/>
      <c r="DM7" s="495"/>
      <c r="DN7" s="496"/>
      <c r="DO7" s="496"/>
      <c r="DP7" s="496"/>
      <c r="DQ7" s="496"/>
      <c r="DR7" s="496"/>
      <c r="DS7" s="496"/>
      <c r="DT7" s="496"/>
      <c r="DU7" s="496"/>
      <c r="DV7" s="496"/>
      <c r="DW7" s="496"/>
      <c r="DX7" s="496"/>
      <c r="DY7" s="496"/>
      <c r="DZ7" s="496"/>
      <c r="EA7" s="496"/>
      <c r="EB7" s="496"/>
      <c r="EC7" s="496"/>
      <c r="ED7" s="496"/>
      <c r="EE7" s="496"/>
      <c r="EF7" s="496"/>
      <c r="EG7" s="496"/>
      <c r="EH7" s="496"/>
      <c r="EI7" s="496"/>
      <c r="EJ7" s="496"/>
      <c r="EK7" s="496"/>
      <c r="EL7" s="496"/>
      <c r="EM7" s="496"/>
      <c r="EN7" s="496"/>
      <c r="EO7" s="496"/>
      <c r="EP7" s="496"/>
      <c r="EQ7" s="496"/>
      <c r="ER7" s="496"/>
      <c r="ES7" s="496"/>
      <c r="ET7" s="496"/>
      <c r="EU7" s="496"/>
      <c r="EV7" s="496"/>
      <c r="EW7" s="496"/>
      <c r="EX7" s="496"/>
      <c r="EY7" s="497"/>
      <c r="EZ7" s="495" t="s">
        <v>143</v>
      </c>
      <c r="FA7" s="496"/>
      <c r="FB7" s="497"/>
    </row>
    <row r="8" spans="1:162" s="157" customFormat="1" ht="15" customHeight="1">
      <c r="A8" s="504"/>
      <c r="B8" s="504"/>
      <c r="C8" s="498"/>
      <c r="D8" s="499"/>
      <c r="E8" s="500"/>
      <c r="F8" s="498" t="s">
        <v>144</v>
      </c>
      <c r="G8" s="499"/>
      <c r="H8" s="500"/>
      <c r="I8" s="482"/>
      <c r="J8" s="482"/>
      <c r="K8" s="482"/>
      <c r="L8" s="506" t="s">
        <v>145</v>
      </c>
      <c r="M8" s="507"/>
      <c r="N8" s="507"/>
      <c r="O8" s="507"/>
      <c r="P8" s="507"/>
      <c r="Q8" s="507"/>
      <c r="R8" s="507"/>
      <c r="S8" s="507"/>
      <c r="T8" s="507"/>
      <c r="U8" s="507"/>
      <c r="V8" s="507"/>
      <c r="W8" s="507"/>
      <c r="X8" s="507"/>
      <c r="Y8" s="507"/>
      <c r="Z8" s="507"/>
      <c r="AA8" s="507"/>
      <c r="AB8" s="507"/>
      <c r="AC8" s="507"/>
      <c r="AD8" s="507"/>
      <c r="AE8" s="507"/>
      <c r="AF8" s="507"/>
      <c r="AG8" s="507"/>
      <c r="AH8" s="507"/>
      <c r="AI8" s="507"/>
      <c r="AJ8" s="507"/>
      <c r="AK8" s="507"/>
      <c r="AL8" s="507"/>
      <c r="AM8" s="507"/>
      <c r="AN8" s="507"/>
      <c r="AO8" s="507"/>
      <c r="AP8" s="507"/>
      <c r="AQ8" s="507"/>
      <c r="AR8" s="507"/>
      <c r="AS8" s="507"/>
      <c r="AT8" s="507"/>
      <c r="AU8" s="507"/>
      <c r="AV8" s="507"/>
      <c r="AW8" s="507"/>
      <c r="AX8" s="507"/>
      <c r="AY8" s="507"/>
      <c r="AZ8" s="507"/>
      <c r="BA8" s="508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1"/>
      <c r="BW8" s="282"/>
      <c r="BX8" s="282"/>
      <c r="BY8" s="282"/>
      <c r="BZ8" s="283"/>
      <c r="CA8" s="283"/>
      <c r="CB8" s="283"/>
      <c r="CC8" s="504" t="s">
        <v>146</v>
      </c>
      <c r="CD8" s="504"/>
      <c r="CE8" s="504"/>
      <c r="CF8" s="501" t="s">
        <v>145</v>
      </c>
      <c r="CG8" s="502"/>
      <c r="CH8" s="502"/>
      <c r="CI8" s="502"/>
      <c r="CJ8" s="502"/>
      <c r="CK8" s="502"/>
      <c r="CL8" s="502"/>
      <c r="CM8" s="502"/>
      <c r="CN8" s="502"/>
      <c r="CO8" s="502"/>
      <c r="CP8" s="502"/>
      <c r="CQ8" s="502"/>
      <c r="CR8" s="284"/>
      <c r="CS8" s="284"/>
      <c r="CT8" s="284"/>
      <c r="CU8" s="284"/>
      <c r="CV8" s="284"/>
      <c r="CW8" s="284"/>
      <c r="CX8" s="285"/>
      <c r="CY8" s="285"/>
      <c r="CZ8" s="286"/>
      <c r="DA8" s="498" t="s">
        <v>147</v>
      </c>
      <c r="DB8" s="499"/>
      <c r="DC8" s="500"/>
      <c r="DD8" s="492"/>
      <c r="DE8" s="493"/>
      <c r="DF8" s="494"/>
      <c r="DG8" s="492"/>
      <c r="DH8" s="493"/>
      <c r="DI8" s="494"/>
      <c r="DJ8" s="498"/>
      <c r="DK8" s="499"/>
      <c r="DL8" s="500"/>
      <c r="DM8" s="498" t="s">
        <v>145</v>
      </c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500"/>
      <c r="EZ8" s="498"/>
      <c r="FA8" s="499"/>
      <c r="FB8" s="500"/>
    </row>
    <row r="9" spans="1:162" s="157" customFormat="1" ht="15" customHeight="1">
      <c r="A9" s="504"/>
      <c r="B9" s="504"/>
      <c r="C9" s="498"/>
      <c r="D9" s="499"/>
      <c r="E9" s="500"/>
      <c r="F9" s="498"/>
      <c r="G9" s="499"/>
      <c r="H9" s="500"/>
      <c r="I9" s="482"/>
      <c r="J9" s="482"/>
      <c r="K9" s="482"/>
      <c r="L9" s="495" t="s">
        <v>148</v>
      </c>
      <c r="M9" s="496"/>
      <c r="N9" s="497"/>
      <c r="O9" s="495" t="s">
        <v>279</v>
      </c>
      <c r="P9" s="496"/>
      <c r="Q9" s="497"/>
      <c r="R9" s="495" t="s">
        <v>282</v>
      </c>
      <c r="S9" s="496"/>
      <c r="T9" s="497"/>
      <c r="U9" s="495" t="s">
        <v>280</v>
      </c>
      <c r="V9" s="496"/>
      <c r="W9" s="497"/>
      <c r="X9" s="495" t="s">
        <v>281</v>
      </c>
      <c r="Y9" s="496"/>
      <c r="Z9" s="497"/>
      <c r="AA9" s="495" t="s">
        <v>149</v>
      </c>
      <c r="AB9" s="496"/>
      <c r="AC9" s="497"/>
      <c r="AD9" s="495" t="s">
        <v>150</v>
      </c>
      <c r="AE9" s="496"/>
      <c r="AF9" s="497"/>
      <c r="AG9" s="495" t="s">
        <v>151</v>
      </c>
      <c r="AH9" s="496"/>
      <c r="AI9" s="497"/>
      <c r="AJ9" s="504" t="s">
        <v>152</v>
      </c>
      <c r="AK9" s="504"/>
      <c r="AL9" s="504"/>
      <c r="AM9" s="495" t="s">
        <v>244</v>
      </c>
      <c r="AN9" s="496"/>
      <c r="AO9" s="497"/>
      <c r="AP9" s="495" t="s">
        <v>153</v>
      </c>
      <c r="AQ9" s="496"/>
      <c r="AR9" s="497"/>
      <c r="AS9" s="495" t="s">
        <v>327</v>
      </c>
      <c r="AT9" s="496"/>
      <c r="AU9" s="497"/>
      <c r="AV9" s="495" t="s">
        <v>154</v>
      </c>
      <c r="AW9" s="496"/>
      <c r="AX9" s="497"/>
      <c r="AY9" s="495" t="s">
        <v>155</v>
      </c>
      <c r="AZ9" s="496"/>
      <c r="BA9" s="497"/>
      <c r="BB9" s="495" t="s">
        <v>246</v>
      </c>
      <c r="BC9" s="496"/>
      <c r="BD9" s="497"/>
      <c r="BE9" s="495" t="s">
        <v>337</v>
      </c>
      <c r="BF9" s="496"/>
      <c r="BG9" s="497"/>
      <c r="BH9" s="495" t="s">
        <v>400</v>
      </c>
      <c r="BI9" s="496"/>
      <c r="BJ9" s="497"/>
      <c r="BK9" s="495" t="s">
        <v>156</v>
      </c>
      <c r="BL9" s="496"/>
      <c r="BM9" s="497"/>
      <c r="BN9" s="495" t="s">
        <v>272</v>
      </c>
      <c r="BO9" s="496"/>
      <c r="BP9" s="497"/>
      <c r="BQ9" s="495" t="s">
        <v>242</v>
      </c>
      <c r="BR9" s="496"/>
      <c r="BS9" s="497"/>
      <c r="BT9" s="495" t="s">
        <v>157</v>
      </c>
      <c r="BU9" s="496"/>
      <c r="BV9" s="497"/>
      <c r="BW9" s="495" t="s">
        <v>158</v>
      </c>
      <c r="BX9" s="496"/>
      <c r="BY9" s="497"/>
      <c r="BZ9" s="498" t="s">
        <v>159</v>
      </c>
      <c r="CA9" s="499"/>
      <c r="CB9" s="499"/>
      <c r="CC9" s="504"/>
      <c r="CD9" s="504"/>
      <c r="CE9" s="504"/>
      <c r="CF9" s="495" t="s">
        <v>328</v>
      </c>
      <c r="CG9" s="496"/>
      <c r="CH9" s="497"/>
      <c r="CI9" s="495" t="s">
        <v>329</v>
      </c>
      <c r="CJ9" s="496"/>
      <c r="CK9" s="497"/>
      <c r="CL9" s="495" t="s">
        <v>160</v>
      </c>
      <c r="CM9" s="496"/>
      <c r="CN9" s="497"/>
      <c r="CO9" s="495" t="s">
        <v>161</v>
      </c>
      <c r="CP9" s="496"/>
      <c r="CQ9" s="497"/>
      <c r="CR9" s="495" t="s">
        <v>21</v>
      </c>
      <c r="CS9" s="496"/>
      <c r="CT9" s="497"/>
      <c r="CU9" s="495" t="s">
        <v>289</v>
      </c>
      <c r="CV9" s="496"/>
      <c r="CW9" s="497"/>
      <c r="CX9" s="495" t="s">
        <v>330</v>
      </c>
      <c r="CY9" s="496"/>
      <c r="CZ9" s="497"/>
      <c r="DA9" s="498"/>
      <c r="DB9" s="499"/>
      <c r="DC9" s="500"/>
      <c r="DD9" s="495" t="s">
        <v>257</v>
      </c>
      <c r="DE9" s="496"/>
      <c r="DF9" s="497"/>
      <c r="DG9" s="504" t="s">
        <v>162</v>
      </c>
      <c r="DH9" s="504"/>
      <c r="DI9" s="504"/>
      <c r="DJ9" s="498"/>
      <c r="DK9" s="499"/>
      <c r="DL9" s="500"/>
      <c r="DM9" s="524" t="s">
        <v>163</v>
      </c>
      <c r="DN9" s="525"/>
      <c r="DO9" s="526"/>
      <c r="DP9" s="518" t="s">
        <v>141</v>
      </c>
      <c r="DQ9" s="519"/>
      <c r="DR9" s="519"/>
      <c r="DS9" s="519"/>
      <c r="DT9" s="519"/>
      <c r="DU9" s="519"/>
      <c r="DV9" s="519"/>
      <c r="DW9" s="519"/>
      <c r="DX9" s="519"/>
      <c r="DY9" s="519"/>
      <c r="DZ9" s="519"/>
      <c r="EA9" s="520"/>
      <c r="EB9" s="524" t="s">
        <v>164</v>
      </c>
      <c r="EC9" s="525"/>
      <c r="ED9" s="526"/>
      <c r="EE9" s="524" t="s">
        <v>165</v>
      </c>
      <c r="EF9" s="525"/>
      <c r="EG9" s="526"/>
      <c r="EH9" s="524" t="s">
        <v>166</v>
      </c>
      <c r="EI9" s="525"/>
      <c r="EJ9" s="526"/>
      <c r="EK9" s="524" t="s">
        <v>167</v>
      </c>
      <c r="EL9" s="525"/>
      <c r="EM9" s="526"/>
      <c r="EN9" s="495" t="s">
        <v>283</v>
      </c>
      <c r="EO9" s="496"/>
      <c r="EP9" s="497"/>
      <c r="EQ9" s="495" t="s">
        <v>168</v>
      </c>
      <c r="ER9" s="496"/>
      <c r="ES9" s="497"/>
      <c r="ET9" s="495" t="s">
        <v>315</v>
      </c>
      <c r="EU9" s="496"/>
      <c r="EV9" s="497"/>
      <c r="EW9" s="504" t="s">
        <v>285</v>
      </c>
      <c r="EX9" s="504"/>
      <c r="EY9" s="504"/>
      <c r="EZ9" s="498"/>
      <c r="FA9" s="499"/>
      <c r="FB9" s="500"/>
    </row>
    <row r="10" spans="1:162" s="157" customFormat="1" ht="62.25" customHeight="1">
      <c r="A10" s="504"/>
      <c r="B10" s="504"/>
      <c r="C10" s="498"/>
      <c r="D10" s="499"/>
      <c r="E10" s="500"/>
      <c r="F10" s="498"/>
      <c r="G10" s="499"/>
      <c r="H10" s="500"/>
      <c r="I10" s="482"/>
      <c r="J10" s="482"/>
      <c r="K10" s="482"/>
      <c r="L10" s="498"/>
      <c r="M10" s="499"/>
      <c r="N10" s="500"/>
      <c r="O10" s="498"/>
      <c r="P10" s="499"/>
      <c r="Q10" s="500"/>
      <c r="R10" s="498"/>
      <c r="S10" s="499"/>
      <c r="T10" s="500"/>
      <c r="U10" s="498"/>
      <c r="V10" s="499"/>
      <c r="W10" s="500"/>
      <c r="X10" s="498"/>
      <c r="Y10" s="499"/>
      <c r="Z10" s="500"/>
      <c r="AA10" s="498"/>
      <c r="AB10" s="499"/>
      <c r="AC10" s="500"/>
      <c r="AD10" s="498"/>
      <c r="AE10" s="499"/>
      <c r="AF10" s="500"/>
      <c r="AG10" s="498"/>
      <c r="AH10" s="499"/>
      <c r="AI10" s="500"/>
      <c r="AJ10" s="504"/>
      <c r="AK10" s="504"/>
      <c r="AL10" s="504"/>
      <c r="AM10" s="498"/>
      <c r="AN10" s="499"/>
      <c r="AO10" s="500"/>
      <c r="AP10" s="498"/>
      <c r="AQ10" s="499"/>
      <c r="AR10" s="500"/>
      <c r="AS10" s="498"/>
      <c r="AT10" s="499"/>
      <c r="AU10" s="500"/>
      <c r="AV10" s="498"/>
      <c r="AW10" s="499"/>
      <c r="AX10" s="500"/>
      <c r="AY10" s="498"/>
      <c r="AZ10" s="499"/>
      <c r="BA10" s="500"/>
      <c r="BB10" s="498"/>
      <c r="BC10" s="499"/>
      <c r="BD10" s="500"/>
      <c r="BE10" s="498"/>
      <c r="BF10" s="499"/>
      <c r="BG10" s="500"/>
      <c r="BH10" s="498"/>
      <c r="BI10" s="499"/>
      <c r="BJ10" s="500"/>
      <c r="BK10" s="498"/>
      <c r="BL10" s="499"/>
      <c r="BM10" s="500"/>
      <c r="BN10" s="498"/>
      <c r="BO10" s="499"/>
      <c r="BP10" s="500"/>
      <c r="BQ10" s="498"/>
      <c r="BR10" s="499"/>
      <c r="BS10" s="500"/>
      <c r="BT10" s="498"/>
      <c r="BU10" s="499"/>
      <c r="BV10" s="500"/>
      <c r="BW10" s="498"/>
      <c r="BX10" s="499"/>
      <c r="BY10" s="500"/>
      <c r="BZ10" s="498"/>
      <c r="CA10" s="499"/>
      <c r="CB10" s="499"/>
      <c r="CC10" s="504"/>
      <c r="CD10" s="504"/>
      <c r="CE10" s="504"/>
      <c r="CF10" s="498"/>
      <c r="CG10" s="499"/>
      <c r="CH10" s="500"/>
      <c r="CI10" s="498"/>
      <c r="CJ10" s="499"/>
      <c r="CK10" s="500"/>
      <c r="CL10" s="498"/>
      <c r="CM10" s="499"/>
      <c r="CN10" s="500"/>
      <c r="CO10" s="498"/>
      <c r="CP10" s="499"/>
      <c r="CQ10" s="500"/>
      <c r="CR10" s="498"/>
      <c r="CS10" s="499"/>
      <c r="CT10" s="500"/>
      <c r="CU10" s="498"/>
      <c r="CV10" s="499"/>
      <c r="CW10" s="500"/>
      <c r="CX10" s="498"/>
      <c r="CY10" s="499"/>
      <c r="CZ10" s="500"/>
      <c r="DA10" s="498"/>
      <c r="DB10" s="499"/>
      <c r="DC10" s="500"/>
      <c r="DD10" s="498"/>
      <c r="DE10" s="499"/>
      <c r="DF10" s="500"/>
      <c r="DG10" s="504"/>
      <c r="DH10" s="504"/>
      <c r="DI10" s="504"/>
      <c r="DJ10" s="498"/>
      <c r="DK10" s="499"/>
      <c r="DL10" s="500"/>
      <c r="DM10" s="527"/>
      <c r="DN10" s="528"/>
      <c r="DO10" s="529"/>
      <c r="DP10" s="287"/>
      <c r="DQ10" s="288"/>
      <c r="DR10" s="288"/>
      <c r="DS10" s="289"/>
      <c r="DT10" s="289"/>
      <c r="DU10" s="289"/>
      <c r="DV10" s="288"/>
      <c r="DW10" s="288"/>
      <c r="DX10" s="288"/>
      <c r="DY10" s="288"/>
      <c r="DZ10" s="288"/>
      <c r="EA10" s="290"/>
      <c r="EB10" s="527"/>
      <c r="EC10" s="528"/>
      <c r="ED10" s="529"/>
      <c r="EE10" s="527"/>
      <c r="EF10" s="528"/>
      <c r="EG10" s="529"/>
      <c r="EH10" s="527"/>
      <c r="EI10" s="528"/>
      <c r="EJ10" s="529"/>
      <c r="EK10" s="527"/>
      <c r="EL10" s="528"/>
      <c r="EM10" s="529"/>
      <c r="EN10" s="498"/>
      <c r="EO10" s="499"/>
      <c r="EP10" s="500"/>
      <c r="EQ10" s="498"/>
      <c r="ER10" s="499"/>
      <c r="ES10" s="500"/>
      <c r="ET10" s="498"/>
      <c r="EU10" s="499"/>
      <c r="EV10" s="500"/>
      <c r="EW10" s="504"/>
      <c r="EX10" s="504"/>
      <c r="EY10" s="504"/>
      <c r="EZ10" s="498"/>
      <c r="FA10" s="499"/>
      <c r="FB10" s="500"/>
    </row>
    <row r="11" spans="1:162" s="157" customFormat="1" ht="109.5" customHeight="1">
      <c r="A11" s="504"/>
      <c r="B11" s="504"/>
      <c r="C11" s="501"/>
      <c r="D11" s="502"/>
      <c r="E11" s="514"/>
      <c r="F11" s="501"/>
      <c r="G11" s="502"/>
      <c r="H11" s="503"/>
      <c r="I11" s="483"/>
      <c r="J11" s="483"/>
      <c r="K11" s="483"/>
      <c r="L11" s="501"/>
      <c r="M11" s="502"/>
      <c r="N11" s="503"/>
      <c r="O11" s="501"/>
      <c r="P11" s="502"/>
      <c r="Q11" s="503"/>
      <c r="R11" s="501"/>
      <c r="S11" s="502"/>
      <c r="T11" s="503"/>
      <c r="U11" s="501"/>
      <c r="V11" s="502"/>
      <c r="W11" s="503"/>
      <c r="X11" s="501"/>
      <c r="Y11" s="502"/>
      <c r="Z11" s="503"/>
      <c r="AA11" s="501"/>
      <c r="AB11" s="502"/>
      <c r="AC11" s="503"/>
      <c r="AD11" s="501"/>
      <c r="AE11" s="502"/>
      <c r="AF11" s="503"/>
      <c r="AG11" s="501"/>
      <c r="AH11" s="502"/>
      <c r="AI11" s="503"/>
      <c r="AJ11" s="504"/>
      <c r="AK11" s="504"/>
      <c r="AL11" s="504"/>
      <c r="AM11" s="501"/>
      <c r="AN11" s="502"/>
      <c r="AO11" s="503"/>
      <c r="AP11" s="501"/>
      <c r="AQ11" s="502"/>
      <c r="AR11" s="503"/>
      <c r="AS11" s="501"/>
      <c r="AT11" s="502"/>
      <c r="AU11" s="503"/>
      <c r="AV11" s="501"/>
      <c r="AW11" s="502"/>
      <c r="AX11" s="503"/>
      <c r="AY11" s="501"/>
      <c r="AZ11" s="502"/>
      <c r="BA11" s="503"/>
      <c r="BB11" s="501"/>
      <c r="BC11" s="502"/>
      <c r="BD11" s="503"/>
      <c r="BE11" s="501"/>
      <c r="BF11" s="502"/>
      <c r="BG11" s="503"/>
      <c r="BH11" s="501"/>
      <c r="BI11" s="502"/>
      <c r="BJ11" s="503"/>
      <c r="BK11" s="501"/>
      <c r="BL11" s="502"/>
      <c r="BM11" s="503"/>
      <c r="BN11" s="501"/>
      <c r="BO11" s="502"/>
      <c r="BP11" s="503"/>
      <c r="BQ11" s="501"/>
      <c r="BR11" s="502"/>
      <c r="BS11" s="503"/>
      <c r="BT11" s="501"/>
      <c r="BU11" s="502"/>
      <c r="BV11" s="503"/>
      <c r="BW11" s="501"/>
      <c r="BX11" s="502"/>
      <c r="BY11" s="503"/>
      <c r="BZ11" s="501"/>
      <c r="CA11" s="502"/>
      <c r="CB11" s="502"/>
      <c r="CC11" s="504"/>
      <c r="CD11" s="504"/>
      <c r="CE11" s="504"/>
      <c r="CF11" s="501"/>
      <c r="CG11" s="502"/>
      <c r="CH11" s="503"/>
      <c r="CI11" s="501"/>
      <c r="CJ11" s="502"/>
      <c r="CK11" s="503"/>
      <c r="CL11" s="501"/>
      <c r="CM11" s="502"/>
      <c r="CN11" s="503"/>
      <c r="CO11" s="501"/>
      <c r="CP11" s="502"/>
      <c r="CQ11" s="503"/>
      <c r="CR11" s="501"/>
      <c r="CS11" s="502"/>
      <c r="CT11" s="503"/>
      <c r="CU11" s="501"/>
      <c r="CV11" s="502"/>
      <c r="CW11" s="503"/>
      <c r="CX11" s="501"/>
      <c r="CY11" s="502"/>
      <c r="CZ11" s="503"/>
      <c r="DA11" s="501"/>
      <c r="DB11" s="502"/>
      <c r="DC11" s="503"/>
      <c r="DD11" s="501"/>
      <c r="DE11" s="502"/>
      <c r="DF11" s="503"/>
      <c r="DG11" s="504"/>
      <c r="DH11" s="504"/>
      <c r="DI11" s="504"/>
      <c r="DJ11" s="501"/>
      <c r="DK11" s="502"/>
      <c r="DL11" s="503"/>
      <c r="DM11" s="521"/>
      <c r="DN11" s="522"/>
      <c r="DO11" s="523"/>
      <c r="DP11" s="521" t="s">
        <v>169</v>
      </c>
      <c r="DQ11" s="522"/>
      <c r="DR11" s="523"/>
      <c r="DS11" s="518" t="s">
        <v>170</v>
      </c>
      <c r="DT11" s="519"/>
      <c r="DU11" s="520"/>
      <c r="DV11" s="521" t="s">
        <v>171</v>
      </c>
      <c r="DW11" s="522"/>
      <c r="DX11" s="523"/>
      <c r="DY11" s="521" t="s">
        <v>239</v>
      </c>
      <c r="DZ11" s="522"/>
      <c r="EA11" s="523"/>
      <c r="EB11" s="521"/>
      <c r="EC11" s="522"/>
      <c r="ED11" s="523"/>
      <c r="EE11" s="521"/>
      <c r="EF11" s="522"/>
      <c r="EG11" s="523"/>
      <c r="EH11" s="521"/>
      <c r="EI11" s="522"/>
      <c r="EJ11" s="523"/>
      <c r="EK11" s="521"/>
      <c r="EL11" s="522"/>
      <c r="EM11" s="523"/>
      <c r="EN11" s="501"/>
      <c r="EO11" s="502"/>
      <c r="EP11" s="503"/>
      <c r="EQ11" s="501"/>
      <c r="ER11" s="502"/>
      <c r="ES11" s="503"/>
      <c r="ET11" s="501"/>
      <c r="EU11" s="502"/>
      <c r="EV11" s="503"/>
      <c r="EW11" s="504"/>
      <c r="EX11" s="504"/>
      <c r="EY11" s="504"/>
      <c r="EZ11" s="501"/>
      <c r="FA11" s="502"/>
      <c r="FB11" s="503"/>
      <c r="FD11" s="158"/>
      <c r="FE11" s="158"/>
      <c r="FF11" s="158"/>
    </row>
    <row r="12" spans="1:162" s="157" customFormat="1" ht="42.75" customHeight="1">
      <c r="A12" s="504"/>
      <c r="B12" s="504"/>
      <c r="C12" s="291" t="s">
        <v>172</v>
      </c>
      <c r="D12" s="292" t="s">
        <v>173</v>
      </c>
      <c r="E12" s="291" t="s">
        <v>174</v>
      </c>
      <c r="F12" s="291" t="s">
        <v>172</v>
      </c>
      <c r="G12" s="291" t="s">
        <v>173</v>
      </c>
      <c r="H12" s="291" t="s">
        <v>174</v>
      </c>
      <c r="I12" s="291"/>
      <c r="J12" s="291"/>
      <c r="K12" s="291"/>
      <c r="L12" s="291" t="s">
        <v>172</v>
      </c>
      <c r="M12" s="291" t="s">
        <v>173</v>
      </c>
      <c r="N12" s="291" t="s">
        <v>174</v>
      </c>
      <c r="O12" s="291" t="s">
        <v>172</v>
      </c>
      <c r="P12" s="291" t="s">
        <v>173</v>
      </c>
      <c r="Q12" s="291" t="s">
        <v>174</v>
      </c>
      <c r="R12" s="291" t="s">
        <v>172</v>
      </c>
      <c r="S12" s="291" t="s">
        <v>173</v>
      </c>
      <c r="T12" s="291" t="s">
        <v>174</v>
      </c>
      <c r="U12" s="291" t="s">
        <v>172</v>
      </c>
      <c r="V12" s="291" t="s">
        <v>173</v>
      </c>
      <c r="W12" s="291" t="s">
        <v>174</v>
      </c>
      <c r="X12" s="291" t="s">
        <v>172</v>
      </c>
      <c r="Y12" s="291" t="s">
        <v>173</v>
      </c>
      <c r="Z12" s="291" t="s">
        <v>174</v>
      </c>
      <c r="AA12" s="291" t="s">
        <v>172</v>
      </c>
      <c r="AB12" s="291" t="s">
        <v>173</v>
      </c>
      <c r="AC12" s="291" t="s">
        <v>174</v>
      </c>
      <c r="AD12" s="291" t="s">
        <v>172</v>
      </c>
      <c r="AE12" s="291" t="s">
        <v>173</v>
      </c>
      <c r="AF12" s="291" t="s">
        <v>174</v>
      </c>
      <c r="AG12" s="291" t="s">
        <v>172</v>
      </c>
      <c r="AH12" s="291" t="s">
        <v>173</v>
      </c>
      <c r="AI12" s="291" t="s">
        <v>174</v>
      </c>
      <c r="AJ12" s="291" t="s">
        <v>172</v>
      </c>
      <c r="AK12" s="291" t="s">
        <v>173</v>
      </c>
      <c r="AL12" s="291" t="s">
        <v>174</v>
      </c>
      <c r="AM12" s="291" t="s">
        <v>172</v>
      </c>
      <c r="AN12" s="291" t="s">
        <v>173</v>
      </c>
      <c r="AO12" s="291" t="s">
        <v>174</v>
      </c>
      <c r="AP12" s="291" t="s">
        <v>172</v>
      </c>
      <c r="AQ12" s="291" t="s">
        <v>173</v>
      </c>
      <c r="AR12" s="291" t="s">
        <v>174</v>
      </c>
      <c r="AS12" s="291" t="s">
        <v>172</v>
      </c>
      <c r="AT12" s="291" t="s">
        <v>173</v>
      </c>
      <c r="AU12" s="291" t="s">
        <v>174</v>
      </c>
      <c r="AV12" s="291" t="s">
        <v>172</v>
      </c>
      <c r="AW12" s="291" t="s">
        <v>173</v>
      </c>
      <c r="AX12" s="291" t="s">
        <v>174</v>
      </c>
      <c r="AY12" s="291" t="s">
        <v>172</v>
      </c>
      <c r="AZ12" s="291" t="s">
        <v>173</v>
      </c>
      <c r="BA12" s="291" t="s">
        <v>174</v>
      </c>
      <c r="BB12" s="291" t="s">
        <v>172</v>
      </c>
      <c r="BC12" s="291" t="s">
        <v>173</v>
      </c>
      <c r="BD12" s="291" t="s">
        <v>174</v>
      </c>
      <c r="BE12" s="291"/>
      <c r="BF12" s="291"/>
      <c r="BG12" s="291"/>
      <c r="BH12" s="291" t="s">
        <v>175</v>
      </c>
      <c r="BI12" s="291" t="s">
        <v>173</v>
      </c>
      <c r="BJ12" s="291" t="s">
        <v>174</v>
      </c>
      <c r="BK12" s="291" t="s">
        <v>172</v>
      </c>
      <c r="BL12" s="291" t="s">
        <v>173</v>
      </c>
      <c r="BM12" s="291" t="s">
        <v>174</v>
      </c>
      <c r="BN12" s="291" t="s">
        <v>172</v>
      </c>
      <c r="BO12" s="291" t="s">
        <v>173</v>
      </c>
      <c r="BP12" s="291" t="s">
        <v>174</v>
      </c>
      <c r="BQ12" s="291" t="s">
        <v>175</v>
      </c>
      <c r="BR12" s="291" t="s">
        <v>173</v>
      </c>
      <c r="BS12" s="291" t="s">
        <v>174</v>
      </c>
      <c r="BT12" s="291" t="s">
        <v>175</v>
      </c>
      <c r="BU12" s="291" t="s">
        <v>173</v>
      </c>
      <c r="BV12" s="291" t="s">
        <v>174</v>
      </c>
      <c r="BW12" s="291" t="s">
        <v>175</v>
      </c>
      <c r="BX12" s="291" t="s">
        <v>173</v>
      </c>
      <c r="BY12" s="291" t="s">
        <v>174</v>
      </c>
      <c r="BZ12" s="291" t="s">
        <v>175</v>
      </c>
      <c r="CA12" s="291" t="s">
        <v>173</v>
      </c>
      <c r="CB12" s="291" t="s">
        <v>174</v>
      </c>
      <c r="CC12" s="291" t="s">
        <v>172</v>
      </c>
      <c r="CD12" s="291" t="s">
        <v>173</v>
      </c>
      <c r="CE12" s="291" t="s">
        <v>174</v>
      </c>
      <c r="CF12" s="291" t="s">
        <v>172</v>
      </c>
      <c r="CG12" s="291" t="s">
        <v>173</v>
      </c>
      <c r="CH12" s="291" t="s">
        <v>174</v>
      </c>
      <c r="CI12" s="291" t="s">
        <v>172</v>
      </c>
      <c r="CJ12" s="291" t="s">
        <v>173</v>
      </c>
      <c r="CK12" s="291" t="s">
        <v>174</v>
      </c>
      <c r="CL12" s="291" t="s">
        <v>172</v>
      </c>
      <c r="CM12" s="291" t="s">
        <v>173</v>
      </c>
      <c r="CN12" s="291" t="s">
        <v>174</v>
      </c>
      <c r="CO12" s="291" t="s">
        <v>172</v>
      </c>
      <c r="CP12" s="291" t="s">
        <v>173</v>
      </c>
      <c r="CQ12" s="291" t="s">
        <v>174</v>
      </c>
      <c r="CR12" s="291" t="s">
        <v>172</v>
      </c>
      <c r="CS12" s="291" t="s">
        <v>173</v>
      </c>
      <c r="CT12" s="291" t="s">
        <v>174</v>
      </c>
      <c r="CU12" s="291" t="s">
        <v>172</v>
      </c>
      <c r="CV12" s="291" t="s">
        <v>173</v>
      </c>
      <c r="CW12" s="291" t="s">
        <v>174</v>
      </c>
      <c r="CX12" s="291" t="s">
        <v>172</v>
      </c>
      <c r="CY12" s="291" t="s">
        <v>173</v>
      </c>
      <c r="CZ12" s="291" t="s">
        <v>174</v>
      </c>
      <c r="DA12" s="291" t="s">
        <v>172</v>
      </c>
      <c r="DB12" s="291" t="s">
        <v>173</v>
      </c>
      <c r="DC12" s="291" t="s">
        <v>174</v>
      </c>
      <c r="DD12" s="291" t="s">
        <v>172</v>
      </c>
      <c r="DE12" s="291" t="s">
        <v>173</v>
      </c>
      <c r="DF12" s="291" t="s">
        <v>174</v>
      </c>
      <c r="DG12" s="291" t="s">
        <v>172</v>
      </c>
      <c r="DH12" s="291" t="s">
        <v>173</v>
      </c>
      <c r="DI12" s="291" t="s">
        <v>174</v>
      </c>
      <c r="DJ12" s="291" t="s">
        <v>172</v>
      </c>
      <c r="DK12" s="291" t="s">
        <v>173</v>
      </c>
      <c r="DL12" s="291" t="s">
        <v>174</v>
      </c>
      <c r="DM12" s="291" t="s">
        <v>172</v>
      </c>
      <c r="DN12" s="291" t="s">
        <v>173</v>
      </c>
      <c r="DO12" s="291" t="s">
        <v>174</v>
      </c>
      <c r="DP12" s="291" t="s">
        <v>172</v>
      </c>
      <c r="DQ12" s="291" t="s">
        <v>173</v>
      </c>
      <c r="DR12" s="291" t="s">
        <v>174</v>
      </c>
      <c r="DS12" s="291" t="s">
        <v>172</v>
      </c>
      <c r="DT12" s="291" t="s">
        <v>173</v>
      </c>
      <c r="DU12" s="291" t="s">
        <v>174</v>
      </c>
      <c r="DV12" s="291" t="s">
        <v>172</v>
      </c>
      <c r="DW12" s="291" t="s">
        <v>173</v>
      </c>
      <c r="DX12" s="291" t="s">
        <v>174</v>
      </c>
      <c r="DY12" s="291" t="s">
        <v>172</v>
      </c>
      <c r="DZ12" s="291" t="s">
        <v>173</v>
      </c>
      <c r="EA12" s="291" t="s">
        <v>174</v>
      </c>
      <c r="EB12" s="291" t="s">
        <v>172</v>
      </c>
      <c r="EC12" s="291" t="s">
        <v>173</v>
      </c>
      <c r="ED12" s="291" t="s">
        <v>174</v>
      </c>
      <c r="EE12" s="291" t="s">
        <v>172</v>
      </c>
      <c r="EF12" s="291" t="s">
        <v>173</v>
      </c>
      <c r="EG12" s="291" t="s">
        <v>174</v>
      </c>
      <c r="EH12" s="291" t="s">
        <v>172</v>
      </c>
      <c r="EI12" s="291" t="s">
        <v>173</v>
      </c>
      <c r="EJ12" s="291" t="s">
        <v>174</v>
      </c>
      <c r="EK12" s="291" t="s">
        <v>172</v>
      </c>
      <c r="EL12" s="291" t="s">
        <v>173</v>
      </c>
      <c r="EM12" s="291" t="s">
        <v>174</v>
      </c>
      <c r="EN12" s="291" t="s">
        <v>172</v>
      </c>
      <c r="EO12" s="291" t="s">
        <v>173</v>
      </c>
      <c r="EP12" s="291" t="s">
        <v>174</v>
      </c>
      <c r="EQ12" s="291" t="s">
        <v>172</v>
      </c>
      <c r="ER12" s="291" t="s">
        <v>173</v>
      </c>
      <c r="ES12" s="291" t="s">
        <v>174</v>
      </c>
      <c r="ET12" s="291" t="s">
        <v>172</v>
      </c>
      <c r="EU12" s="291" t="s">
        <v>173</v>
      </c>
      <c r="EV12" s="291" t="s">
        <v>174</v>
      </c>
      <c r="EW12" s="291" t="s">
        <v>172</v>
      </c>
      <c r="EX12" s="291" t="s">
        <v>173</v>
      </c>
      <c r="EY12" s="291" t="s">
        <v>174</v>
      </c>
      <c r="EZ12" s="291" t="s">
        <v>172</v>
      </c>
      <c r="FA12" s="291" t="s">
        <v>173</v>
      </c>
      <c r="FB12" s="291" t="s">
        <v>174</v>
      </c>
      <c r="FD12" s="158"/>
      <c r="FE12" s="158"/>
      <c r="FF12" s="158"/>
    </row>
    <row r="13" spans="1:162" s="157" customFormat="1" ht="24" customHeight="1">
      <c r="A13" s="293">
        <v>1</v>
      </c>
      <c r="B13" s="291">
        <v>2</v>
      </c>
      <c r="C13" s="293">
        <v>3</v>
      </c>
      <c r="D13" s="292">
        <v>4</v>
      </c>
      <c r="E13" s="293">
        <v>5</v>
      </c>
      <c r="F13" s="291">
        <v>6</v>
      </c>
      <c r="G13" s="293">
        <v>7</v>
      </c>
      <c r="H13" s="291">
        <v>8</v>
      </c>
      <c r="I13" s="291"/>
      <c r="J13" s="291"/>
      <c r="K13" s="291"/>
      <c r="L13" s="293">
        <v>9</v>
      </c>
      <c r="M13" s="291">
        <v>10</v>
      </c>
      <c r="N13" s="293">
        <v>11</v>
      </c>
      <c r="O13" s="293">
        <v>12</v>
      </c>
      <c r="P13" s="293">
        <v>13</v>
      </c>
      <c r="Q13" s="293">
        <v>14</v>
      </c>
      <c r="R13" s="293">
        <v>15</v>
      </c>
      <c r="S13" s="293">
        <v>16</v>
      </c>
      <c r="T13" s="293">
        <v>17</v>
      </c>
      <c r="U13" s="293">
        <v>18</v>
      </c>
      <c r="V13" s="293">
        <v>19</v>
      </c>
      <c r="W13" s="293">
        <v>20</v>
      </c>
      <c r="X13" s="293">
        <v>21</v>
      </c>
      <c r="Y13" s="293">
        <v>22</v>
      </c>
      <c r="Z13" s="293">
        <v>23</v>
      </c>
      <c r="AA13" s="291">
        <v>24</v>
      </c>
      <c r="AB13" s="293">
        <v>25</v>
      </c>
      <c r="AC13" s="291">
        <v>26</v>
      </c>
      <c r="AD13" s="293">
        <v>27</v>
      </c>
      <c r="AE13" s="291">
        <v>28</v>
      </c>
      <c r="AF13" s="293">
        <v>29</v>
      </c>
      <c r="AG13" s="291">
        <v>30</v>
      </c>
      <c r="AH13" s="293">
        <v>31</v>
      </c>
      <c r="AI13" s="291">
        <v>32</v>
      </c>
      <c r="AJ13" s="293">
        <v>33</v>
      </c>
      <c r="AK13" s="291">
        <v>34</v>
      </c>
      <c r="AL13" s="293">
        <v>35</v>
      </c>
      <c r="AM13" s="293">
        <v>36</v>
      </c>
      <c r="AN13" s="293">
        <v>37</v>
      </c>
      <c r="AO13" s="293">
        <v>38</v>
      </c>
      <c r="AP13" s="291">
        <v>39</v>
      </c>
      <c r="AQ13" s="293">
        <v>40</v>
      </c>
      <c r="AR13" s="291">
        <v>41</v>
      </c>
      <c r="AS13" s="293">
        <v>42</v>
      </c>
      <c r="AT13" s="291">
        <v>43</v>
      </c>
      <c r="AU13" s="293">
        <v>44</v>
      </c>
      <c r="AV13" s="293">
        <v>45</v>
      </c>
      <c r="AW13" s="291">
        <v>46</v>
      </c>
      <c r="AX13" s="293">
        <v>47</v>
      </c>
      <c r="AY13" s="293">
        <v>48</v>
      </c>
      <c r="AZ13" s="291">
        <v>49</v>
      </c>
      <c r="BA13" s="293">
        <v>50</v>
      </c>
      <c r="BB13" s="293">
        <v>48</v>
      </c>
      <c r="BC13" s="291">
        <v>49</v>
      </c>
      <c r="BD13" s="293">
        <v>50</v>
      </c>
      <c r="BE13" s="293">
        <v>51</v>
      </c>
      <c r="BF13" s="293">
        <v>52</v>
      </c>
      <c r="BG13" s="293">
        <v>56</v>
      </c>
      <c r="BH13" s="291">
        <v>51</v>
      </c>
      <c r="BI13" s="293">
        <v>52</v>
      </c>
      <c r="BJ13" s="291">
        <v>53</v>
      </c>
      <c r="BK13" s="293">
        <v>60</v>
      </c>
      <c r="BL13" s="294">
        <v>61</v>
      </c>
      <c r="BM13" s="295">
        <v>62</v>
      </c>
      <c r="BN13" s="293">
        <v>63</v>
      </c>
      <c r="BO13" s="293">
        <v>64</v>
      </c>
      <c r="BP13" s="293">
        <v>65</v>
      </c>
      <c r="BQ13" s="293">
        <v>66</v>
      </c>
      <c r="BR13" s="293">
        <v>67</v>
      </c>
      <c r="BS13" s="293">
        <v>68</v>
      </c>
      <c r="BT13" s="291">
        <v>54</v>
      </c>
      <c r="BU13" s="293">
        <v>55</v>
      </c>
      <c r="BV13" s="291">
        <v>56</v>
      </c>
      <c r="BW13" s="293">
        <v>72</v>
      </c>
      <c r="BX13" s="291">
        <v>73</v>
      </c>
      <c r="BY13" s="293">
        <v>74</v>
      </c>
      <c r="BZ13" s="291">
        <v>75</v>
      </c>
      <c r="CA13" s="293">
        <v>76</v>
      </c>
      <c r="CB13" s="291">
        <v>77</v>
      </c>
      <c r="CC13" s="293">
        <v>57</v>
      </c>
      <c r="CD13" s="291">
        <v>58</v>
      </c>
      <c r="CE13" s="293">
        <v>59</v>
      </c>
      <c r="CF13" s="291">
        <v>60</v>
      </c>
      <c r="CG13" s="293">
        <v>61</v>
      </c>
      <c r="CH13" s="291">
        <v>62</v>
      </c>
      <c r="CI13" s="293">
        <v>63</v>
      </c>
      <c r="CJ13" s="291">
        <v>64</v>
      </c>
      <c r="CK13" s="293">
        <v>65</v>
      </c>
      <c r="CL13" s="291">
        <v>66</v>
      </c>
      <c r="CM13" s="293">
        <v>67</v>
      </c>
      <c r="CN13" s="291">
        <v>68</v>
      </c>
      <c r="CO13" s="293">
        <v>69</v>
      </c>
      <c r="CP13" s="291">
        <v>70</v>
      </c>
      <c r="CQ13" s="293">
        <v>71</v>
      </c>
      <c r="CR13" s="293">
        <v>72</v>
      </c>
      <c r="CS13" s="293">
        <v>73</v>
      </c>
      <c r="CT13" s="293">
        <v>74</v>
      </c>
      <c r="CU13" s="293">
        <v>75</v>
      </c>
      <c r="CV13" s="293">
        <v>76</v>
      </c>
      <c r="CW13" s="293">
        <v>77</v>
      </c>
      <c r="CX13" s="293">
        <v>78</v>
      </c>
      <c r="CY13" s="293">
        <v>79</v>
      </c>
      <c r="CZ13" s="293">
        <v>80</v>
      </c>
      <c r="DA13" s="291">
        <v>96</v>
      </c>
      <c r="DB13" s="293">
        <v>97</v>
      </c>
      <c r="DC13" s="291">
        <v>98</v>
      </c>
      <c r="DD13" s="291">
        <v>99</v>
      </c>
      <c r="DE13" s="291">
        <v>100</v>
      </c>
      <c r="DF13" s="291">
        <v>101</v>
      </c>
      <c r="DG13" s="291">
        <v>102</v>
      </c>
      <c r="DH13" s="291">
        <v>103</v>
      </c>
      <c r="DI13" s="291">
        <v>104</v>
      </c>
      <c r="DJ13" s="293">
        <v>81</v>
      </c>
      <c r="DK13" s="291">
        <v>82</v>
      </c>
      <c r="DL13" s="293">
        <v>83</v>
      </c>
      <c r="DM13" s="291">
        <v>84</v>
      </c>
      <c r="DN13" s="293">
        <v>85</v>
      </c>
      <c r="DO13" s="291">
        <v>86</v>
      </c>
      <c r="DP13" s="293">
        <v>87</v>
      </c>
      <c r="DQ13" s="291">
        <v>88</v>
      </c>
      <c r="DR13" s="293">
        <v>89</v>
      </c>
      <c r="DS13" s="291">
        <v>90</v>
      </c>
      <c r="DT13" s="293">
        <v>91</v>
      </c>
      <c r="DU13" s="291">
        <v>92</v>
      </c>
      <c r="DV13" s="293">
        <v>93</v>
      </c>
      <c r="DW13" s="291">
        <v>94</v>
      </c>
      <c r="DX13" s="293">
        <v>95</v>
      </c>
      <c r="DY13" s="291">
        <v>96</v>
      </c>
      <c r="DZ13" s="291">
        <v>97</v>
      </c>
      <c r="EA13" s="291">
        <v>98</v>
      </c>
      <c r="EB13" s="293">
        <v>99</v>
      </c>
      <c r="EC13" s="291">
        <v>100</v>
      </c>
      <c r="ED13" s="293">
        <v>101</v>
      </c>
      <c r="EE13" s="291">
        <v>102</v>
      </c>
      <c r="EF13" s="293">
        <v>103</v>
      </c>
      <c r="EG13" s="291">
        <v>104</v>
      </c>
      <c r="EH13" s="293">
        <v>105</v>
      </c>
      <c r="EI13" s="291">
        <v>106</v>
      </c>
      <c r="EJ13" s="293">
        <v>107</v>
      </c>
      <c r="EK13" s="291">
        <v>108</v>
      </c>
      <c r="EL13" s="293">
        <v>109</v>
      </c>
      <c r="EM13" s="291">
        <v>110</v>
      </c>
      <c r="EN13" s="293">
        <v>111</v>
      </c>
      <c r="EO13" s="291">
        <v>112</v>
      </c>
      <c r="EP13" s="293">
        <v>113</v>
      </c>
      <c r="EQ13" s="291">
        <v>114</v>
      </c>
      <c r="ER13" s="293">
        <v>115</v>
      </c>
      <c r="ES13" s="291">
        <v>116</v>
      </c>
      <c r="ET13" s="293">
        <v>117</v>
      </c>
      <c r="EU13" s="291">
        <v>118</v>
      </c>
      <c r="EV13" s="293">
        <v>119</v>
      </c>
      <c r="EW13" s="291">
        <v>120</v>
      </c>
      <c r="EX13" s="293">
        <v>121</v>
      </c>
      <c r="EY13" s="291">
        <v>122</v>
      </c>
      <c r="EZ13" s="293">
        <v>123</v>
      </c>
      <c r="FA13" s="291">
        <v>124</v>
      </c>
      <c r="FB13" s="293">
        <v>125</v>
      </c>
    </row>
    <row r="14" spans="1:162" s="157" customFormat="1" ht="25.5" customHeight="1">
      <c r="A14" s="341">
        <v>1</v>
      </c>
      <c r="B14" s="342" t="s">
        <v>290</v>
      </c>
      <c r="C14" s="296">
        <f>F14+CC14</f>
        <v>7106.78197</v>
      </c>
      <c r="D14" s="297">
        <f t="shared" ref="D14:D29" si="0">G14+CD14+DB14</f>
        <v>2382.1093599999999</v>
      </c>
      <c r="E14" s="298">
        <f t="shared" ref="E14:E29" si="1">D14/C14*100</f>
        <v>33.518818644720568</v>
      </c>
      <c r="F14" s="299">
        <f t="shared" ref="F14" si="2">L14+AA14+AD14+AG14+AJ14+AP14+AV14+BH14+BT14+BQ14+AM14+BB14+O14+U14+R14+X14+AS14</f>
        <v>663.7700000000001</v>
      </c>
      <c r="G14" s="299">
        <f t="shared" ref="G14:G29" si="3">M14+AB14+AE14+AH14+AK14+AQ14+AW14+BI14+AN14+BU14+BR14+BC14+P14+V14+S14+Y14+AT14</f>
        <v>250.82136</v>
      </c>
      <c r="H14" s="298">
        <f>G14/F14*100</f>
        <v>37.787390210464459</v>
      </c>
      <c r="I14" s="298">
        <f>L14+O14+R14+U14+X14+AA14+AD14+AG14+AJ14</f>
        <v>613.77</v>
      </c>
      <c r="J14" s="298"/>
      <c r="K14" s="298"/>
      <c r="L14" s="300">
        <f>Але!C6</f>
        <v>81</v>
      </c>
      <c r="M14" s="448">
        <f>Але!D6</f>
        <v>44.409930000000003</v>
      </c>
      <c r="N14" s="298">
        <f>M14/L14*100</f>
        <v>54.827074074074076</v>
      </c>
      <c r="O14" s="298">
        <f>Але!C8</f>
        <v>106.965</v>
      </c>
      <c r="P14" s="298">
        <f>Але!D8</f>
        <v>92.317149999999998</v>
      </c>
      <c r="Q14" s="298">
        <f>P14/O14*100</f>
        <v>86.305941195718219</v>
      </c>
      <c r="R14" s="298">
        <f>Але!C9</f>
        <v>1.147</v>
      </c>
      <c r="S14" s="298">
        <f>Але!D9</f>
        <v>0.54318</v>
      </c>
      <c r="T14" s="298">
        <f>S14/R14*100</f>
        <v>47.356582388840451</v>
      </c>
      <c r="U14" s="298">
        <f>Але!C10</f>
        <v>178.65799999999999</v>
      </c>
      <c r="V14" s="298">
        <f>Але!D10</f>
        <v>106.68196</v>
      </c>
      <c r="W14" s="298">
        <f>V14/U14*100</f>
        <v>59.712948762439979</v>
      </c>
      <c r="X14" s="298">
        <f>Але!C11</f>
        <v>0</v>
      </c>
      <c r="Y14" s="302">
        <f>Але!D11</f>
        <v>-10.68868</v>
      </c>
      <c r="Z14" s="298" t="e">
        <f>Y14/X14*100</f>
        <v>#DIV/0!</v>
      </c>
      <c r="AA14" s="303">
        <f>Але!C13</f>
        <v>10</v>
      </c>
      <c r="AB14" s="447">
        <f>Але!D13</f>
        <v>0</v>
      </c>
      <c r="AC14" s="298">
        <f>AB14/AA14*100</f>
        <v>0</v>
      </c>
      <c r="AD14" s="303">
        <f>Але!C15</f>
        <v>86</v>
      </c>
      <c r="AE14" s="304">
        <f>Але!D15</f>
        <v>0.40133000000000002</v>
      </c>
      <c r="AF14" s="298">
        <f>AE14/AD14*100</f>
        <v>0.46666279069767441</v>
      </c>
      <c r="AG14" s="303">
        <f>Але!C16</f>
        <v>147</v>
      </c>
      <c r="AH14" s="303">
        <f>Але!D16</f>
        <v>16.00393</v>
      </c>
      <c r="AI14" s="298">
        <f t="shared" ref="AI14:AI29" si="4">AH14/AG14*100</f>
        <v>10.887027210884353</v>
      </c>
      <c r="AJ14" s="298">
        <f>Але!C18</f>
        <v>3</v>
      </c>
      <c r="AK14" s="298">
        <f>Але!D18</f>
        <v>0.8</v>
      </c>
      <c r="AL14" s="298">
        <f>AK14/AJ14*100</f>
        <v>26.666666666666668</v>
      </c>
      <c r="AM14" s="298"/>
      <c r="AN14" s="298"/>
      <c r="AO14" s="305" t="e">
        <f t="shared" ref="AO14:AO23" si="5">AN14/AM14*100</f>
        <v>#DIV/0!</v>
      </c>
      <c r="AP14" s="303">
        <v>0</v>
      </c>
      <c r="AQ14" s="303">
        <v>0</v>
      </c>
      <c r="AR14" s="305" t="e">
        <f t="shared" ref="AR14:AR29" si="6">AQ14/AP14*100</f>
        <v>#DIV/0!</v>
      </c>
      <c r="AS14" s="303">
        <f>Але!C27</f>
        <v>50</v>
      </c>
      <c r="AT14" s="306">
        <f>Але!D27</f>
        <v>0</v>
      </c>
      <c r="AU14" s="298">
        <f>AT14/AS14*100</f>
        <v>0</v>
      </c>
      <c r="AV14" s="307">
        <f>Але!C28</f>
        <v>0</v>
      </c>
      <c r="AW14" s="306">
        <f>Але!D28</f>
        <v>0</v>
      </c>
      <c r="AX14" s="298" t="e">
        <f>AW14/AV14*100</f>
        <v>#DIV/0!</v>
      </c>
      <c r="AY14" s="303"/>
      <c r="AZ14" s="303"/>
      <c r="BA14" s="298" t="e">
        <f>AZ14/AY14*100</f>
        <v>#DIV/0!</v>
      </c>
      <c r="BB14" s="298">
        <f>Але!C29</f>
        <v>0</v>
      </c>
      <c r="BC14" s="308">
        <f>Але!D29</f>
        <v>0.35255999999999998</v>
      </c>
      <c r="BD14" s="298" t="e">
        <f>BC14/BB14*100</f>
        <v>#DIV/0!</v>
      </c>
      <c r="BE14" s="298">
        <f>Але!C30</f>
        <v>0</v>
      </c>
      <c r="BF14" s="298">
        <f>Але!D30</f>
        <v>0.35255999999999998</v>
      </c>
      <c r="BG14" s="298" t="e">
        <f>BF14/BE14*100</f>
        <v>#DIV/0!</v>
      </c>
      <c r="BH14" s="298">
        <f>Але!C32</f>
        <v>0</v>
      </c>
      <c r="BI14" s="298">
        <f>Але!D31</f>
        <v>0</v>
      </c>
      <c r="BJ14" s="298" t="e">
        <f>BI14/BH14*100</f>
        <v>#DIV/0!</v>
      </c>
      <c r="BK14" s="298"/>
      <c r="BL14" s="298"/>
      <c r="BM14" s="298" t="e">
        <f>BL14/BK14*100</f>
        <v>#DIV/0!</v>
      </c>
      <c r="BN14" s="298"/>
      <c r="BO14" s="298"/>
      <c r="BP14" s="298"/>
      <c r="BQ14" s="298"/>
      <c r="BR14" s="309"/>
      <c r="BS14" s="298" t="e">
        <f>BR14/BQ14*100</f>
        <v>#DIV/0!</v>
      </c>
      <c r="BT14" s="298">
        <f>Але!C34</f>
        <v>0</v>
      </c>
      <c r="BU14" s="298">
        <f>Але!D35</f>
        <v>0</v>
      </c>
      <c r="BV14" s="298" t="e">
        <f>BU14/BT14*100</f>
        <v>#DIV/0!</v>
      </c>
      <c r="BW14" s="298"/>
      <c r="BX14" s="298"/>
      <c r="BY14" s="310" t="e">
        <f>BW14/BX14*100</f>
        <v>#DIV/0!</v>
      </c>
      <c r="BZ14" s="310"/>
      <c r="CA14" s="310"/>
      <c r="CB14" s="310" t="e">
        <f>BZ14/CA14*100</f>
        <v>#DIV/0!</v>
      </c>
      <c r="CC14" s="303">
        <f>CF14+CI14+CL14+CO14+CU14+CR14</f>
        <v>6443.0119699999996</v>
      </c>
      <c r="CD14" s="303">
        <f>CG14+CJ14+CM14+CP14+CV14+CS14+CY14</f>
        <v>2131.288</v>
      </c>
      <c r="CE14" s="298">
        <f>CD14/CC14*100</f>
        <v>33.079063176100235</v>
      </c>
      <c r="CF14" s="305">
        <f>Але!C39</f>
        <v>1839.6</v>
      </c>
      <c r="CG14" s="305">
        <f>Але!D39</f>
        <v>1073.0999999999999</v>
      </c>
      <c r="CH14" s="298">
        <f>CG14/CF14*100</f>
        <v>58.333333333333329</v>
      </c>
      <c r="CI14" s="298">
        <f>Але!C40</f>
        <v>0</v>
      </c>
      <c r="CJ14" s="459">
        <f>Але!D40</f>
        <v>0</v>
      </c>
      <c r="CK14" s="298" t="e">
        <f>CJ14/CI14*100</f>
        <v>#DIV/0!</v>
      </c>
      <c r="CL14" s="298">
        <f>Але!C41</f>
        <v>3143.1107200000001</v>
      </c>
      <c r="CM14" s="298">
        <f>Але!D41</f>
        <v>534.01</v>
      </c>
      <c r="CN14" s="298">
        <f t="shared" ref="CN14:CN29" si="7">CM14/CL14*100</f>
        <v>16.989856469326032</v>
      </c>
      <c r="CO14" s="298">
        <f>Але!C42</f>
        <v>94.305000000000007</v>
      </c>
      <c r="CP14" s="298">
        <f>Але!D42</f>
        <v>66.576999999999998</v>
      </c>
      <c r="CQ14" s="298">
        <f t="shared" ref="CQ14:CQ31" si="8">CP14/CO14*100</f>
        <v>70.597529293250616</v>
      </c>
      <c r="CR14" s="298">
        <f>Але!C44</f>
        <v>931.14525000000003</v>
      </c>
      <c r="CS14" s="298">
        <f>Але!D44</f>
        <v>22.75</v>
      </c>
      <c r="CT14" s="298">
        <f>CS14/CR14*100</f>
        <v>2.4432278422727283</v>
      </c>
      <c r="CU14" s="302">
        <f>Але!C43</f>
        <v>434.851</v>
      </c>
      <c r="CV14" s="298">
        <f>Але!D43</f>
        <v>434.851</v>
      </c>
      <c r="CW14" s="298">
        <f t="shared" ref="CW14:CW31" si="9">CV14/CU14*100</f>
        <v>100</v>
      </c>
      <c r="CX14" s="298"/>
      <c r="CY14" s="298">
        <f>Але!D45</f>
        <v>0</v>
      </c>
      <c r="CZ14" s="298" t="e">
        <f>CY13:CY14/CX14*100</f>
        <v>#DIV/0!</v>
      </c>
      <c r="DA14" s="303"/>
      <c r="DB14" s="303"/>
      <c r="DC14" s="298" t="e">
        <f>DB14/DA14*100</f>
        <v>#DIV/0!</v>
      </c>
      <c r="DD14" s="298"/>
      <c r="DE14" s="298"/>
      <c r="DF14" s="298"/>
      <c r="DG14" s="298"/>
      <c r="DH14" s="298"/>
      <c r="DI14" s="298"/>
      <c r="DJ14" s="307">
        <f>DM14+EB14+EE14+EH14+EK14+EN14+EQ14+ET14+EW14</f>
        <v>7789.8209299999999</v>
      </c>
      <c r="DK14" s="307">
        <f>DN14+EC14+EF14+EI14+EL14+EO14+ER14+EU14+EX14</f>
        <v>3010.8100599999998</v>
      </c>
      <c r="DL14" s="298">
        <f>DK14/DJ14*100</f>
        <v>38.650568312871343</v>
      </c>
      <c r="DM14" s="303">
        <f>DP14+DS14+DV14+DY14</f>
        <v>1257.3430000000001</v>
      </c>
      <c r="DN14" s="303">
        <f>DQ14+DT14+DW14+DZ14</f>
        <v>761.93657999999994</v>
      </c>
      <c r="DO14" s="298">
        <f>DN14/DM14*100</f>
        <v>60.598943963580332</v>
      </c>
      <c r="DP14" s="298">
        <f>Але!C54</f>
        <v>1244.693</v>
      </c>
      <c r="DQ14" s="298">
        <f>Але!D54</f>
        <v>759.28657999999996</v>
      </c>
      <c r="DR14" s="298">
        <f>DQ14/DP14*100</f>
        <v>61.001916135143361</v>
      </c>
      <c r="DS14" s="298">
        <f>Але!C57</f>
        <v>0</v>
      </c>
      <c r="DT14" s="298">
        <f>Але!D57</f>
        <v>0</v>
      </c>
      <c r="DU14" s="298" t="e">
        <f>DT14/DS14*100</f>
        <v>#DIV/0!</v>
      </c>
      <c r="DV14" s="298">
        <f>Але!C58</f>
        <v>10</v>
      </c>
      <c r="DW14" s="298">
        <f>Але!D58</f>
        <v>0</v>
      </c>
      <c r="DX14" s="298">
        <f>DW14/DV14*100</f>
        <v>0</v>
      </c>
      <c r="DY14" s="298">
        <f>Але!C59</f>
        <v>2.65</v>
      </c>
      <c r="DZ14" s="298">
        <f>Але!D59</f>
        <v>2.65</v>
      </c>
      <c r="EA14" s="298">
        <f>DZ14/DY14*100</f>
        <v>100</v>
      </c>
      <c r="EB14" s="298">
        <f>Але!C61</f>
        <v>94.305000000000007</v>
      </c>
      <c r="EC14" s="298">
        <f>Але!D61</f>
        <v>48.449300000000001</v>
      </c>
      <c r="ED14" s="298">
        <f>EC14/EB14*100</f>
        <v>51.375112666348542</v>
      </c>
      <c r="EE14" s="298">
        <f>Але!C62</f>
        <v>18</v>
      </c>
      <c r="EF14" s="298">
        <f>Але!D62</f>
        <v>5.83134</v>
      </c>
      <c r="EG14" s="298">
        <f>EF14/EE14*100</f>
        <v>32.396333333333331</v>
      </c>
      <c r="EH14" s="303">
        <f>Але!C68</f>
        <v>866.10996</v>
      </c>
      <c r="EI14" s="303">
        <f>Але!D68</f>
        <v>660.63850000000002</v>
      </c>
      <c r="EJ14" s="298">
        <f>EI14/EH14*100</f>
        <v>76.276515744028629</v>
      </c>
      <c r="EK14" s="303">
        <f>Але!C73</f>
        <v>5257.4629699999996</v>
      </c>
      <c r="EL14" s="303">
        <f>Але!D73</f>
        <v>1360.4193399999999</v>
      </c>
      <c r="EM14" s="298">
        <f>EL14/EK14*100</f>
        <v>25.875966179177862</v>
      </c>
      <c r="EN14" s="303">
        <f>Але!C77</f>
        <v>286.60000000000002</v>
      </c>
      <c r="EO14" s="311">
        <f>Але!D77</f>
        <v>168</v>
      </c>
      <c r="EP14" s="298">
        <f t="shared" ref="EP14:EP29" si="10">EO14/EN14*100</f>
        <v>58.618283321702712</v>
      </c>
      <c r="EQ14" s="298">
        <f>Але!C79</f>
        <v>0</v>
      </c>
      <c r="ER14" s="298">
        <f>Але!D79</f>
        <v>0</v>
      </c>
      <c r="ES14" s="298" t="e">
        <f t="shared" ref="ES14:ES29" si="11">ER14/EQ14*100</f>
        <v>#DIV/0!</v>
      </c>
      <c r="ET14" s="299">
        <f>Але!C84</f>
        <v>10</v>
      </c>
      <c r="EU14" s="299">
        <f>Але!D84</f>
        <v>5.5350000000000001</v>
      </c>
      <c r="EV14" s="298">
        <f>EU14/ET14*100</f>
        <v>55.35</v>
      </c>
      <c r="EW14" s="298">
        <f>Але!C90</f>
        <v>0</v>
      </c>
      <c r="EX14" s="298">
        <f>Але!D90</f>
        <v>0</v>
      </c>
      <c r="EY14" s="298" t="e">
        <f>EX14/EW14*100</f>
        <v>#DIV/0!</v>
      </c>
      <c r="EZ14" s="312">
        <f t="shared" ref="EZ14:EZ29" si="12">SUM(C14-DJ14)</f>
        <v>-683.03895999999986</v>
      </c>
      <c r="FA14" s="312">
        <f t="shared" ref="FA14:FA29" si="13">SUM(D14-DK14)</f>
        <v>-628.70069999999987</v>
      </c>
      <c r="FB14" s="298">
        <f>FA14/EZ14*100%</f>
        <v>0.92044632417453898</v>
      </c>
      <c r="FC14" s="159"/>
      <c r="FD14" s="160"/>
      <c r="FF14" s="160"/>
    </row>
    <row r="15" spans="1:162" s="161" customFormat="1" ht="22.5" customHeight="1">
      <c r="A15" s="341">
        <v>2</v>
      </c>
      <c r="B15" s="343" t="s">
        <v>291</v>
      </c>
      <c r="C15" s="296">
        <f t="shared" ref="C15:C29" si="14">F15+CC15</f>
        <v>30927.095150000005</v>
      </c>
      <c r="D15" s="297">
        <f>G15+CD15+DB15</f>
        <v>10036.210510000001</v>
      </c>
      <c r="E15" s="305">
        <f t="shared" si="1"/>
        <v>32.451190327844287</v>
      </c>
      <c r="F15" s="299">
        <f t="shared" ref="F15:F29" si="15">L15+AA15+AD15+AG15+AJ15+AP15+AV15+BH15+BT15+BQ15+AM15+BB15+O15+U15+R15+X15+AS15</f>
        <v>3972.4</v>
      </c>
      <c r="G15" s="299">
        <f>M15+AB15+AE15+AH15+AK15+AQ15+AW15+BI15+AN15+BU15+BR15+BC15+P15+V15+S15+Y15+AT15</f>
        <v>1786.4092499999997</v>
      </c>
      <c r="H15" s="305">
        <f t="shared" ref="H15:H29" si="16">G15/F15*100</f>
        <v>44.970527892457952</v>
      </c>
      <c r="I15" s="298">
        <f t="shared" ref="I15:I29" si="17">L15+O15+R15+U15+X15+AA15+AD15+AG15+AJ15</f>
        <v>3692.3999999999996</v>
      </c>
      <c r="J15" s="305"/>
      <c r="K15" s="305"/>
      <c r="L15" s="313">
        <f>Сун!C6</f>
        <v>396</v>
      </c>
      <c r="M15" s="449">
        <f>Сун!D6</f>
        <v>503.40728999999999</v>
      </c>
      <c r="N15" s="305">
        <f t="shared" ref="N15:N29" si="18">M15/L15*100</f>
        <v>127.12305303030303</v>
      </c>
      <c r="O15" s="305">
        <f>Сун!C8</f>
        <v>307.12799999999999</v>
      </c>
      <c r="P15" s="305">
        <f>Сун!D8</f>
        <v>265.06905999999998</v>
      </c>
      <c r="Q15" s="298">
        <f t="shared" ref="Q15:Q29" si="19">P15/O15*100</f>
        <v>86.305729207366312</v>
      </c>
      <c r="R15" s="298">
        <f>Сун!C9</f>
        <v>3.294</v>
      </c>
      <c r="S15" s="298">
        <f>Сун!D9</f>
        <v>1.5596399999999999</v>
      </c>
      <c r="T15" s="298">
        <f t="shared" ref="T15:T29" si="20">S15/R15*100</f>
        <v>47.34790528233151</v>
      </c>
      <c r="U15" s="298">
        <f>Сун!C10</f>
        <v>512.97799999999995</v>
      </c>
      <c r="V15" s="298">
        <f>Сун!D10</f>
        <v>306.31461999999999</v>
      </c>
      <c r="W15" s="298">
        <f t="shared" ref="W15:W29" si="21">V15/U15*100</f>
        <v>59.713013033697358</v>
      </c>
      <c r="X15" s="298">
        <f>Сун!C11</f>
        <v>0</v>
      </c>
      <c r="Y15" s="302">
        <f>Сун!D11</f>
        <v>-30.690329999999999</v>
      </c>
      <c r="Z15" s="298" t="e">
        <f t="shared" ref="Z15:Z29" si="22">Y15/X15*100</f>
        <v>#DIV/0!</v>
      </c>
      <c r="AA15" s="313">
        <f>Сун!C13</f>
        <v>45</v>
      </c>
      <c r="AB15" s="313">
        <f>Сун!D13</f>
        <v>42.506970000000003</v>
      </c>
      <c r="AC15" s="305">
        <f t="shared" ref="AC15:AC29" si="23">AB15/AA15*100</f>
        <v>94.459933333333339</v>
      </c>
      <c r="AD15" s="313">
        <f>Сун!C15</f>
        <v>1023</v>
      </c>
      <c r="AE15" s="304">
        <f>Сун!D15</f>
        <v>14.0617</v>
      </c>
      <c r="AF15" s="305">
        <f t="shared" ref="AF15:AF29" si="24">AE15/AD15*100</f>
        <v>1.37455522971652</v>
      </c>
      <c r="AG15" s="313">
        <f>Сун!C16</f>
        <v>1395</v>
      </c>
      <c r="AH15" s="313">
        <f>Сун!D16</f>
        <v>613.94530999999995</v>
      </c>
      <c r="AI15" s="305">
        <f t="shared" si="4"/>
        <v>44.010416487455196</v>
      </c>
      <c r="AJ15" s="305">
        <f>Сун!C18</f>
        <v>10</v>
      </c>
      <c r="AK15" s="305">
        <f>Сун!D18</f>
        <v>4.7699999999999996</v>
      </c>
      <c r="AL15" s="305">
        <f t="shared" ref="AL15:AL31" si="25">AK15/AJ15*100</f>
        <v>47.699999999999996</v>
      </c>
      <c r="AM15" s="305"/>
      <c r="AN15" s="305"/>
      <c r="AO15" s="305" t="e">
        <f t="shared" si="5"/>
        <v>#DIV/0!</v>
      </c>
      <c r="AP15" s="313">
        <f>Сун!C27</f>
        <v>0</v>
      </c>
      <c r="AQ15" s="313">
        <f>Сун!D27</f>
        <v>0</v>
      </c>
      <c r="AR15" s="305" t="e">
        <f t="shared" si="6"/>
        <v>#DIV/0!</v>
      </c>
      <c r="AS15" s="313">
        <f>Сун!C28</f>
        <v>200</v>
      </c>
      <c r="AT15" s="314">
        <f>Сун!D28</f>
        <v>0</v>
      </c>
      <c r="AU15" s="305">
        <f t="shared" ref="AU15:AU29" si="26">AT15/AS15*100</f>
        <v>0</v>
      </c>
      <c r="AV15" s="307">
        <f>Сун!C29</f>
        <v>50</v>
      </c>
      <c r="AW15" s="314">
        <f>Сун!D29</f>
        <v>0</v>
      </c>
      <c r="AX15" s="305">
        <f t="shared" ref="AX15:AX29" si="27">AW15/AV15*100</f>
        <v>0</v>
      </c>
      <c r="AY15" s="313"/>
      <c r="AZ15" s="313"/>
      <c r="BA15" s="305" t="e">
        <f t="shared" ref="BA15:BA29" si="28">AZ15/AY15*100</f>
        <v>#DIV/0!</v>
      </c>
      <c r="BB15" s="305">
        <f>Сун!C31</f>
        <v>30</v>
      </c>
      <c r="BC15" s="308">
        <f>SUM(Сун!D30)</f>
        <v>42.664990000000003</v>
      </c>
      <c r="BD15" s="305">
        <f t="shared" ref="BD15:BD31" si="29">BC15/BB15*100</f>
        <v>142.21663333333333</v>
      </c>
      <c r="BE15" s="305"/>
      <c r="BF15" s="305"/>
      <c r="BG15" s="305"/>
      <c r="BH15" s="305">
        <f>Сун!C33</f>
        <v>0</v>
      </c>
      <c r="BI15" s="305">
        <f>Сун!D33</f>
        <v>22.8</v>
      </c>
      <c r="BJ15" s="305" t="e">
        <f t="shared" ref="BJ15:BJ31" si="30">BI15/BH15*100</f>
        <v>#DIV/0!</v>
      </c>
      <c r="BK15" s="305"/>
      <c r="BL15" s="305"/>
      <c r="BM15" s="305" t="e">
        <f t="shared" ref="BM15:BM29" si="31">BL15/BK15*100</f>
        <v>#DIV/0!</v>
      </c>
      <c r="BN15" s="305">
        <f>Сун!C36</f>
        <v>0</v>
      </c>
      <c r="BO15" s="305">
        <f>Сун!D36</f>
        <v>0</v>
      </c>
      <c r="BP15" s="305"/>
      <c r="BQ15" s="305">
        <f>Сун!C36</f>
        <v>0</v>
      </c>
      <c r="BR15" s="305">
        <f>Сун!D36</f>
        <v>0</v>
      </c>
      <c r="BS15" s="298" t="e">
        <f t="shared" ref="BS15:BS29" si="32">BR15/BQ15*100</f>
        <v>#DIV/0!</v>
      </c>
      <c r="BT15" s="305">
        <f>Сун!C38</f>
        <v>0</v>
      </c>
      <c r="BU15" s="305">
        <f>Сун!D38</f>
        <v>0</v>
      </c>
      <c r="BV15" s="305" t="e">
        <f t="shared" ref="BV15:BV29" si="33">BU15/BT15*100</f>
        <v>#DIV/0!</v>
      </c>
      <c r="BW15" s="305"/>
      <c r="BX15" s="305"/>
      <c r="BY15" s="315" t="e">
        <f t="shared" ref="BY15:BY29" si="34">BW15/BX15*100</f>
        <v>#DIV/0!</v>
      </c>
      <c r="BZ15" s="315"/>
      <c r="CA15" s="315"/>
      <c r="CB15" s="315" t="e">
        <f t="shared" ref="CB15:CB29" si="35">BZ15/CA15*100</f>
        <v>#DIV/0!</v>
      </c>
      <c r="CC15" s="303">
        <f t="shared" ref="CC15:CC29" si="36">CF15+CI15+CL15+CO15+CU15+CR15</f>
        <v>26954.695150000003</v>
      </c>
      <c r="CD15" s="303">
        <f t="shared" ref="CD15:CD29" si="37">CG15+CJ15+CM15+CP15+CV15+CS15+CY15</f>
        <v>8249.8012600000002</v>
      </c>
      <c r="CE15" s="305">
        <f>CD15/CC15*100</f>
        <v>30.606175340105818</v>
      </c>
      <c r="CF15" s="305">
        <f>Сун!C43</f>
        <v>5604.2</v>
      </c>
      <c r="CG15" s="305">
        <f>Сун!D43</f>
        <v>3269.1190000000001</v>
      </c>
      <c r="CH15" s="305">
        <f t="shared" ref="CH15:CH29" si="38">CG15/CF15*100</f>
        <v>58.33337496877342</v>
      </c>
      <c r="CI15" s="305">
        <f>Сун!C44</f>
        <v>0</v>
      </c>
      <c r="CJ15" s="460">
        <f>Сун!D44</f>
        <v>0</v>
      </c>
      <c r="CK15" s="305" t="e">
        <f t="shared" ref="CK15:CK29" si="39">CJ15/CI15*100</f>
        <v>#DIV/0!</v>
      </c>
      <c r="CL15" s="316">
        <f>Сун!C45</f>
        <v>20874.37225</v>
      </c>
      <c r="CM15" s="305">
        <f>Сун!D45</f>
        <v>4781.3043600000001</v>
      </c>
      <c r="CN15" s="305">
        <f t="shared" si="7"/>
        <v>22.905140824055202</v>
      </c>
      <c r="CO15" s="305">
        <f>Сун!C47</f>
        <v>257.20389999999998</v>
      </c>
      <c r="CP15" s="305">
        <f>Сун!D47</f>
        <v>174.25389999999999</v>
      </c>
      <c r="CQ15" s="305">
        <f t="shared" si="8"/>
        <v>67.749322619136024</v>
      </c>
      <c r="CR15" s="305">
        <f>Сун!C48</f>
        <v>218.91900000000001</v>
      </c>
      <c r="CS15" s="305">
        <f>Сун!D48</f>
        <v>25.123999999999999</v>
      </c>
      <c r="CT15" s="298">
        <f t="shared" ref="CT15:CT29" si="40">CS15/CR15*100</f>
        <v>11.476390811213278</v>
      </c>
      <c r="CU15" s="317">
        <f>Сун!C49</f>
        <v>0</v>
      </c>
      <c r="CV15" s="305">
        <f>Сун!D49</f>
        <v>0</v>
      </c>
      <c r="CW15" s="305" t="e">
        <f t="shared" si="9"/>
        <v>#DIV/0!</v>
      </c>
      <c r="CX15" s="305"/>
      <c r="CY15" s="305"/>
      <c r="CZ15" s="305"/>
      <c r="DA15" s="313"/>
      <c r="DB15" s="313"/>
      <c r="DC15" s="305" t="e">
        <f t="shared" ref="DC15:DC29" si="41">DB15/DA15*100</f>
        <v>#DIV/0!</v>
      </c>
      <c r="DD15" s="305"/>
      <c r="DE15" s="305"/>
      <c r="DF15" s="305"/>
      <c r="DG15" s="305"/>
      <c r="DH15" s="305"/>
      <c r="DI15" s="305"/>
      <c r="DJ15" s="307">
        <f>DM15+EB15+EE15+EH15+EK15+EN15+EQ15+ET15+EW15</f>
        <v>32721.834940000001</v>
      </c>
      <c r="DK15" s="307">
        <f t="shared" ref="DJ15:DK29" si="42">DN15+EC15+EF15+EI15+EL15+EO15+ER15+EU15+EX15</f>
        <v>10789.413519999998</v>
      </c>
      <c r="DL15" s="305">
        <f t="shared" ref="DL15:DL29" si="43">DK15/DJ15*100</f>
        <v>32.973131059990607</v>
      </c>
      <c r="DM15" s="313">
        <f>DP15+DS15+DV15+DY15</f>
        <v>2101.6309999999999</v>
      </c>
      <c r="DN15" s="313">
        <f t="shared" ref="DM15:DN29" si="44">DQ15+DT15+DW15+DZ15</f>
        <v>868.15634999999997</v>
      </c>
      <c r="DO15" s="305">
        <f t="shared" ref="DO15:DO29" si="45">DN15/DM15*100</f>
        <v>41.308695484602197</v>
      </c>
      <c r="DP15" s="305">
        <f>Сун!C60</f>
        <v>2079.319</v>
      </c>
      <c r="DQ15" s="305">
        <f>Сун!D60</f>
        <v>855.84434999999996</v>
      </c>
      <c r="DR15" s="305">
        <f t="shared" ref="DR15:DR29" si="46">DQ15/DP15*100</f>
        <v>41.159838870322446</v>
      </c>
      <c r="DS15" s="305">
        <f>Сун!C63</f>
        <v>0</v>
      </c>
      <c r="DT15" s="305">
        <f>Сун!D63</f>
        <v>0</v>
      </c>
      <c r="DU15" s="305" t="e">
        <f t="shared" ref="DU15:DU29" si="47">DT15/DS15*100</f>
        <v>#DIV/0!</v>
      </c>
      <c r="DV15" s="305">
        <f>Сун!C64</f>
        <v>10</v>
      </c>
      <c r="DW15" s="305">
        <f>Сун!D64</f>
        <v>0</v>
      </c>
      <c r="DX15" s="305">
        <f t="shared" ref="DX15:DX29" si="48">DW15/DV15*100</f>
        <v>0</v>
      </c>
      <c r="DY15" s="305">
        <f>Сун!C65</f>
        <v>12.311999999999999</v>
      </c>
      <c r="DZ15" s="305">
        <f>Сун!D65</f>
        <v>12.311999999999999</v>
      </c>
      <c r="EA15" s="305">
        <f t="shared" ref="EA15:EA29" si="49">DZ15/DY15*100</f>
        <v>100</v>
      </c>
      <c r="EB15" s="305">
        <f>Сун!C67</f>
        <v>235.76499999999999</v>
      </c>
      <c r="EC15" s="305">
        <f>Сун!D67</f>
        <v>116.20977999999999</v>
      </c>
      <c r="ED15" s="305">
        <f t="shared" ref="ED15:ED31" si="50">EC15/EB15*100</f>
        <v>49.290513859139395</v>
      </c>
      <c r="EE15" s="305">
        <f>Сун!C68</f>
        <v>23</v>
      </c>
      <c r="EF15" s="305">
        <f>Сун!D68</f>
        <v>11.731339999999999</v>
      </c>
      <c r="EG15" s="305">
        <f t="shared" ref="EG15:EG31" si="51">EF15/EE15*100</f>
        <v>51.005826086956517</v>
      </c>
      <c r="EH15" s="313">
        <f>Сун!C74</f>
        <v>2972.07555</v>
      </c>
      <c r="EI15" s="313">
        <f>Сун!D74</f>
        <v>1020.1797</v>
      </c>
      <c r="EJ15" s="305">
        <f t="shared" ref="EJ15:EJ29" si="52">EI15/EH15*100</f>
        <v>34.325496873725164</v>
      </c>
      <c r="EK15" s="313">
        <f>Сун!C79</f>
        <v>24047.463389999997</v>
      </c>
      <c r="EL15" s="313">
        <f>Сун!D79</f>
        <v>6847.6319999999996</v>
      </c>
      <c r="EM15" s="305">
        <f t="shared" ref="EM15:EM29" si="53">EL15/EK15*100</f>
        <v>28.47548570485629</v>
      </c>
      <c r="EN15" s="313">
        <f>Сун!C84</f>
        <v>3331.9</v>
      </c>
      <c r="EO15" s="318">
        <f>Сун!D84</f>
        <v>1925.5043499999999</v>
      </c>
      <c r="EP15" s="305">
        <f t="shared" si="10"/>
        <v>57.789980191482336</v>
      </c>
      <c r="EQ15" s="305">
        <f>Сун!C87</f>
        <v>0</v>
      </c>
      <c r="ER15" s="305">
        <f>Сун!D87</f>
        <v>0</v>
      </c>
      <c r="ES15" s="305" t="e">
        <f t="shared" si="11"/>
        <v>#DIV/0!</v>
      </c>
      <c r="ET15" s="319">
        <f>Сун!C92</f>
        <v>10</v>
      </c>
      <c r="EU15" s="319">
        <f>Сун!D92</f>
        <v>0</v>
      </c>
      <c r="EV15" s="305">
        <f t="shared" ref="EV15:EV29" si="54">EU15/ET15*100</f>
        <v>0</v>
      </c>
      <c r="EW15" s="305">
        <f>Сун!C98</f>
        <v>0</v>
      </c>
      <c r="EX15" s="305">
        <f>Сун!D98</f>
        <v>0</v>
      </c>
      <c r="EY15" s="298" t="e">
        <f>EX15/EW15*100</f>
        <v>#DIV/0!</v>
      </c>
      <c r="EZ15" s="312">
        <f t="shared" si="12"/>
        <v>-1794.739789999996</v>
      </c>
      <c r="FA15" s="312">
        <f t="shared" si="13"/>
        <v>-753.20300999999745</v>
      </c>
      <c r="FB15" s="298">
        <f>FA15/EZ15*100%</f>
        <v>0.41967254205691795</v>
      </c>
      <c r="FC15" s="159"/>
      <c r="FD15" s="160"/>
      <c r="FF15" s="160"/>
    </row>
    <row r="16" spans="1:162" s="157" customFormat="1" ht="25.5" customHeight="1">
      <c r="A16" s="341">
        <v>3</v>
      </c>
      <c r="B16" s="343" t="s">
        <v>292</v>
      </c>
      <c r="C16" s="320">
        <f t="shared" si="14"/>
        <v>15800.080139999998</v>
      </c>
      <c r="D16" s="297">
        <f t="shared" si="0"/>
        <v>5954.9215299999987</v>
      </c>
      <c r="E16" s="305">
        <f t="shared" si="1"/>
        <v>37.689185606877558</v>
      </c>
      <c r="F16" s="299">
        <f t="shared" si="15"/>
        <v>2507.9700000000003</v>
      </c>
      <c r="G16" s="299">
        <f t="shared" si="3"/>
        <v>974.35031000000004</v>
      </c>
      <c r="H16" s="305">
        <f t="shared" si="16"/>
        <v>38.850158095989983</v>
      </c>
      <c r="I16" s="298">
        <f t="shared" si="17"/>
        <v>2207.9700000000003</v>
      </c>
      <c r="J16" s="305"/>
      <c r="K16" s="305"/>
      <c r="L16" s="321">
        <f>Иль!C6</f>
        <v>120</v>
      </c>
      <c r="M16" s="448">
        <f>Иль!D6</f>
        <v>27.599029999999999</v>
      </c>
      <c r="N16" s="305">
        <f t="shared" si="18"/>
        <v>22.999191666666665</v>
      </c>
      <c r="O16" s="305">
        <f>Иль!C8</f>
        <v>290.18299999999999</v>
      </c>
      <c r="P16" s="305">
        <f>Иль!D8</f>
        <v>250.44459000000001</v>
      </c>
      <c r="Q16" s="298">
        <f t="shared" si="19"/>
        <v>86.305741549298205</v>
      </c>
      <c r="R16" s="298">
        <f>Иль!C9</f>
        <v>3.1120000000000001</v>
      </c>
      <c r="S16" s="298">
        <f>Иль!D9</f>
        <v>1.47357</v>
      </c>
      <c r="T16" s="298">
        <f t="shared" si="20"/>
        <v>47.35122107969152</v>
      </c>
      <c r="U16" s="298">
        <f>Иль!C10</f>
        <v>484.67500000000001</v>
      </c>
      <c r="V16" s="298">
        <f>Иль!D10</f>
        <v>289.41449</v>
      </c>
      <c r="W16" s="298">
        <f t="shared" si="21"/>
        <v>59.713104657760354</v>
      </c>
      <c r="X16" s="298">
        <f>Иль!C11</f>
        <v>0</v>
      </c>
      <c r="Y16" s="302">
        <f>Иль!D11</f>
        <v>-28.99708</v>
      </c>
      <c r="Z16" s="298" t="e">
        <f t="shared" si="22"/>
        <v>#DIV/0!</v>
      </c>
      <c r="AA16" s="313">
        <f>Иль!C13</f>
        <v>10</v>
      </c>
      <c r="AB16" s="313">
        <f>Иль!D13</f>
        <v>2.7930000000000001</v>
      </c>
      <c r="AC16" s="305">
        <f t="shared" si="23"/>
        <v>27.93</v>
      </c>
      <c r="AD16" s="313">
        <f>Иль!C15</f>
        <v>406</v>
      </c>
      <c r="AE16" s="304">
        <f>Иль!D15</f>
        <v>181.28701000000001</v>
      </c>
      <c r="AF16" s="305">
        <f t="shared" si="24"/>
        <v>44.651972906403941</v>
      </c>
      <c r="AG16" s="313">
        <f>Иль!C16</f>
        <v>890</v>
      </c>
      <c r="AH16" s="313">
        <f>Иль!D16</f>
        <v>114.65628</v>
      </c>
      <c r="AI16" s="305">
        <f t="shared" si="4"/>
        <v>12.882728089887641</v>
      </c>
      <c r="AJ16" s="305">
        <f>Иль!C18</f>
        <v>4</v>
      </c>
      <c r="AK16" s="305">
        <f>Иль!D18</f>
        <v>0.9</v>
      </c>
      <c r="AL16" s="305">
        <f t="shared" si="25"/>
        <v>22.5</v>
      </c>
      <c r="AM16" s="305"/>
      <c r="AN16" s="305"/>
      <c r="AO16" s="305" t="e">
        <f t="shared" si="5"/>
        <v>#DIV/0!</v>
      </c>
      <c r="AP16" s="313">
        <f>Иль!C27</f>
        <v>0</v>
      </c>
      <c r="AQ16" s="313">
        <f>Иль!D27</f>
        <v>0</v>
      </c>
      <c r="AR16" s="305" t="e">
        <f t="shared" si="6"/>
        <v>#DIV/0!</v>
      </c>
      <c r="AS16" s="313">
        <f>Иль!C28</f>
        <v>250</v>
      </c>
      <c r="AT16" s="314">
        <f>Иль!D28</f>
        <v>71.694559999999996</v>
      </c>
      <c r="AU16" s="305">
        <f t="shared" si="26"/>
        <v>28.677823999999998</v>
      </c>
      <c r="AV16" s="307">
        <f>Иль!C29</f>
        <v>20</v>
      </c>
      <c r="AW16" s="314">
        <f>Иль!D29</f>
        <v>18.155999999999999</v>
      </c>
      <c r="AX16" s="305">
        <f t="shared" si="27"/>
        <v>90.78</v>
      </c>
      <c r="AY16" s="313"/>
      <c r="AZ16" s="313"/>
      <c r="BA16" s="305" t="e">
        <f t="shared" si="28"/>
        <v>#DIV/0!</v>
      </c>
      <c r="BB16" s="305">
        <f>Иль!C30</f>
        <v>30</v>
      </c>
      <c r="BC16" s="308">
        <f>Иль!D30</f>
        <v>31.213619999999999</v>
      </c>
      <c r="BD16" s="305">
        <f t="shared" si="29"/>
        <v>104.0454</v>
      </c>
      <c r="BE16" s="305"/>
      <c r="BF16" s="305"/>
      <c r="BG16" s="305"/>
      <c r="BH16" s="305">
        <f>Иль!C35</f>
        <v>0</v>
      </c>
      <c r="BI16" s="305">
        <f>SUM(Иль!D33)</f>
        <v>0</v>
      </c>
      <c r="BJ16" s="305" t="e">
        <f t="shared" si="30"/>
        <v>#DIV/0!</v>
      </c>
      <c r="BK16" s="305"/>
      <c r="BL16" s="305"/>
      <c r="BM16" s="305" t="e">
        <f t="shared" si="31"/>
        <v>#DIV/0!</v>
      </c>
      <c r="BN16" s="305"/>
      <c r="BO16" s="305"/>
      <c r="BP16" s="305"/>
      <c r="BQ16" s="305">
        <f>Иль!C36</f>
        <v>0</v>
      </c>
      <c r="BR16" s="305">
        <f>Иль!D36</f>
        <v>13.71524</v>
      </c>
      <c r="BS16" s="298" t="e">
        <f t="shared" si="32"/>
        <v>#DIV/0!</v>
      </c>
      <c r="BT16" s="305">
        <v>0</v>
      </c>
      <c r="BU16" s="305">
        <f>Иль!D39</f>
        <v>0</v>
      </c>
      <c r="BV16" s="305" t="e">
        <f t="shared" si="33"/>
        <v>#DIV/0!</v>
      </c>
      <c r="BW16" s="305"/>
      <c r="BX16" s="305"/>
      <c r="BY16" s="315" t="e">
        <f t="shared" si="34"/>
        <v>#DIV/0!</v>
      </c>
      <c r="BZ16" s="315"/>
      <c r="CA16" s="315"/>
      <c r="CB16" s="315" t="e">
        <f t="shared" si="35"/>
        <v>#DIV/0!</v>
      </c>
      <c r="CC16" s="303">
        <f>CF16+CI16+CL16+CO16+CU16+CR16</f>
        <v>13292.110139999999</v>
      </c>
      <c r="CD16" s="303">
        <f t="shared" si="37"/>
        <v>4980.5712199999989</v>
      </c>
      <c r="CE16" s="305">
        <f>CD16/CC16*100</f>
        <v>37.4701320372899</v>
      </c>
      <c r="CF16" s="305">
        <f>Иль!C44</f>
        <v>2693</v>
      </c>
      <c r="CG16" s="305">
        <f>Иль!D44</f>
        <v>1570.9190000000001</v>
      </c>
      <c r="CH16" s="305">
        <f t="shared" si="38"/>
        <v>58.333419977720013</v>
      </c>
      <c r="CI16" s="305">
        <f>Иль!C45</f>
        <v>0</v>
      </c>
      <c r="CJ16" s="460">
        <f>Иль!D45</f>
        <v>0</v>
      </c>
      <c r="CK16" s="305" t="e">
        <f t="shared" si="39"/>
        <v>#DIV/0!</v>
      </c>
      <c r="CL16" s="298">
        <f>Иль!C46</f>
        <v>7559.90344</v>
      </c>
      <c r="CM16" s="305">
        <f>Иль!D46</f>
        <v>2507.1476400000001</v>
      </c>
      <c r="CN16" s="305">
        <f t="shared" si="7"/>
        <v>33.163752155014301</v>
      </c>
      <c r="CO16" s="305">
        <f>Иль!C48</f>
        <v>108.5819</v>
      </c>
      <c r="CP16" s="305">
        <f>Иль!D48</f>
        <v>66.573999999999998</v>
      </c>
      <c r="CQ16" s="305">
        <f t="shared" si="8"/>
        <v>61.312244490103787</v>
      </c>
      <c r="CR16" s="305">
        <f>Иль!C49</f>
        <v>1894.40842</v>
      </c>
      <c r="CS16" s="305">
        <f>Иль!D49</f>
        <v>388.20274000000001</v>
      </c>
      <c r="CT16" s="298">
        <f t="shared" si="40"/>
        <v>20.492029907679569</v>
      </c>
      <c r="CU16" s="317">
        <f>Иль!C53</f>
        <v>1036.2163800000001</v>
      </c>
      <c r="CV16" s="305">
        <f>Иль!D53</f>
        <v>447.72784000000001</v>
      </c>
      <c r="CW16" s="305">
        <f t="shared" si="9"/>
        <v>43.20794851747084</v>
      </c>
      <c r="CX16" s="305"/>
      <c r="CY16" s="305"/>
      <c r="CZ16" s="305"/>
      <c r="DA16" s="313"/>
      <c r="DB16" s="313"/>
      <c r="DC16" s="305" t="e">
        <f t="shared" si="41"/>
        <v>#DIV/0!</v>
      </c>
      <c r="DD16" s="305"/>
      <c r="DE16" s="305"/>
      <c r="DF16" s="305"/>
      <c r="DG16" s="305"/>
      <c r="DH16" s="305"/>
      <c r="DI16" s="305">
        <v>0</v>
      </c>
      <c r="DJ16" s="307">
        <f t="shared" si="42"/>
        <v>16907.047010000002</v>
      </c>
      <c r="DK16" s="307">
        <f t="shared" si="42"/>
        <v>6641.380979999999</v>
      </c>
      <c r="DL16" s="305">
        <f t="shared" si="43"/>
        <v>39.281732499305313</v>
      </c>
      <c r="DM16" s="313">
        <f t="shared" si="44"/>
        <v>1680.6880000000001</v>
      </c>
      <c r="DN16" s="313">
        <f t="shared" si="44"/>
        <v>646.36961999999994</v>
      </c>
      <c r="DO16" s="305">
        <f t="shared" si="45"/>
        <v>38.458632417200569</v>
      </c>
      <c r="DP16" s="305">
        <f>Иль!C61</f>
        <v>1659.26</v>
      </c>
      <c r="DQ16" s="305">
        <f>Иль!D61</f>
        <v>639.94161999999994</v>
      </c>
      <c r="DR16" s="305">
        <f t="shared" si="46"/>
        <v>38.567892916119227</v>
      </c>
      <c r="DS16" s="305">
        <f>Иль!C64</f>
        <v>0</v>
      </c>
      <c r="DT16" s="305">
        <f>Иль!D64</f>
        <v>0</v>
      </c>
      <c r="DU16" s="305" t="e">
        <f t="shared" si="47"/>
        <v>#DIV/0!</v>
      </c>
      <c r="DV16" s="305">
        <f>Иль!C65</f>
        <v>10</v>
      </c>
      <c r="DW16" s="305">
        <f>Иль!D65</f>
        <v>0</v>
      </c>
      <c r="DX16" s="305">
        <f t="shared" si="48"/>
        <v>0</v>
      </c>
      <c r="DY16" s="305">
        <f>Иль!C66</f>
        <v>11.428000000000001</v>
      </c>
      <c r="DZ16" s="305">
        <f>Иль!D66</f>
        <v>6.4279999999999999</v>
      </c>
      <c r="EA16" s="305">
        <f t="shared" si="49"/>
        <v>56.247812390619522</v>
      </c>
      <c r="EB16" s="305">
        <f>Иль!C68</f>
        <v>94.305999999999997</v>
      </c>
      <c r="EC16" s="305">
        <f>Иль!D68</f>
        <v>46.29665</v>
      </c>
      <c r="ED16" s="305">
        <f t="shared" si="50"/>
        <v>49.091945369329629</v>
      </c>
      <c r="EE16" s="305">
        <f>Иль!C69</f>
        <v>38.5</v>
      </c>
      <c r="EF16" s="305">
        <f>Иль!D69</f>
        <v>4.83134</v>
      </c>
      <c r="EG16" s="305">
        <f t="shared" si="51"/>
        <v>12.548935064935065</v>
      </c>
      <c r="EH16" s="313">
        <f>Иль!C75</f>
        <v>11945.0244</v>
      </c>
      <c r="EI16" s="313">
        <f>Иль!D75</f>
        <v>4255.0829999999996</v>
      </c>
      <c r="EJ16" s="305">
        <f t="shared" si="52"/>
        <v>35.622221081440401</v>
      </c>
      <c r="EK16" s="313">
        <f>Иль!C82</f>
        <v>1057.80429</v>
      </c>
      <c r="EL16" s="313">
        <f>Иль!D82</f>
        <v>550.38639999999998</v>
      </c>
      <c r="EM16" s="305">
        <f t="shared" si="53"/>
        <v>52.031023621581262</v>
      </c>
      <c r="EN16" s="313">
        <f>Иль!C86</f>
        <v>2080.7243199999998</v>
      </c>
      <c r="EO16" s="318">
        <f>Иль!D86</f>
        <v>1137.3739700000001</v>
      </c>
      <c r="EP16" s="305">
        <f t="shared" si="10"/>
        <v>54.662405733787942</v>
      </c>
      <c r="EQ16" s="305">
        <f>Иль!C88</f>
        <v>0</v>
      </c>
      <c r="ER16" s="305">
        <f>Иль!D88</f>
        <v>0</v>
      </c>
      <c r="ES16" s="305" t="e">
        <f t="shared" si="11"/>
        <v>#DIV/0!</v>
      </c>
      <c r="ET16" s="319">
        <f>Иль!C93</f>
        <v>10</v>
      </c>
      <c r="EU16" s="319">
        <f>Иль!D93</f>
        <v>1.04</v>
      </c>
      <c r="EV16" s="305">
        <f t="shared" si="54"/>
        <v>10.4</v>
      </c>
      <c r="EW16" s="305">
        <f>Иль!C99</f>
        <v>0</v>
      </c>
      <c r="EX16" s="305">
        <f>Иль!D99</f>
        <v>0</v>
      </c>
      <c r="EY16" s="298" t="e">
        <f t="shared" ref="EY16:EY29" si="55">EX16/EW16*100</f>
        <v>#DIV/0!</v>
      </c>
      <c r="EZ16" s="312">
        <f t="shared" si="12"/>
        <v>-1106.9668700000038</v>
      </c>
      <c r="FA16" s="312">
        <f t="shared" si="13"/>
        <v>-686.45945000000029</v>
      </c>
      <c r="FB16" s="298">
        <f>FA16/EZ16*100</f>
        <v>62.012646322468342</v>
      </c>
      <c r="FC16" s="159"/>
      <c r="FD16" s="160"/>
      <c r="FF16" s="160"/>
    </row>
    <row r="17" spans="1:173" s="157" customFormat="1" ht="22.5" customHeight="1">
      <c r="A17" s="341">
        <v>4</v>
      </c>
      <c r="B17" s="343" t="s">
        <v>293</v>
      </c>
      <c r="C17" s="320">
        <f t="shared" si="14"/>
        <v>12307.34326</v>
      </c>
      <c r="D17" s="297">
        <f t="shared" si="0"/>
        <v>5187.3483999999999</v>
      </c>
      <c r="E17" s="305">
        <f t="shared" si="1"/>
        <v>42.148401083923289</v>
      </c>
      <c r="F17" s="299">
        <f t="shared" si="15"/>
        <v>5319.61</v>
      </c>
      <c r="G17" s="299">
        <f t="shared" si="3"/>
        <v>2450.0774799999999</v>
      </c>
      <c r="H17" s="305">
        <f t="shared" si="16"/>
        <v>46.057464362989023</v>
      </c>
      <c r="I17" s="298">
        <f t="shared" si="17"/>
        <v>5077.6099999999997</v>
      </c>
      <c r="J17" s="305"/>
      <c r="K17" s="305"/>
      <c r="L17" s="313">
        <f>Кад!C6</f>
        <v>594</v>
      </c>
      <c r="M17" s="449">
        <f>Кад!D6</f>
        <v>383.87704000000002</v>
      </c>
      <c r="N17" s="305">
        <f t="shared" si="18"/>
        <v>64.625764309764307</v>
      </c>
      <c r="O17" s="305">
        <f>Кад!C8</f>
        <v>345.25299999999999</v>
      </c>
      <c r="P17" s="305">
        <f>Кад!D8</f>
        <v>297.97426000000002</v>
      </c>
      <c r="Q17" s="298">
        <f t="shared" si="19"/>
        <v>86.306059614253911</v>
      </c>
      <c r="R17" s="298">
        <f>Кад!C9</f>
        <v>3.702</v>
      </c>
      <c r="S17" s="298">
        <f>Кад!D9</f>
        <v>1.7532399999999999</v>
      </c>
      <c r="T17" s="298">
        <f t="shared" si="20"/>
        <v>47.359265262020529</v>
      </c>
      <c r="U17" s="298">
        <f>Кад!C10</f>
        <v>576.65499999999997</v>
      </c>
      <c r="V17" s="298">
        <f>Кад!D10</f>
        <v>344.33987999999999</v>
      </c>
      <c r="W17" s="298">
        <f t="shared" si="21"/>
        <v>59.713325992144348</v>
      </c>
      <c r="X17" s="298">
        <f>Кад!C11</f>
        <v>0</v>
      </c>
      <c r="Y17" s="302">
        <f>Кад!D11</f>
        <v>-34.50018</v>
      </c>
      <c r="Z17" s="298" t="e">
        <f t="shared" si="22"/>
        <v>#DIV/0!</v>
      </c>
      <c r="AA17" s="313">
        <f>Кад!C13</f>
        <v>75</v>
      </c>
      <c r="AB17" s="313">
        <f>Кад!D13</f>
        <v>139.58317</v>
      </c>
      <c r="AC17" s="305">
        <f t="shared" si="23"/>
        <v>186.11089333333334</v>
      </c>
      <c r="AD17" s="313">
        <f>Кад!C15</f>
        <v>473</v>
      </c>
      <c r="AE17" s="304">
        <f>Кад!D15</f>
        <v>62.623019999999997</v>
      </c>
      <c r="AF17" s="305">
        <f t="shared" si="24"/>
        <v>13.239539112050739</v>
      </c>
      <c r="AG17" s="313">
        <f>Кад!C16</f>
        <v>3000</v>
      </c>
      <c r="AH17" s="313">
        <f>Кад!D16</f>
        <v>1018.78611</v>
      </c>
      <c r="AI17" s="305">
        <f t="shared" si="4"/>
        <v>33.959536999999997</v>
      </c>
      <c r="AJ17" s="305">
        <f>Кад!C18</f>
        <v>10</v>
      </c>
      <c r="AK17" s="305">
        <f>Кад!D18</f>
        <v>4.9000000000000004</v>
      </c>
      <c r="AL17" s="305">
        <f t="shared" si="25"/>
        <v>49.000000000000007</v>
      </c>
      <c r="AM17" s="305"/>
      <c r="AN17" s="305"/>
      <c r="AO17" s="305" t="e">
        <f t="shared" si="5"/>
        <v>#DIV/0!</v>
      </c>
      <c r="AP17" s="313">
        <v>0</v>
      </c>
      <c r="AQ17" s="313">
        <v>0</v>
      </c>
      <c r="AR17" s="305" t="e">
        <f t="shared" si="6"/>
        <v>#DIV/0!</v>
      </c>
      <c r="AS17" s="313">
        <f>Кад!C27</f>
        <v>200</v>
      </c>
      <c r="AT17" s="314">
        <f>Кад!D27</f>
        <v>197.834</v>
      </c>
      <c r="AU17" s="305">
        <f t="shared" si="26"/>
        <v>98.917000000000002</v>
      </c>
      <c r="AV17" s="307">
        <f>Кад!C28</f>
        <v>12</v>
      </c>
      <c r="AW17" s="314">
        <f>Кад!D28</f>
        <v>10.8</v>
      </c>
      <c r="AX17" s="305">
        <f t="shared" si="27"/>
        <v>90</v>
      </c>
      <c r="AY17" s="313"/>
      <c r="AZ17" s="313"/>
      <c r="BA17" s="305" t="e">
        <f t="shared" si="28"/>
        <v>#DIV/0!</v>
      </c>
      <c r="BB17" s="305">
        <f>Кад!C30</f>
        <v>30</v>
      </c>
      <c r="BC17" s="308">
        <f>Кад!D30</f>
        <v>22.106940000000002</v>
      </c>
      <c r="BD17" s="305">
        <f t="shared" si="29"/>
        <v>73.689800000000005</v>
      </c>
      <c r="BE17" s="305"/>
      <c r="BF17" s="305"/>
      <c r="BG17" s="305"/>
      <c r="BH17" s="305">
        <f>Кад!C33</f>
        <v>0</v>
      </c>
      <c r="BI17" s="305">
        <f>Кад!D33</f>
        <v>0</v>
      </c>
      <c r="BJ17" s="305" t="e">
        <f t="shared" si="30"/>
        <v>#DIV/0!</v>
      </c>
      <c r="BK17" s="305"/>
      <c r="BL17" s="305"/>
      <c r="BM17" s="305" t="e">
        <f t="shared" si="31"/>
        <v>#DIV/0!</v>
      </c>
      <c r="BN17" s="305"/>
      <c r="BO17" s="305"/>
      <c r="BP17" s="305"/>
      <c r="BQ17" s="305">
        <f>Кад!C34</f>
        <v>0</v>
      </c>
      <c r="BR17" s="305">
        <f>Кад!D34</f>
        <v>0</v>
      </c>
      <c r="BS17" s="298" t="e">
        <f t="shared" si="32"/>
        <v>#DIV/0!</v>
      </c>
      <c r="BT17" s="305">
        <f>Кад!C36</f>
        <v>0</v>
      </c>
      <c r="BU17" s="305">
        <f>Кад!D36</f>
        <v>0</v>
      </c>
      <c r="BV17" s="305" t="e">
        <f t="shared" si="33"/>
        <v>#DIV/0!</v>
      </c>
      <c r="BW17" s="305"/>
      <c r="BX17" s="305"/>
      <c r="BY17" s="315" t="e">
        <f t="shared" si="34"/>
        <v>#DIV/0!</v>
      </c>
      <c r="BZ17" s="315"/>
      <c r="CA17" s="315"/>
      <c r="CB17" s="315" t="e">
        <f t="shared" si="35"/>
        <v>#DIV/0!</v>
      </c>
      <c r="CC17" s="303">
        <f t="shared" si="36"/>
        <v>6987.73326</v>
      </c>
      <c r="CD17" s="303">
        <f>CG17+CJ17+CM17+CP17+CV17+CS17+CY17</f>
        <v>2737.2709199999999</v>
      </c>
      <c r="CE17" s="305">
        <f>CD17/CC17*100</f>
        <v>39.172515866754765</v>
      </c>
      <c r="CF17" s="305">
        <f>Кад!C41</f>
        <v>2418.1</v>
      </c>
      <c r="CG17" s="305">
        <f>Кад!D41</f>
        <v>1410.556</v>
      </c>
      <c r="CH17" s="305">
        <f t="shared" si="38"/>
        <v>58.333236838840421</v>
      </c>
      <c r="CI17" s="305">
        <f>Кад!C42</f>
        <v>0</v>
      </c>
      <c r="CJ17" s="460">
        <f>Кад!D42</f>
        <v>0</v>
      </c>
      <c r="CK17" s="305" t="e">
        <f t="shared" si="39"/>
        <v>#DIV/0!</v>
      </c>
      <c r="CL17" s="298">
        <f>Кад!C43</f>
        <v>3859.5329999999999</v>
      </c>
      <c r="CM17" s="305">
        <f>Кад!D43</f>
        <v>1123.114</v>
      </c>
      <c r="CN17" s="305">
        <f t="shared" si="7"/>
        <v>29.099738232578915</v>
      </c>
      <c r="CO17" s="305">
        <f>Кад!C45</f>
        <v>235.76499999999999</v>
      </c>
      <c r="CP17" s="305">
        <f>Кад!D45</f>
        <v>152.815</v>
      </c>
      <c r="CQ17" s="305">
        <f t="shared" si="8"/>
        <v>64.816660657858463</v>
      </c>
      <c r="CR17" s="305">
        <f>Кад!C46</f>
        <v>148.333</v>
      </c>
      <c r="CS17" s="305">
        <f>Кад!D46</f>
        <v>50.785919999999997</v>
      </c>
      <c r="CT17" s="298">
        <f t="shared" si="40"/>
        <v>34.237775815226549</v>
      </c>
      <c r="CU17" s="317">
        <f>Кад!C47</f>
        <v>326.00225999999998</v>
      </c>
      <c r="CV17" s="305">
        <f>Кад!D47</f>
        <v>0</v>
      </c>
      <c r="CW17" s="305">
        <f t="shared" si="9"/>
        <v>0</v>
      </c>
      <c r="CX17" s="305"/>
      <c r="CY17" s="305"/>
      <c r="CZ17" s="305"/>
      <c r="DA17" s="313"/>
      <c r="DB17" s="313"/>
      <c r="DC17" s="305" t="e">
        <f t="shared" si="41"/>
        <v>#DIV/0!</v>
      </c>
      <c r="DD17" s="305"/>
      <c r="DE17" s="305"/>
      <c r="DF17" s="305"/>
      <c r="DG17" s="305"/>
      <c r="DH17" s="305"/>
      <c r="DI17" s="305"/>
      <c r="DJ17" s="307">
        <f t="shared" si="42"/>
        <v>14026.741540000001</v>
      </c>
      <c r="DK17" s="307">
        <f t="shared" si="42"/>
        <v>5582.1358700000001</v>
      </c>
      <c r="DL17" s="305">
        <f t="shared" si="43"/>
        <v>39.796383601148179</v>
      </c>
      <c r="DM17" s="313">
        <f t="shared" si="44"/>
        <v>2002.9079999999999</v>
      </c>
      <c r="DN17" s="313">
        <f t="shared" si="44"/>
        <v>1058.66884</v>
      </c>
      <c r="DO17" s="305">
        <f t="shared" si="45"/>
        <v>52.856588520291503</v>
      </c>
      <c r="DP17" s="305">
        <f>Кад!C57</f>
        <v>1927.808</v>
      </c>
      <c r="DQ17" s="305">
        <f>Кад!D57</f>
        <v>995.56884000000002</v>
      </c>
      <c r="DR17" s="305">
        <f t="shared" si="46"/>
        <v>51.642530791448117</v>
      </c>
      <c r="DS17" s="305">
        <f>Кад!C60</f>
        <v>0</v>
      </c>
      <c r="DT17" s="305">
        <f>Кад!D60</f>
        <v>0</v>
      </c>
      <c r="DU17" s="305" t="e">
        <f t="shared" si="47"/>
        <v>#DIV/0!</v>
      </c>
      <c r="DV17" s="305">
        <f>Кад!C61</f>
        <v>10</v>
      </c>
      <c r="DW17" s="305">
        <f>Кад!D61</f>
        <v>0</v>
      </c>
      <c r="DX17" s="305">
        <f t="shared" si="48"/>
        <v>0</v>
      </c>
      <c r="DY17" s="305">
        <f>Кад!C62</f>
        <v>65.099999999999994</v>
      </c>
      <c r="DZ17" s="305">
        <f>Кад!D62</f>
        <v>63.1</v>
      </c>
      <c r="EA17" s="305">
        <f t="shared" si="49"/>
        <v>96.927803379416289</v>
      </c>
      <c r="EB17" s="305">
        <f>Кад!C64</f>
        <v>235.76499999999999</v>
      </c>
      <c r="EC17" s="305">
        <f>Кад!D64</f>
        <v>129.27976000000001</v>
      </c>
      <c r="ED17" s="305">
        <f t="shared" si="50"/>
        <v>54.834161135028538</v>
      </c>
      <c r="EE17" s="305">
        <f>Кад!C65</f>
        <v>18.899999999999999</v>
      </c>
      <c r="EF17" s="305">
        <f>Кад!D65</f>
        <v>6.2313399999999994</v>
      </c>
      <c r="EG17" s="305">
        <f t="shared" si="51"/>
        <v>32.970052910052914</v>
      </c>
      <c r="EH17" s="313">
        <f>Кад!C71</f>
        <v>5122.4980400000004</v>
      </c>
      <c r="EI17" s="313">
        <f>Кад!D71</f>
        <v>2301.1348899999998</v>
      </c>
      <c r="EJ17" s="305">
        <f t="shared" si="52"/>
        <v>44.922123386503038</v>
      </c>
      <c r="EK17" s="313">
        <f>Кад!C76</f>
        <v>4383.2705000000005</v>
      </c>
      <c r="EL17" s="313">
        <f>Кад!D76</f>
        <v>942.48604</v>
      </c>
      <c r="EM17" s="305">
        <f t="shared" si="53"/>
        <v>21.501890882618351</v>
      </c>
      <c r="EN17" s="313">
        <f>Кад!C80</f>
        <v>2248.4</v>
      </c>
      <c r="EO17" s="318">
        <f>Кад!D80</f>
        <v>1144.335</v>
      </c>
      <c r="EP17" s="305">
        <f t="shared" si="10"/>
        <v>50.89552570716954</v>
      </c>
      <c r="EQ17" s="305">
        <f>Кад!C82</f>
        <v>0</v>
      </c>
      <c r="ER17" s="305">
        <f>Кад!D82</f>
        <v>0</v>
      </c>
      <c r="ES17" s="305" t="e">
        <f t="shared" si="11"/>
        <v>#DIV/0!</v>
      </c>
      <c r="ET17" s="319">
        <f>Кад!C87</f>
        <v>15</v>
      </c>
      <c r="EU17" s="319">
        <f>Кад!D87</f>
        <v>0</v>
      </c>
      <c r="EV17" s="305">
        <f t="shared" si="54"/>
        <v>0</v>
      </c>
      <c r="EW17" s="305">
        <f>Кад!C93</f>
        <v>0</v>
      </c>
      <c r="EX17" s="305">
        <f>Кад!D93</f>
        <v>0</v>
      </c>
      <c r="EY17" s="298" t="e">
        <f t="shared" si="55"/>
        <v>#DIV/0!</v>
      </c>
      <c r="EZ17" s="312">
        <f t="shared" si="12"/>
        <v>-1719.3982800000013</v>
      </c>
      <c r="FA17" s="312">
        <f t="shared" si="13"/>
        <v>-394.78747000000021</v>
      </c>
      <c r="FB17" s="298">
        <f>FA17/EZ17*100</f>
        <v>22.960792423265652</v>
      </c>
      <c r="FC17" s="159"/>
      <c r="FD17" s="160"/>
      <c r="FF17" s="160"/>
    </row>
    <row r="18" spans="1:173" s="169" customFormat="1" ht="20.25" customHeight="1">
      <c r="A18" s="344">
        <v>5</v>
      </c>
      <c r="B18" s="345" t="s">
        <v>294</v>
      </c>
      <c r="C18" s="322">
        <f t="shared" si="14"/>
        <v>24484.668239999999</v>
      </c>
      <c r="D18" s="323">
        <f t="shared" si="0"/>
        <v>7279.3230900000008</v>
      </c>
      <c r="E18" s="308">
        <f t="shared" si="1"/>
        <v>29.73012751754565</v>
      </c>
      <c r="F18" s="299">
        <f t="shared" si="15"/>
        <v>5684.1</v>
      </c>
      <c r="G18" s="324">
        <f t="shared" si="3"/>
        <v>2182.5854900000004</v>
      </c>
      <c r="H18" s="308">
        <f t="shared" si="16"/>
        <v>38.398083953484289</v>
      </c>
      <c r="I18" s="298">
        <f t="shared" si="17"/>
        <v>5684.1</v>
      </c>
      <c r="J18" s="308"/>
      <c r="K18" s="308"/>
      <c r="L18" s="301">
        <f>Мор!C6</f>
        <v>2181</v>
      </c>
      <c r="M18" s="448">
        <f>Мор!D6</f>
        <v>1068.88985</v>
      </c>
      <c r="N18" s="308">
        <f t="shared" si="18"/>
        <v>49.009163227877124</v>
      </c>
      <c r="O18" s="308">
        <f>Мор!C8</f>
        <v>170.499</v>
      </c>
      <c r="P18" s="308">
        <f>Мор!D8</f>
        <v>147.15903</v>
      </c>
      <c r="Q18" s="308">
        <f t="shared" si="19"/>
        <v>86.310787746555704</v>
      </c>
      <c r="R18" s="308">
        <f>Мор!C9</f>
        <v>1.8280000000000001</v>
      </c>
      <c r="S18" s="308">
        <f>Мор!D9</f>
        <v>0.86585000000000001</v>
      </c>
      <c r="T18" s="308">
        <f t="shared" si="20"/>
        <v>47.365973741794306</v>
      </c>
      <c r="U18" s="308">
        <f>Мор!C10</f>
        <v>284.77300000000002</v>
      </c>
      <c r="V18" s="308">
        <f>Мор!D10</f>
        <v>170.05741</v>
      </c>
      <c r="W18" s="308">
        <f t="shared" si="21"/>
        <v>59.716830598406446</v>
      </c>
      <c r="X18" s="308">
        <f>Мор!C11</f>
        <v>0</v>
      </c>
      <c r="Y18" s="325">
        <f>Мор!D11</f>
        <v>-17.038419999999999</v>
      </c>
      <c r="Z18" s="308" t="e">
        <f t="shared" si="22"/>
        <v>#DIV/0!</v>
      </c>
      <c r="AA18" s="307">
        <f>Мор!C13</f>
        <v>80</v>
      </c>
      <c r="AB18" s="307">
        <f>Мор!D13</f>
        <v>53.986499999999999</v>
      </c>
      <c r="AC18" s="308">
        <f t="shared" si="23"/>
        <v>67.483125000000001</v>
      </c>
      <c r="AD18" s="307">
        <f>Мор!C15</f>
        <v>1266</v>
      </c>
      <c r="AE18" s="304">
        <f>Мор!D15</f>
        <v>110.66777</v>
      </c>
      <c r="AF18" s="308">
        <f t="shared" si="24"/>
        <v>8.7415300157977889</v>
      </c>
      <c r="AG18" s="307">
        <f>Мор!C16</f>
        <v>1700</v>
      </c>
      <c r="AH18" s="307">
        <f>Мор!D16</f>
        <v>564.69749999999999</v>
      </c>
      <c r="AI18" s="308">
        <f t="shared" si="4"/>
        <v>33.217500000000001</v>
      </c>
      <c r="AJ18" s="308">
        <f>Мор!C18</f>
        <v>0</v>
      </c>
      <c r="AK18" s="308">
        <f>Мор!D18</f>
        <v>0</v>
      </c>
      <c r="AL18" s="308" t="e">
        <f t="shared" si="25"/>
        <v>#DIV/0!</v>
      </c>
      <c r="AM18" s="308">
        <f>Мор!C22</f>
        <v>0</v>
      </c>
      <c r="AN18" s="308">
        <f>Мор!D22</f>
        <v>0</v>
      </c>
      <c r="AO18" s="308" t="e">
        <f t="shared" si="5"/>
        <v>#DIV/0!</v>
      </c>
      <c r="AP18" s="307">
        <v>0</v>
      </c>
      <c r="AQ18" s="307"/>
      <c r="AR18" s="308" t="e">
        <f t="shared" si="6"/>
        <v>#DIV/0!</v>
      </c>
      <c r="AS18" s="307">
        <f>Мор!C27</f>
        <v>0</v>
      </c>
      <c r="AT18" s="314">
        <f>Мор!D27</f>
        <v>0</v>
      </c>
      <c r="AU18" s="308" t="e">
        <f t="shared" si="26"/>
        <v>#DIV/0!</v>
      </c>
      <c r="AV18" s="307">
        <f>Мор!C28</f>
        <v>0</v>
      </c>
      <c r="AW18" s="304">
        <f>Мор!D28</f>
        <v>0</v>
      </c>
      <c r="AX18" s="308" t="e">
        <f t="shared" si="27"/>
        <v>#DIV/0!</v>
      </c>
      <c r="AY18" s="307"/>
      <c r="AZ18" s="307"/>
      <c r="BA18" s="308" t="e">
        <f t="shared" si="28"/>
        <v>#DIV/0!</v>
      </c>
      <c r="BB18" s="308">
        <f>Мор!C29</f>
        <v>0</v>
      </c>
      <c r="BC18" s="308">
        <f>Мор!D29</f>
        <v>70</v>
      </c>
      <c r="BD18" s="308" t="e">
        <f t="shared" si="29"/>
        <v>#DIV/0!</v>
      </c>
      <c r="BE18" s="308"/>
      <c r="BF18" s="308"/>
      <c r="BG18" s="308"/>
      <c r="BH18" s="308">
        <f>Мор!C33</f>
        <v>0</v>
      </c>
      <c r="BI18" s="308">
        <f>SUM(Мор!D31)</f>
        <v>13.3</v>
      </c>
      <c r="BJ18" s="308" t="e">
        <f>Мор!E33</f>
        <v>#DIV/0!</v>
      </c>
      <c r="BK18" s="308">
        <f>Мор!F33</f>
        <v>0</v>
      </c>
      <c r="BL18" s="308">
        <f>Мор!G33</f>
        <v>0</v>
      </c>
      <c r="BM18" s="308">
        <f>Мор!H33</f>
        <v>0</v>
      </c>
      <c r="BN18" s="308">
        <f>Мор!I33</f>
        <v>0</v>
      </c>
      <c r="BO18" s="308">
        <f>Мор!J33</f>
        <v>0</v>
      </c>
      <c r="BP18" s="308">
        <f>Мор!K33</f>
        <v>0</v>
      </c>
      <c r="BQ18" s="308">
        <f>Мор!C34</f>
        <v>0</v>
      </c>
      <c r="BR18" s="308">
        <f>Мор!D34</f>
        <v>0</v>
      </c>
      <c r="BS18" s="298" t="e">
        <f t="shared" si="32"/>
        <v>#DIV/0!</v>
      </c>
      <c r="BT18" s="308">
        <f>Мор!C36</f>
        <v>0</v>
      </c>
      <c r="BU18" s="308">
        <f>Мор!D36</f>
        <v>0</v>
      </c>
      <c r="BV18" s="308" t="e">
        <f t="shared" si="33"/>
        <v>#DIV/0!</v>
      </c>
      <c r="BW18" s="308"/>
      <c r="BX18" s="308"/>
      <c r="BY18" s="326" t="e">
        <f t="shared" si="34"/>
        <v>#DIV/0!</v>
      </c>
      <c r="BZ18" s="326"/>
      <c r="CA18" s="326"/>
      <c r="CB18" s="326" t="e">
        <f t="shared" si="35"/>
        <v>#DIV/0!</v>
      </c>
      <c r="CC18" s="307">
        <f t="shared" si="36"/>
        <v>18800.568240000001</v>
      </c>
      <c r="CD18" s="303">
        <f t="shared" si="37"/>
        <v>5096.7376000000004</v>
      </c>
      <c r="CE18" s="308">
        <f t="shared" ref="CE18:CE31" si="56">CD18/CC18*100</f>
        <v>27.109486984314685</v>
      </c>
      <c r="CF18" s="308">
        <f>Мор!C41</f>
        <v>8286.2999999999993</v>
      </c>
      <c r="CG18" s="308">
        <f>Мор!D41</f>
        <v>4833.6750000000002</v>
      </c>
      <c r="CH18" s="308">
        <f t="shared" si="38"/>
        <v>58.333333333333336</v>
      </c>
      <c r="CI18" s="308">
        <f>Мор!C42</f>
        <v>0</v>
      </c>
      <c r="CJ18" s="461">
        <f>Мор!D42</f>
        <v>0</v>
      </c>
      <c r="CK18" s="308" t="e">
        <f t="shared" si="39"/>
        <v>#DIV/0!</v>
      </c>
      <c r="CL18" s="308">
        <f>Мор!C43</f>
        <v>9846.6996299999992</v>
      </c>
      <c r="CM18" s="308">
        <f>Мор!D43</f>
        <v>248.77</v>
      </c>
      <c r="CN18" s="308">
        <f t="shared" si="7"/>
        <v>2.5264302695095009</v>
      </c>
      <c r="CO18" s="308">
        <f>Мор!C45</f>
        <v>21.4389</v>
      </c>
      <c r="CP18" s="308">
        <f>Мор!D45</f>
        <v>14.2926</v>
      </c>
      <c r="CQ18" s="308">
        <f t="shared" si="8"/>
        <v>66.666666666666657</v>
      </c>
      <c r="CR18" s="461">
        <f>Мор!C46</f>
        <v>435.46199999999999</v>
      </c>
      <c r="CS18" s="461">
        <f>Мор!D46</f>
        <v>0</v>
      </c>
      <c r="CT18" s="298">
        <f t="shared" si="40"/>
        <v>0</v>
      </c>
      <c r="CU18" s="325">
        <f>Мор!C48</f>
        <v>210.66771</v>
      </c>
      <c r="CV18" s="308">
        <f>Мор!D48</f>
        <v>0</v>
      </c>
      <c r="CW18" s="308">
        <f t="shared" si="9"/>
        <v>0</v>
      </c>
      <c r="CX18" s="308"/>
      <c r="CY18" s="308">
        <f>SUM(Мор!D49)</f>
        <v>0</v>
      </c>
      <c r="CZ18" s="308"/>
      <c r="DA18" s="307"/>
      <c r="DB18" s="307"/>
      <c r="DC18" s="308" t="e">
        <f t="shared" si="41"/>
        <v>#DIV/0!</v>
      </c>
      <c r="DD18" s="308"/>
      <c r="DE18" s="308"/>
      <c r="DF18" s="308"/>
      <c r="DG18" s="308"/>
      <c r="DH18" s="308"/>
      <c r="DI18" s="308"/>
      <c r="DJ18" s="307">
        <f t="shared" si="42"/>
        <v>26628.636020000002</v>
      </c>
      <c r="DK18" s="307">
        <f t="shared" si="42"/>
        <v>8547.4951599999986</v>
      </c>
      <c r="DL18" s="308">
        <f t="shared" si="43"/>
        <v>32.09888465026981</v>
      </c>
      <c r="DM18" s="307">
        <f t="shared" si="44"/>
        <v>2310.7220000000002</v>
      </c>
      <c r="DN18" s="307">
        <f t="shared" si="44"/>
        <v>1156.0332600000002</v>
      </c>
      <c r="DO18" s="308">
        <f t="shared" si="45"/>
        <v>50.02909307134307</v>
      </c>
      <c r="DP18" s="308">
        <f>Мор!C58</f>
        <v>2271.5140000000001</v>
      </c>
      <c r="DQ18" s="308">
        <f>Мор!D58</f>
        <v>1141.8252600000001</v>
      </c>
      <c r="DR18" s="308">
        <f t="shared" si="46"/>
        <v>50.267146053249064</v>
      </c>
      <c r="DS18" s="308">
        <f>Мор!C61</f>
        <v>0</v>
      </c>
      <c r="DT18" s="308">
        <f>Мор!D61</f>
        <v>0</v>
      </c>
      <c r="DU18" s="308" t="e">
        <f t="shared" si="47"/>
        <v>#DIV/0!</v>
      </c>
      <c r="DV18" s="308">
        <f>Мор!C62</f>
        <v>10</v>
      </c>
      <c r="DW18" s="308">
        <f>Мор!D62</f>
        <v>0</v>
      </c>
      <c r="DX18" s="308">
        <f t="shared" si="48"/>
        <v>0</v>
      </c>
      <c r="DY18" s="308">
        <f>Мор!C63</f>
        <v>29.207999999999998</v>
      </c>
      <c r="DZ18" s="308">
        <f>Мор!D63</f>
        <v>14.208</v>
      </c>
      <c r="EA18" s="308">
        <f t="shared" si="49"/>
        <v>48.644207066557108</v>
      </c>
      <c r="EB18" s="308">
        <f>Мор!C64</f>
        <v>0</v>
      </c>
      <c r="EC18" s="308">
        <f>Мор!D64</f>
        <v>0</v>
      </c>
      <c r="ED18" s="308" t="e">
        <f t="shared" si="50"/>
        <v>#DIV/0!</v>
      </c>
      <c r="EE18" s="308">
        <f>Мор!C66</f>
        <v>105</v>
      </c>
      <c r="EF18" s="308">
        <f>Мор!D66</f>
        <v>0</v>
      </c>
      <c r="EG18" s="308">
        <f t="shared" si="51"/>
        <v>0</v>
      </c>
      <c r="EH18" s="307">
        <f>Мор!C72</f>
        <v>3257.56333</v>
      </c>
      <c r="EI18" s="307">
        <f>Мор!D72</f>
        <v>410.17995000000002</v>
      </c>
      <c r="EJ18" s="308">
        <f t="shared" si="52"/>
        <v>12.591618594871647</v>
      </c>
      <c r="EK18" s="307">
        <f>Мор!C77</f>
        <v>14899.55069</v>
      </c>
      <c r="EL18" s="307">
        <f>Мор!D77</f>
        <v>3048.0819499999998</v>
      </c>
      <c r="EM18" s="308">
        <f t="shared" si="53"/>
        <v>20.457542736813895</v>
      </c>
      <c r="EN18" s="307">
        <f>Мор!C81</f>
        <v>6030.8</v>
      </c>
      <c r="EO18" s="327">
        <f>Мор!D81</f>
        <v>3933.2</v>
      </c>
      <c r="EP18" s="308">
        <f t="shared" si="10"/>
        <v>65.218544803342837</v>
      </c>
      <c r="EQ18" s="308">
        <f>Мор!C84</f>
        <v>0</v>
      </c>
      <c r="ER18" s="308">
        <f>Мор!D84</f>
        <v>0</v>
      </c>
      <c r="ES18" s="308" t="e">
        <f t="shared" si="11"/>
        <v>#DIV/0!</v>
      </c>
      <c r="ET18" s="324">
        <f>Мор!C89</f>
        <v>25</v>
      </c>
      <c r="EU18" s="324">
        <f>Мор!D89</f>
        <v>0</v>
      </c>
      <c r="EV18" s="308">
        <f t="shared" si="54"/>
        <v>0</v>
      </c>
      <c r="EW18" s="308">
        <f>Мор!C95</f>
        <v>0</v>
      </c>
      <c r="EX18" s="308">
        <f>Мор!D95</f>
        <v>0</v>
      </c>
      <c r="EY18" s="308" t="e">
        <f t="shared" si="55"/>
        <v>#DIV/0!</v>
      </c>
      <c r="EZ18" s="328">
        <f t="shared" si="12"/>
        <v>-2143.9677800000027</v>
      </c>
      <c r="FA18" s="328">
        <f t="shared" si="13"/>
        <v>-1268.1720699999978</v>
      </c>
      <c r="FB18" s="308">
        <f t="shared" ref="FB18:FB29" si="57">FA18/EZ18*100</f>
        <v>59.150705613682128</v>
      </c>
      <c r="FC18" s="167"/>
      <c r="FD18" s="168"/>
      <c r="FF18" s="168"/>
    </row>
    <row r="19" spans="1:173" s="253" customFormat="1" ht="27.75" customHeight="1">
      <c r="A19" s="346">
        <v>6</v>
      </c>
      <c r="B19" s="343" t="s">
        <v>295</v>
      </c>
      <c r="C19" s="320">
        <f t="shared" si="14"/>
        <v>20373.799919999998</v>
      </c>
      <c r="D19" s="297">
        <f t="shared" si="0"/>
        <v>15459.18453</v>
      </c>
      <c r="E19" s="305">
        <f t="shared" si="1"/>
        <v>75.877767479322543</v>
      </c>
      <c r="F19" s="299">
        <f t="shared" si="15"/>
        <v>5816.5499999999993</v>
      </c>
      <c r="G19" s="319">
        <f t="shared" si="3"/>
        <v>2796.5874200000003</v>
      </c>
      <c r="H19" s="305">
        <f t="shared" si="16"/>
        <v>48.079831171398865</v>
      </c>
      <c r="I19" s="298">
        <f t="shared" si="17"/>
        <v>5354.3099999999995</v>
      </c>
      <c r="J19" s="305"/>
      <c r="K19" s="305"/>
      <c r="L19" s="313">
        <f>Мос!C6</f>
        <v>1704</v>
      </c>
      <c r="M19" s="449">
        <f>Мос!D6</f>
        <v>861.58925999999997</v>
      </c>
      <c r="N19" s="305">
        <f t="shared" si="18"/>
        <v>50.562750000000001</v>
      </c>
      <c r="O19" s="305">
        <f>Мос!C8</f>
        <v>320.89600000000002</v>
      </c>
      <c r="P19" s="305">
        <f>Мос!D8</f>
        <v>276.95145000000002</v>
      </c>
      <c r="Q19" s="305">
        <f t="shared" si="19"/>
        <v>86.305672242720391</v>
      </c>
      <c r="R19" s="305">
        <f>Мос!C9</f>
        <v>3.4409999999999998</v>
      </c>
      <c r="S19" s="305">
        <f>Мос!D9</f>
        <v>1.6295500000000001</v>
      </c>
      <c r="T19" s="305">
        <f t="shared" si="20"/>
        <v>47.356873002034291</v>
      </c>
      <c r="U19" s="305">
        <f>Мос!C10</f>
        <v>535.97299999999996</v>
      </c>
      <c r="V19" s="305">
        <f>Мос!D10</f>
        <v>320.04595</v>
      </c>
      <c r="W19" s="305">
        <f t="shared" si="21"/>
        <v>59.713073233166604</v>
      </c>
      <c r="X19" s="305">
        <f>Мос!C11</f>
        <v>0</v>
      </c>
      <c r="Y19" s="317">
        <f>Мос!D11</f>
        <v>-32.066119999999998</v>
      </c>
      <c r="Z19" s="305" t="e">
        <f t="shared" si="22"/>
        <v>#DIV/0!</v>
      </c>
      <c r="AA19" s="313">
        <f>Мос!C13</f>
        <v>25</v>
      </c>
      <c r="AB19" s="313">
        <f>Мос!D13</f>
        <v>58.41</v>
      </c>
      <c r="AC19" s="305">
        <f t="shared" si="23"/>
        <v>233.64</v>
      </c>
      <c r="AD19" s="313">
        <f>Мос!C15</f>
        <v>999</v>
      </c>
      <c r="AE19" s="304">
        <f>Мос!D15</f>
        <v>232.39555999999999</v>
      </c>
      <c r="AF19" s="305">
        <f t="shared" si="24"/>
        <v>23.262818818818818</v>
      </c>
      <c r="AG19" s="313">
        <f>Мос!C16</f>
        <v>1758</v>
      </c>
      <c r="AH19" s="313">
        <f>Мос!D16</f>
        <v>612.29939999999999</v>
      </c>
      <c r="AI19" s="305">
        <f t="shared" si="4"/>
        <v>34.829317406143346</v>
      </c>
      <c r="AJ19" s="305">
        <f>Мос!C18</f>
        <v>8</v>
      </c>
      <c r="AK19" s="305">
        <f>Мос!D18</f>
        <v>2.7</v>
      </c>
      <c r="AL19" s="305">
        <f t="shared" si="25"/>
        <v>33.75</v>
      </c>
      <c r="AM19" s="305"/>
      <c r="AN19" s="305"/>
      <c r="AO19" s="305" t="e">
        <f t="shared" si="5"/>
        <v>#DIV/0!</v>
      </c>
      <c r="AP19" s="313">
        <f>Мос!C27</f>
        <v>0</v>
      </c>
      <c r="AQ19" s="313">
        <v>0</v>
      </c>
      <c r="AR19" s="305" t="e">
        <f t="shared" si="6"/>
        <v>#DIV/0!</v>
      </c>
      <c r="AS19" s="313">
        <v>0</v>
      </c>
      <c r="AT19" s="314">
        <f>Мос!D27</f>
        <v>0</v>
      </c>
      <c r="AU19" s="305" t="e">
        <f t="shared" si="26"/>
        <v>#DIV/0!</v>
      </c>
      <c r="AV19" s="313">
        <f>Мос!C26</f>
        <v>0</v>
      </c>
      <c r="AW19" s="314">
        <f>Мос!D28</f>
        <v>0</v>
      </c>
      <c r="AX19" s="305" t="e">
        <f t="shared" si="27"/>
        <v>#DIV/0!</v>
      </c>
      <c r="AY19" s="313"/>
      <c r="AZ19" s="313"/>
      <c r="BA19" s="305" t="e">
        <f t="shared" si="28"/>
        <v>#DIV/0!</v>
      </c>
      <c r="BB19" s="305">
        <f>Мос!C30</f>
        <v>0</v>
      </c>
      <c r="BC19" s="308">
        <f>Мос!D30</f>
        <v>0.39237</v>
      </c>
      <c r="BD19" s="305" t="e">
        <f t="shared" si="29"/>
        <v>#DIV/0!</v>
      </c>
      <c r="BE19" s="305"/>
      <c r="BF19" s="305"/>
      <c r="BG19" s="305"/>
      <c r="BH19" s="305">
        <f>SUM(Мос!C31)</f>
        <v>462.24</v>
      </c>
      <c r="BI19" s="305">
        <f>Мос!D31</f>
        <v>462.24</v>
      </c>
      <c r="BJ19" s="305">
        <f t="shared" si="30"/>
        <v>100</v>
      </c>
      <c r="BK19" s="305"/>
      <c r="BL19" s="305"/>
      <c r="BM19" s="305" t="e">
        <f t="shared" si="31"/>
        <v>#DIV/0!</v>
      </c>
      <c r="BN19" s="305"/>
      <c r="BO19" s="305"/>
      <c r="BP19" s="305"/>
      <c r="BQ19" s="305">
        <f>Мос!C34</f>
        <v>0</v>
      </c>
      <c r="BR19" s="305">
        <f>Мос!D35</f>
        <v>0</v>
      </c>
      <c r="BS19" s="298" t="e">
        <f t="shared" si="32"/>
        <v>#DIV/0!</v>
      </c>
      <c r="BT19" s="305">
        <f>Мос!C36</f>
        <v>0</v>
      </c>
      <c r="BU19" s="305">
        <f>Мос!D36</f>
        <v>0</v>
      </c>
      <c r="BV19" s="305" t="e">
        <f t="shared" si="33"/>
        <v>#DIV/0!</v>
      </c>
      <c r="BW19" s="305"/>
      <c r="BX19" s="305"/>
      <c r="BY19" s="315" t="e">
        <f t="shared" si="34"/>
        <v>#DIV/0!</v>
      </c>
      <c r="BZ19" s="315"/>
      <c r="CA19" s="315"/>
      <c r="CB19" s="315" t="e">
        <f t="shared" si="35"/>
        <v>#DIV/0!</v>
      </c>
      <c r="CC19" s="313">
        <f t="shared" si="36"/>
        <v>14557.24992</v>
      </c>
      <c r="CD19" s="313">
        <f t="shared" si="37"/>
        <v>12662.597110000001</v>
      </c>
      <c r="CE19" s="305">
        <f t="shared" si="56"/>
        <v>86.984816360149438</v>
      </c>
      <c r="CF19" s="305">
        <f>SUM(Мос!C41)</f>
        <v>1479.2</v>
      </c>
      <c r="CG19" s="305">
        <f>SUM(Мос!D41)</f>
        <v>862.86900000000003</v>
      </c>
      <c r="CH19" s="305">
        <f>CG19/CF19*100</f>
        <v>58.333491076257438</v>
      </c>
      <c r="CI19" s="305">
        <f>Мос!C42</f>
        <v>0</v>
      </c>
      <c r="CJ19" s="460">
        <f>Мос!D42</f>
        <v>0</v>
      </c>
      <c r="CK19" s="305" t="e">
        <f t="shared" si="39"/>
        <v>#DIV/0!</v>
      </c>
      <c r="CL19" s="305">
        <f>Мос!C43</f>
        <v>8540.8092799999995</v>
      </c>
      <c r="CM19" s="305">
        <f>Мос!D43</f>
        <v>10350.5659</v>
      </c>
      <c r="CN19" s="305">
        <f t="shared" si="7"/>
        <v>121.18952151569414</v>
      </c>
      <c r="CO19" s="305">
        <f>Мос!C45</f>
        <v>235.76499999999999</v>
      </c>
      <c r="CP19" s="305">
        <f>Мос!D45</f>
        <v>152.815</v>
      </c>
      <c r="CQ19" s="305">
        <f t="shared" si="8"/>
        <v>64.816660657858463</v>
      </c>
      <c r="CR19" s="305">
        <f>Мос!C46</f>
        <v>3401.4756400000001</v>
      </c>
      <c r="CS19" s="305">
        <f>Мос!D46</f>
        <v>297</v>
      </c>
      <c r="CT19" s="298">
        <f t="shared" si="40"/>
        <v>8.731504541952269</v>
      </c>
      <c r="CU19" s="317">
        <f>Мос!C51</f>
        <v>900</v>
      </c>
      <c r="CV19" s="305">
        <f>Мос!D51</f>
        <v>999.34721000000002</v>
      </c>
      <c r="CW19" s="305">
        <f t="shared" si="9"/>
        <v>111.03857888888888</v>
      </c>
      <c r="CX19" s="305"/>
      <c r="CY19" s="305"/>
      <c r="CZ19" s="305"/>
      <c r="DA19" s="313"/>
      <c r="DB19" s="313"/>
      <c r="DC19" s="305" t="e">
        <f t="shared" si="41"/>
        <v>#DIV/0!</v>
      </c>
      <c r="DD19" s="305"/>
      <c r="DE19" s="305"/>
      <c r="DF19" s="305"/>
      <c r="DG19" s="305"/>
      <c r="DH19" s="305"/>
      <c r="DI19" s="305"/>
      <c r="DJ19" s="307">
        <f t="shared" si="42"/>
        <v>20339.120630000001</v>
      </c>
      <c r="DK19" s="307">
        <f t="shared" si="42"/>
        <v>14144.529189999999</v>
      </c>
      <c r="DL19" s="305">
        <f t="shared" si="43"/>
        <v>69.543464770728377</v>
      </c>
      <c r="DM19" s="313">
        <f t="shared" si="44"/>
        <v>2651.68</v>
      </c>
      <c r="DN19" s="313">
        <f t="shared" si="44"/>
        <v>1424.95308</v>
      </c>
      <c r="DO19" s="305">
        <f t="shared" si="45"/>
        <v>53.737746636094855</v>
      </c>
      <c r="DP19" s="305">
        <f>Мос!C59</f>
        <v>2591.1759999999999</v>
      </c>
      <c r="DQ19" s="305">
        <f>Мос!D59</f>
        <v>1374.95308</v>
      </c>
      <c r="DR19" s="305">
        <f t="shared" si="46"/>
        <v>53.062898081797606</v>
      </c>
      <c r="DS19" s="305">
        <f>Мос!C62</f>
        <v>0</v>
      </c>
      <c r="DT19" s="305">
        <f>Мос!D62</f>
        <v>0</v>
      </c>
      <c r="DU19" s="305" t="e">
        <f t="shared" si="47"/>
        <v>#DIV/0!</v>
      </c>
      <c r="DV19" s="305">
        <f>Мос!C63</f>
        <v>5</v>
      </c>
      <c r="DW19" s="305">
        <f>Мос!D63</f>
        <v>0</v>
      </c>
      <c r="DX19" s="305">
        <f t="shared" si="48"/>
        <v>0</v>
      </c>
      <c r="DY19" s="305">
        <f>Мос!C64</f>
        <v>55.503999999999998</v>
      </c>
      <c r="DZ19" s="305">
        <f>Мос!D64</f>
        <v>50</v>
      </c>
      <c r="EA19" s="305">
        <f t="shared" si="49"/>
        <v>90.083597578552897</v>
      </c>
      <c r="EB19" s="305">
        <f>Мос!C66</f>
        <v>235.76499999999999</v>
      </c>
      <c r="EC19" s="305">
        <f>Мос!D66</f>
        <v>0</v>
      </c>
      <c r="ED19" s="305">
        <f t="shared" si="50"/>
        <v>0</v>
      </c>
      <c r="EE19" s="305">
        <f>Мос!C67</f>
        <v>13.5</v>
      </c>
      <c r="EF19" s="305">
        <f>Мос!D67</f>
        <v>1.4</v>
      </c>
      <c r="EG19" s="305">
        <f t="shared" si="51"/>
        <v>10.37037037037037</v>
      </c>
      <c r="EH19" s="313">
        <f>Мос!C73</f>
        <v>4419.9245700000001</v>
      </c>
      <c r="EI19" s="313">
        <f>Мос!D73</f>
        <v>1920.20686</v>
      </c>
      <c r="EJ19" s="305">
        <f t="shared" si="52"/>
        <v>43.44433552177113</v>
      </c>
      <c r="EK19" s="313">
        <f>Мос!C78</f>
        <v>11758.351060000001</v>
      </c>
      <c r="EL19" s="313">
        <f>Мос!D78</f>
        <v>10577.769249999999</v>
      </c>
      <c r="EM19" s="305">
        <f t="shared" si="53"/>
        <v>89.959631210398641</v>
      </c>
      <c r="EN19" s="313">
        <f>Мос!C83</f>
        <v>1224.9000000000001</v>
      </c>
      <c r="EO19" s="318">
        <f>Мос!D83</f>
        <v>204.15</v>
      </c>
      <c r="EP19" s="305">
        <f t="shared" si="10"/>
        <v>16.666666666666664</v>
      </c>
      <c r="EQ19" s="305">
        <f>Мос!C91</f>
        <v>0</v>
      </c>
      <c r="ER19" s="305">
        <f>Мос!D91</f>
        <v>0</v>
      </c>
      <c r="ES19" s="305" t="e">
        <f t="shared" si="11"/>
        <v>#DIV/0!</v>
      </c>
      <c r="ET19" s="319">
        <f>Мос!C93</f>
        <v>35</v>
      </c>
      <c r="EU19" s="319">
        <f>Мос!D93</f>
        <v>16.05</v>
      </c>
      <c r="EV19" s="305">
        <f t="shared" si="54"/>
        <v>45.857142857142854</v>
      </c>
      <c r="EW19" s="305">
        <f>Мос!C99</f>
        <v>0</v>
      </c>
      <c r="EX19" s="305">
        <f>Мос!D99</f>
        <v>0</v>
      </c>
      <c r="EY19" s="305" t="e">
        <f t="shared" si="55"/>
        <v>#DIV/0!</v>
      </c>
      <c r="EZ19" s="329">
        <f t="shared" si="12"/>
        <v>34.679289999996399</v>
      </c>
      <c r="FA19" s="329">
        <f t="shared" si="13"/>
        <v>1314.6553400000012</v>
      </c>
      <c r="FB19" s="305">
        <f t="shared" si="57"/>
        <v>3790.8946232755561</v>
      </c>
      <c r="FC19" s="251"/>
      <c r="FD19" s="252"/>
      <c r="FF19" s="252"/>
    </row>
    <row r="20" spans="1:173" s="157" customFormat="1" ht="24.75" customHeight="1">
      <c r="A20" s="341">
        <v>7</v>
      </c>
      <c r="B20" s="343" t="s">
        <v>296</v>
      </c>
      <c r="C20" s="296">
        <f t="shared" si="14"/>
        <v>13792.834940000001</v>
      </c>
      <c r="D20" s="297">
        <f t="shared" si="0"/>
        <v>4385.5015599999997</v>
      </c>
      <c r="E20" s="305">
        <f t="shared" si="1"/>
        <v>31.795505268331731</v>
      </c>
      <c r="F20" s="299">
        <f t="shared" si="15"/>
        <v>2441.8199999999997</v>
      </c>
      <c r="G20" s="299">
        <f t="shared" si="3"/>
        <v>917.50540999999976</v>
      </c>
      <c r="H20" s="305">
        <f t="shared" si="16"/>
        <v>37.57465374188105</v>
      </c>
      <c r="I20" s="298">
        <f t="shared" si="17"/>
        <v>2301.8199999999997</v>
      </c>
      <c r="J20" s="305"/>
      <c r="K20" s="305"/>
      <c r="L20" s="321">
        <f>Ори!C6</f>
        <v>273</v>
      </c>
      <c r="M20" s="448">
        <f>Ори!D6</f>
        <v>166.83579</v>
      </c>
      <c r="N20" s="305">
        <f t="shared" si="18"/>
        <v>61.11201098901099</v>
      </c>
      <c r="O20" s="305">
        <f>Ори!C8</f>
        <v>205.45599999999999</v>
      </c>
      <c r="P20" s="305">
        <f>Ори!D8</f>
        <v>177.32205999999999</v>
      </c>
      <c r="Q20" s="298">
        <f t="shared" si="19"/>
        <v>86.306586325052564</v>
      </c>
      <c r="R20" s="298">
        <f>Ори!C9</f>
        <v>2.2029999999999998</v>
      </c>
      <c r="S20" s="298">
        <f>Ори!D9</f>
        <v>1.0433399999999999</v>
      </c>
      <c r="T20" s="298">
        <f t="shared" si="20"/>
        <v>47.359963685882889</v>
      </c>
      <c r="U20" s="298">
        <f>Ори!C10</f>
        <v>343.161</v>
      </c>
      <c r="V20" s="298">
        <f>Ори!D10</f>
        <v>204.91391999999999</v>
      </c>
      <c r="W20" s="298">
        <f t="shared" si="21"/>
        <v>59.713638787624468</v>
      </c>
      <c r="X20" s="298">
        <f>Ори!C11</f>
        <v>0</v>
      </c>
      <c r="Y20" s="302">
        <f>Ори!D11</f>
        <v>-20.53078</v>
      </c>
      <c r="Z20" s="298" t="e">
        <f t="shared" si="22"/>
        <v>#DIV/0!</v>
      </c>
      <c r="AA20" s="313">
        <f>Ори!C13</f>
        <v>10</v>
      </c>
      <c r="AB20" s="313">
        <f>Ори!D13</f>
        <v>3.70086</v>
      </c>
      <c r="AC20" s="305">
        <f t="shared" si="23"/>
        <v>37.008600000000001</v>
      </c>
      <c r="AD20" s="313">
        <f>Ори!C15</f>
        <v>360</v>
      </c>
      <c r="AE20" s="304">
        <f>Ори!D15</f>
        <v>88.816550000000007</v>
      </c>
      <c r="AF20" s="305">
        <f t="shared" si="24"/>
        <v>24.671263888888891</v>
      </c>
      <c r="AG20" s="313">
        <f>Ори!C16</f>
        <v>1100</v>
      </c>
      <c r="AH20" s="313">
        <f>Ори!D16</f>
        <v>219.91243</v>
      </c>
      <c r="AI20" s="305">
        <f t="shared" si="4"/>
        <v>19.992039090909092</v>
      </c>
      <c r="AJ20" s="305">
        <f>Ори!C18</f>
        <v>8</v>
      </c>
      <c r="AK20" s="305">
        <f>Ори!D18</f>
        <v>1.99</v>
      </c>
      <c r="AL20" s="305">
        <f t="shared" si="25"/>
        <v>24.875</v>
      </c>
      <c r="AM20" s="305"/>
      <c r="AN20" s="305"/>
      <c r="AO20" s="305" t="e">
        <f t="shared" si="5"/>
        <v>#DIV/0!</v>
      </c>
      <c r="AP20" s="313">
        <v>0</v>
      </c>
      <c r="AQ20" s="313">
        <v>0</v>
      </c>
      <c r="AR20" s="305" t="e">
        <f t="shared" si="6"/>
        <v>#DIV/0!</v>
      </c>
      <c r="AS20" s="313">
        <f>Ори!C27</f>
        <v>100</v>
      </c>
      <c r="AT20" s="314">
        <f>Ори!D27</f>
        <v>0.51063000000000003</v>
      </c>
      <c r="AU20" s="305">
        <f t="shared" si="26"/>
        <v>0.51063000000000003</v>
      </c>
      <c r="AV20" s="307">
        <f>Ори!C28</f>
        <v>30</v>
      </c>
      <c r="AW20" s="314">
        <f>Ори!D28</f>
        <v>31.5</v>
      </c>
      <c r="AX20" s="305">
        <f t="shared" si="27"/>
        <v>105</v>
      </c>
      <c r="AY20" s="313"/>
      <c r="AZ20" s="313"/>
      <c r="BA20" s="305" t="e">
        <f t="shared" si="28"/>
        <v>#DIV/0!</v>
      </c>
      <c r="BB20" s="305">
        <f>Ори!C30</f>
        <v>10</v>
      </c>
      <c r="BC20" s="308">
        <f>Ори!D30</f>
        <v>31.070430000000002</v>
      </c>
      <c r="BD20" s="305">
        <f t="shared" si="29"/>
        <v>310.70429999999999</v>
      </c>
      <c r="BE20" s="305"/>
      <c r="BF20" s="305"/>
      <c r="BG20" s="305"/>
      <c r="BH20" s="305">
        <f>Ори!C33</f>
        <v>0</v>
      </c>
      <c r="BI20" s="305">
        <f>Ори!D33</f>
        <v>0</v>
      </c>
      <c r="BJ20" s="305" t="e">
        <f t="shared" si="30"/>
        <v>#DIV/0!</v>
      </c>
      <c r="BK20" s="305"/>
      <c r="BL20" s="305"/>
      <c r="BM20" s="305" t="e">
        <f t="shared" si="31"/>
        <v>#DIV/0!</v>
      </c>
      <c r="BN20" s="305"/>
      <c r="BO20" s="305"/>
      <c r="BP20" s="305"/>
      <c r="BQ20" s="305">
        <f>Ори!C35</f>
        <v>0</v>
      </c>
      <c r="BR20" s="305">
        <f>Ори!D34</f>
        <v>10.42018</v>
      </c>
      <c r="BS20" s="298" t="e">
        <f t="shared" si="32"/>
        <v>#DIV/0!</v>
      </c>
      <c r="BT20" s="305">
        <f>Ори!C36</f>
        <v>0</v>
      </c>
      <c r="BU20" s="305">
        <f>Ори!D36</f>
        <v>0</v>
      </c>
      <c r="BV20" s="305" t="e">
        <f t="shared" si="33"/>
        <v>#DIV/0!</v>
      </c>
      <c r="BW20" s="305"/>
      <c r="BX20" s="305"/>
      <c r="BY20" s="315" t="e">
        <f t="shared" si="34"/>
        <v>#DIV/0!</v>
      </c>
      <c r="BZ20" s="315"/>
      <c r="CA20" s="315"/>
      <c r="CB20" s="315" t="e">
        <f t="shared" si="35"/>
        <v>#DIV/0!</v>
      </c>
      <c r="CC20" s="303">
        <f t="shared" si="36"/>
        <v>11351.014940000001</v>
      </c>
      <c r="CD20" s="303">
        <f t="shared" si="37"/>
        <v>3467.9961499999999</v>
      </c>
      <c r="CE20" s="305">
        <f t="shared" si="56"/>
        <v>30.552300110002317</v>
      </c>
      <c r="CF20" s="305">
        <f>Ори!C41</f>
        <v>3478.3</v>
      </c>
      <c r="CG20" s="305">
        <f>Ори!D41</f>
        <v>2029.0060000000001</v>
      </c>
      <c r="CH20" s="305">
        <f t="shared" si="38"/>
        <v>58.333266250754676</v>
      </c>
      <c r="CI20" s="305">
        <f>Ори!C42</f>
        <v>0</v>
      </c>
      <c r="CJ20" s="460">
        <f>Ори!D42</f>
        <v>0</v>
      </c>
      <c r="CK20" s="305" t="e">
        <f t="shared" si="39"/>
        <v>#DIV/0!</v>
      </c>
      <c r="CL20" s="305">
        <f>Ори!C43</f>
        <v>5374.4871000000003</v>
      </c>
      <c r="CM20" s="305">
        <f>Ори!D43</f>
        <v>1222.3409899999999</v>
      </c>
      <c r="CN20" s="305">
        <f t="shared" si="7"/>
        <v>22.743397970012801</v>
      </c>
      <c r="CO20" s="305">
        <f>Ори!C45</f>
        <v>235.76400000000001</v>
      </c>
      <c r="CP20" s="305">
        <f>Ори!D45</f>
        <v>152.815</v>
      </c>
      <c r="CQ20" s="305">
        <f t="shared" si="8"/>
        <v>64.816935579647435</v>
      </c>
      <c r="CR20" s="305">
        <f>Ори!C46</f>
        <v>1535.80099</v>
      </c>
      <c r="CS20" s="305">
        <f>Ори!D46</f>
        <v>0</v>
      </c>
      <c r="CT20" s="298">
        <f t="shared" si="40"/>
        <v>0</v>
      </c>
      <c r="CU20" s="317">
        <f>Ори!C47</f>
        <v>726.66285000000005</v>
      </c>
      <c r="CV20" s="305">
        <f>Ори!D47</f>
        <v>63.834159999999997</v>
      </c>
      <c r="CW20" s="305">
        <f t="shared" si="9"/>
        <v>8.7845635702994844</v>
      </c>
      <c r="CX20" s="305"/>
      <c r="CY20" s="305"/>
      <c r="CZ20" s="305"/>
      <c r="DA20" s="313"/>
      <c r="DB20" s="313"/>
      <c r="DC20" s="305" t="e">
        <f t="shared" si="41"/>
        <v>#DIV/0!</v>
      </c>
      <c r="DD20" s="305"/>
      <c r="DE20" s="305"/>
      <c r="DF20" s="305"/>
      <c r="DG20" s="305"/>
      <c r="DH20" s="305"/>
      <c r="DI20" s="305"/>
      <c r="DJ20" s="307">
        <f t="shared" si="42"/>
        <v>13981.0162</v>
      </c>
      <c r="DK20" s="307">
        <f t="shared" si="42"/>
        <v>4101.5694700000004</v>
      </c>
      <c r="DL20" s="305">
        <f t="shared" si="43"/>
        <v>29.33670493851513</v>
      </c>
      <c r="DM20" s="313">
        <f t="shared" si="44"/>
        <v>1777.1680000000001</v>
      </c>
      <c r="DN20" s="313">
        <f t="shared" si="44"/>
        <v>791.11981000000003</v>
      </c>
      <c r="DO20" s="305">
        <f t="shared" si="45"/>
        <v>44.515758217568624</v>
      </c>
      <c r="DP20" s="305">
        <f>Ори!C58</f>
        <v>1757.2660000000001</v>
      </c>
      <c r="DQ20" s="305">
        <f>Ори!D58</f>
        <v>781.21780999999999</v>
      </c>
      <c r="DR20" s="305">
        <f t="shared" si="46"/>
        <v>44.456434597835496</v>
      </c>
      <c r="DS20" s="305">
        <f>Ори!C61</f>
        <v>0</v>
      </c>
      <c r="DT20" s="305">
        <f>Ори!D61</f>
        <v>0</v>
      </c>
      <c r="DU20" s="305" t="e">
        <f t="shared" si="47"/>
        <v>#DIV/0!</v>
      </c>
      <c r="DV20" s="305">
        <f>Ори!C62</f>
        <v>10</v>
      </c>
      <c r="DW20" s="305">
        <f>Ори!D62</f>
        <v>0</v>
      </c>
      <c r="DX20" s="305">
        <f t="shared" si="48"/>
        <v>0</v>
      </c>
      <c r="DY20" s="305">
        <f>Ори!C63</f>
        <v>9.9019999999999992</v>
      </c>
      <c r="DZ20" s="305">
        <f>Ори!D63</f>
        <v>9.9019999999999992</v>
      </c>
      <c r="EA20" s="305">
        <f t="shared" si="49"/>
        <v>100</v>
      </c>
      <c r="EB20" s="305">
        <f>Ори!C65</f>
        <v>235.76400000000001</v>
      </c>
      <c r="EC20" s="305">
        <f>Ори!D65</f>
        <v>106.28332</v>
      </c>
      <c r="ED20" s="305">
        <f t="shared" si="50"/>
        <v>45.08038547021598</v>
      </c>
      <c r="EE20" s="305">
        <f>Ори!C66</f>
        <v>18.5</v>
      </c>
      <c r="EF20" s="305">
        <f>Ори!D66</f>
        <v>10.061340000000001</v>
      </c>
      <c r="EG20" s="305">
        <f t="shared" si="51"/>
        <v>54.385621621621624</v>
      </c>
      <c r="EH20" s="313">
        <f>Ори!C72</f>
        <v>7885.7461999999996</v>
      </c>
      <c r="EI20" s="313">
        <f>Ори!D72</f>
        <v>941.09631999999999</v>
      </c>
      <c r="EJ20" s="305">
        <f t="shared" si="52"/>
        <v>11.934144165075971</v>
      </c>
      <c r="EK20" s="313">
        <f>Ори!C77</f>
        <v>2200.7380000000003</v>
      </c>
      <c r="EL20" s="313">
        <f>Ори!D77</f>
        <v>1128.68128</v>
      </c>
      <c r="EM20" s="305">
        <f t="shared" si="53"/>
        <v>51.286490259176688</v>
      </c>
      <c r="EN20" s="313">
        <f>Ори!C82</f>
        <v>1819.1</v>
      </c>
      <c r="EO20" s="318">
        <f>Ори!D82</f>
        <v>1080.3273999999999</v>
      </c>
      <c r="EP20" s="305">
        <f t="shared" si="10"/>
        <v>59.388016051893786</v>
      </c>
      <c r="EQ20" s="305">
        <f>Ори!C84</f>
        <v>0</v>
      </c>
      <c r="ER20" s="305">
        <f>Ори!D84</f>
        <v>0</v>
      </c>
      <c r="ES20" s="305" t="e">
        <f t="shared" si="11"/>
        <v>#DIV/0!</v>
      </c>
      <c r="ET20" s="319">
        <f>Ори!C89</f>
        <v>44</v>
      </c>
      <c r="EU20" s="319">
        <f>Ори!D89</f>
        <v>44</v>
      </c>
      <c r="EV20" s="305">
        <f t="shared" si="54"/>
        <v>100</v>
      </c>
      <c r="EW20" s="305">
        <f>Ори!C95</f>
        <v>0</v>
      </c>
      <c r="EX20" s="305">
        <f>Ори!D95</f>
        <v>0</v>
      </c>
      <c r="EY20" s="298" t="e">
        <f t="shared" si="55"/>
        <v>#DIV/0!</v>
      </c>
      <c r="EZ20" s="312">
        <f t="shared" si="12"/>
        <v>-188.18125999999938</v>
      </c>
      <c r="FA20" s="312">
        <f t="shared" si="13"/>
        <v>283.93208999999933</v>
      </c>
      <c r="FB20" s="298">
        <f t="shared" si="57"/>
        <v>-150.88223450092758</v>
      </c>
      <c r="FC20" s="159"/>
      <c r="FD20" s="160"/>
      <c r="FF20" s="160"/>
      <c r="FI20" s="162"/>
      <c r="FJ20" s="162"/>
      <c r="FK20" s="162"/>
      <c r="FL20" s="162"/>
      <c r="FM20" s="162"/>
      <c r="FN20" s="162"/>
      <c r="FO20" s="162"/>
      <c r="FP20" s="162"/>
      <c r="FQ20" s="162"/>
    </row>
    <row r="21" spans="1:173" s="157" customFormat="1" ht="24.75" customHeight="1">
      <c r="A21" s="341">
        <v>8</v>
      </c>
      <c r="B21" s="343" t="s">
        <v>297</v>
      </c>
      <c r="C21" s="296">
        <f t="shared" si="14"/>
        <v>18997.30255</v>
      </c>
      <c r="D21" s="297">
        <f t="shared" si="0"/>
        <v>6128.3596699999998</v>
      </c>
      <c r="E21" s="305">
        <f t="shared" si="1"/>
        <v>32.259104437961376</v>
      </c>
      <c r="F21" s="299">
        <f t="shared" si="15"/>
        <v>2075.5406400000002</v>
      </c>
      <c r="G21" s="299">
        <f t="shared" si="3"/>
        <v>814.87184000000002</v>
      </c>
      <c r="H21" s="305">
        <f t="shared" si="16"/>
        <v>39.260702695756414</v>
      </c>
      <c r="I21" s="298">
        <f t="shared" si="17"/>
        <v>1838.27</v>
      </c>
      <c r="J21" s="305"/>
      <c r="K21" s="305"/>
      <c r="L21" s="313">
        <f>Сят!C6</f>
        <v>162</v>
      </c>
      <c r="M21" s="449">
        <f>Сят!D6</f>
        <v>93.616479999999996</v>
      </c>
      <c r="N21" s="305">
        <f t="shared" si="18"/>
        <v>57.787950617283947</v>
      </c>
      <c r="O21" s="305">
        <f>Сят!C8</f>
        <v>255.233</v>
      </c>
      <c r="P21" s="305">
        <f>Сят!D8</f>
        <v>220.28154000000001</v>
      </c>
      <c r="Q21" s="298">
        <f t="shared" si="19"/>
        <v>86.306057602269306</v>
      </c>
      <c r="R21" s="298">
        <f>Сят!C9</f>
        <v>2.7370000000000001</v>
      </c>
      <c r="S21" s="298">
        <f>Сят!D9</f>
        <v>1.2961</v>
      </c>
      <c r="T21" s="298">
        <f t="shared" si="20"/>
        <v>47.354767994154187</v>
      </c>
      <c r="U21" s="298">
        <f>Сят!C10</f>
        <v>426.3</v>
      </c>
      <c r="V21" s="298">
        <f>Сят!D10</f>
        <v>254.55799999999999</v>
      </c>
      <c r="W21" s="298">
        <f t="shared" si="21"/>
        <v>59.713347407928687</v>
      </c>
      <c r="X21" s="298">
        <f>Сят!C11</f>
        <v>0</v>
      </c>
      <c r="Y21" s="302">
        <f>Сят!D11</f>
        <v>-25.504729999999999</v>
      </c>
      <c r="Z21" s="298" t="e">
        <f t="shared" si="22"/>
        <v>#DIV/0!</v>
      </c>
      <c r="AA21" s="313">
        <f>Сят!C13</f>
        <v>30</v>
      </c>
      <c r="AB21" s="313">
        <f>Сят!D13</f>
        <v>2.0487000000000002</v>
      </c>
      <c r="AC21" s="305">
        <f t="shared" si="23"/>
        <v>6.8290000000000006</v>
      </c>
      <c r="AD21" s="313">
        <f>Сят!C15</f>
        <v>198</v>
      </c>
      <c r="AE21" s="304">
        <f>Сят!D15</f>
        <v>14.68643</v>
      </c>
      <c r="AF21" s="305">
        <f t="shared" si="24"/>
        <v>7.4173888888888886</v>
      </c>
      <c r="AG21" s="313">
        <f>Сят!C16</f>
        <v>760</v>
      </c>
      <c r="AH21" s="313">
        <f>Сят!D16</f>
        <v>97.686530000000005</v>
      </c>
      <c r="AI21" s="305">
        <f t="shared" si="4"/>
        <v>12.853490789473684</v>
      </c>
      <c r="AJ21" s="305">
        <f>Сят!C18</f>
        <v>4</v>
      </c>
      <c r="AK21" s="305">
        <f>Сят!D18</f>
        <v>3.35</v>
      </c>
      <c r="AL21" s="305">
        <f t="shared" si="25"/>
        <v>83.75</v>
      </c>
      <c r="AM21" s="305">
        <f>Сят!C22</f>
        <v>0</v>
      </c>
      <c r="AN21" s="305">
        <f>Сят!D20</f>
        <v>0</v>
      </c>
      <c r="AO21" s="305" t="e">
        <f t="shared" si="5"/>
        <v>#DIV/0!</v>
      </c>
      <c r="AP21" s="313">
        <v>0</v>
      </c>
      <c r="AQ21" s="313">
        <v>0</v>
      </c>
      <c r="AR21" s="305" t="e">
        <f t="shared" si="6"/>
        <v>#DIV/0!</v>
      </c>
      <c r="AS21" s="313">
        <f>Сят!C27</f>
        <v>207.87064000000001</v>
      </c>
      <c r="AT21" s="314">
        <f>Сят!D27</f>
        <v>96.62</v>
      </c>
      <c r="AU21" s="305">
        <f t="shared" si="26"/>
        <v>46.480830578094142</v>
      </c>
      <c r="AV21" s="307">
        <f>Сят!C28</f>
        <v>6</v>
      </c>
      <c r="AW21" s="314">
        <f>Сят!D28</f>
        <v>3.9513600000000002</v>
      </c>
      <c r="AX21" s="305">
        <f t="shared" si="27"/>
        <v>65.856000000000009</v>
      </c>
      <c r="AY21" s="313"/>
      <c r="AZ21" s="313"/>
      <c r="BA21" s="305" t="e">
        <f t="shared" si="28"/>
        <v>#DIV/0!</v>
      </c>
      <c r="BB21" s="305">
        <f>Сят!C30</f>
        <v>10</v>
      </c>
      <c r="BC21" s="308">
        <f>Сят!D30</f>
        <v>3.0170300000000001</v>
      </c>
      <c r="BD21" s="305">
        <f t="shared" si="29"/>
        <v>30.170300000000001</v>
      </c>
      <c r="BE21" s="305"/>
      <c r="BF21" s="305"/>
      <c r="BG21" s="305"/>
      <c r="BH21" s="305">
        <f>Сят!C31</f>
        <v>13.4</v>
      </c>
      <c r="BI21" s="305">
        <f>SUM(Сят!D31)</f>
        <v>49.264400000000002</v>
      </c>
      <c r="BJ21" s="305">
        <f t="shared" si="30"/>
        <v>367.64477611940299</v>
      </c>
      <c r="BK21" s="305"/>
      <c r="BL21" s="305"/>
      <c r="BM21" s="305" t="e">
        <f t="shared" si="31"/>
        <v>#DIV/0!</v>
      </c>
      <c r="BN21" s="305"/>
      <c r="BO21" s="305"/>
      <c r="BP21" s="305"/>
      <c r="BQ21" s="305">
        <f>Сят!C34</f>
        <v>0</v>
      </c>
      <c r="BR21" s="305">
        <f>Сят!D34</f>
        <v>0</v>
      </c>
      <c r="BS21" s="298" t="e">
        <f t="shared" si="32"/>
        <v>#DIV/0!</v>
      </c>
      <c r="BT21" s="305">
        <f>Сят!C36</f>
        <v>0</v>
      </c>
      <c r="BU21" s="305">
        <f>Сят!D36</f>
        <v>0</v>
      </c>
      <c r="BV21" s="305" t="e">
        <f t="shared" si="33"/>
        <v>#DIV/0!</v>
      </c>
      <c r="BW21" s="305"/>
      <c r="BX21" s="305"/>
      <c r="BY21" s="315" t="e">
        <f t="shared" si="34"/>
        <v>#DIV/0!</v>
      </c>
      <c r="BZ21" s="315"/>
      <c r="CA21" s="315"/>
      <c r="CB21" s="315" t="e">
        <f t="shared" si="35"/>
        <v>#DIV/0!</v>
      </c>
      <c r="CC21" s="303">
        <f t="shared" si="36"/>
        <v>16921.761910000001</v>
      </c>
      <c r="CD21" s="303">
        <f t="shared" si="37"/>
        <v>5313.48783</v>
      </c>
      <c r="CE21" s="305">
        <f t="shared" si="56"/>
        <v>31.400322603877122</v>
      </c>
      <c r="CF21" s="305">
        <f>Сят!C41</f>
        <v>4849.2</v>
      </c>
      <c r="CG21" s="305">
        <f>Сят!D41</f>
        <v>2828.7</v>
      </c>
      <c r="CH21" s="305">
        <f t="shared" si="38"/>
        <v>58.333333333333336</v>
      </c>
      <c r="CI21" s="305">
        <f>Сят!C42</f>
        <v>0</v>
      </c>
      <c r="CJ21" s="460">
        <f>Сят!D42</f>
        <v>0</v>
      </c>
      <c r="CK21" s="305" t="e">
        <f t="shared" si="39"/>
        <v>#DIV/0!</v>
      </c>
      <c r="CL21" s="305">
        <f>Сят!C43</f>
        <v>10736.637360000001</v>
      </c>
      <c r="CM21" s="305">
        <f>Сят!D43</f>
        <v>2194.1673500000002</v>
      </c>
      <c r="CN21" s="305">
        <f t="shared" si="7"/>
        <v>20.436262084947611</v>
      </c>
      <c r="CO21" s="305">
        <f>Сят!C44</f>
        <v>235.76499999999999</v>
      </c>
      <c r="CP21" s="305">
        <f>Сят!D44</f>
        <v>152.815</v>
      </c>
      <c r="CQ21" s="305">
        <f t="shared" si="8"/>
        <v>64.816660657858463</v>
      </c>
      <c r="CR21" s="305">
        <f>Сят!C48</f>
        <v>662.37999000000002</v>
      </c>
      <c r="CS21" s="305">
        <f>Сят!D48</f>
        <v>0</v>
      </c>
      <c r="CT21" s="298">
        <f t="shared" si="40"/>
        <v>0</v>
      </c>
      <c r="CU21" s="317">
        <f>Сят!C49</f>
        <v>437.77956</v>
      </c>
      <c r="CV21" s="305">
        <f>Сят!D49</f>
        <v>137.80547999999999</v>
      </c>
      <c r="CW21" s="305">
        <f t="shared" si="9"/>
        <v>31.478280986896689</v>
      </c>
      <c r="CX21" s="305"/>
      <c r="CY21" s="305">
        <f>Сят!D50</f>
        <v>0</v>
      </c>
      <c r="CZ21" s="305"/>
      <c r="DA21" s="313"/>
      <c r="DB21" s="313"/>
      <c r="DC21" s="305" t="e">
        <f t="shared" si="41"/>
        <v>#DIV/0!</v>
      </c>
      <c r="DD21" s="305"/>
      <c r="DE21" s="305"/>
      <c r="DF21" s="305"/>
      <c r="DG21" s="305"/>
      <c r="DH21" s="305"/>
      <c r="DI21" s="305"/>
      <c r="DJ21" s="307">
        <f t="shared" si="42"/>
        <v>19656.63191</v>
      </c>
      <c r="DK21" s="307">
        <f t="shared" si="42"/>
        <v>6491.5992100000003</v>
      </c>
      <c r="DL21" s="305">
        <f t="shared" si="43"/>
        <v>33.024982304814401</v>
      </c>
      <c r="DM21" s="313">
        <f t="shared" si="44"/>
        <v>1687.6139999999998</v>
      </c>
      <c r="DN21" s="313">
        <f>Сят!D56</f>
        <v>878.39751000000001</v>
      </c>
      <c r="DO21" s="305">
        <f t="shared" si="45"/>
        <v>52.049669533435974</v>
      </c>
      <c r="DP21" s="305">
        <f>Сят!C58</f>
        <v>1667.11</v>
      </c>
      <c r="DQ21" s="305">
        <f>Сят!D58</f>
        <v>867.89350999999999</v>
      </c>
      <c r="DR21" s="305">
        <f t="shared" si="46"/>
        <v>52.059762703120974</v>
      </c>
      <c r="DS21" s="305">
        <f>Сят!C61</f>
        <v>0</v>
      </c>
      <c r="DT21" s="305">
        <f>Сят!D61</f>
        <v>0</v>
      </c>
      <c r="DU21" s="305" t="e">
        <f t="shared" si="47"/>
        <v>#DIV/0!</v>
      </c>
      <c r="DV21" s="305">
        <f>Сят!C62</f>
        <v>10</v>
      </c>
      <c r="DW21" s="305">
        <f>Сят!D62</f>
        <v>0</v>
      </c>
      <c r="DX21" s="305">
        <f t="shared" si="48"/>
        <v>0</v>
      </c>
      <c r="DY21" s="305">
        <f>Сят!C63</f>
        <v>10.504</v>
      </c>
      <c r="DZ21" s="305">
        <f>Сят!D63</f>
        <v>10.504</v>
      </c>
      <c r="EA21" s="305">
        <f t="shared" si="49"/>
        <v>100</v>
      </c>
      <c r="EB21" s="305">
        <f>Сят!C65</f>
        <v>235.76499999999999</v>
      </c>
      <c r="EC21" s="305">
        <f>Сят!D65</f>
        <v>116.31717999999999</v>
      </c>
      <c r="ED21" s="305">
        <f t="shared" si="50"/>
        <v>49.336067694526328</v>
      </c>
      <c r="EE21" s="305">
        <f>Сят!C66</f>
        <v>12.5</v>
      </c>
      <c r="EF21" s="305">
        <f>Сят!D66</f>
        <v>8.6713400000000007</v>
      </c>
      <c r="EG21" s="305">
        <f t="shared" si="51"/>
        <v>69.370720000000006</v>
      </c>
      <c r="EH21" s="313">
        <f>Сят!C72</f>
        <v>6480.2069099999999</v>
      </c>
      <c r="EI21" s="313">
        <f>Сят!D72</f>
        <v>2060.68163</v>
      </c>
      <c r="EJ21" s="305">
        <f t="shared" si="52"/>
        <v>31.79962705851317</v>
      </c>
      <c r="EK21" s="313">
        <f>Сят!C77</f>
        <v>1035.9459999999999</v>
      </c>
      <c r="EL21" s="313">
        <f>Сят!D77</f>
        <v>585.05246999999997</v>
      </c>
      <c r="EM21" s="305">
        <f t="shared" si="53"/>
        <v>56.475189826496752</v>
      </c>
      <c r="EN21" s="313">
        <f>Сят!C81</f>
        <v>10189.6</v>
      </c>
      <c r="EO21" s="318">
        <f>Сят!D81</f>
        <v>2829.9790800000001</v>
      </c>
      <c r="EP21" s="305">
        <f t="shared" si="10"/>
        <v>27.773210724660437</v>
      </c>
      <c r="EQ21" s="305">
        <f>Сят!C83</f>
        <v>0</v>
      </c>
      <c r="ER21" s="305">
        <f>Сят!D83</f>
        <v>0</v>
      </c>
      <c r="ES21" s="305" t="e">
        <f t="shared" si="11"/>
        <v>#DIV/0!</v>
      </c>
      <c r="ET21" s="319">
        <f>Сят!C88</f>
        <v>15</v>
      </c>
      <c r="EU21" s="319">
        <f>Сят!D88</f>
        <v>12.5</v>
      </c>
      <c r="EV21" s="305">
        <f t="shared" si="54"/>
        <v>83.333333333333343</v>
      </c>
      <c r="EW21" s="305">
        <f>Сят!C94</f>
        <v>0</v>
      </c>
      <c r="EX21" s="305">
        <f>Сят!D94</f>
        <v>0</v>
      </c>
      <c r="EY21" s="298" t="e">
        <f t="shared" si="55"/>
        <v>#DIV/0!</v>
      </c>
      <c r="EZ21" s="312">
        <f t="shared" si="12"/>
        <v>-659.32935999999972</v>
      </c>
      <c r="FA21" s="312">
        <f t="shared" si="13"/>
        <v>-363.23954000000049</v>
      </c>
      <c r="FB21" s="298">
        <f t="shared" si="57"/>
        <v>55.092274368003366</v>
      </c>
      <c r="FC21" s="159"/>
      <c r="FD21" s="160"/>
      <c r="FE21" s="162"/>
      <c r="FF21" s="160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</row>
    <row r="22" spans="1:173" s="169" customFormat="1" ht="22.5" customHeight="1">
      <c r="A22" s="344">
        <v>9</v>
      </c>
      <c r="B22" s="345" t="s">
        <v>298</v>
      </c>
      <c r="C22" s="322">
        <f>F22+CC22</f>
        <v>11215.931639999999</v>
      </c>
      <c r="D22" s="323">
        <f t="shared" si="0"/>
        <v>5687.6330900000012</v>
      </c>
      <c r="E22" s="308">
        <f t="shared" si="1"/>
        <v>50.710304525358197</v>
      </c>
      <c r="F22" s="299">
        <f t="shared" si="15"/>
        <v>2296.0999999999995</v>
      </c>
      <c r="G22" s="324">
        <f t="shared" si="3"/>
        <v>1179.3753000000002</v>
      </c>
      <c r="H22" s="308">
        <f t="shared" si="16"/>
        <v>51.364282914507228</v>
      </c>
      <c r="I22" s="298">
        <f t="shared" si="17"/>
        <v>1816.1</v>
      </c>
      <c r="J22" s="308"/>
      <c r="K22" s="308"/>
      <c r="L22" s="307">
        <f>Тор!C6</f>
        <v>159</v>
      </c>
      <c r="M22" s="449">
        <f>Тор!D6</f>
        <v>78.464510000000004</v>
      </c>
      <c r="N22" s="308">
        <f t="shared" si="18"/>
        <v>49.348748427672959</v>
      </c>
      <c r="O22" s="308">
        <f>Тор!C8</f>
        <v>342.07900000000001</v>
      </c>
      <c r="P22" s="308">
        <f>Тор!D8</f>
        <v>295.23208</v>
      </c>
      <c r="Q22" s="308">
        <f t="shared" si="19"/>
        <v>86.305233586393783</v>
      </c>
      <c r="R22" s="308">
        <f>Тор!C9</f>
        <v>3.6680000000000001</v>
      </c>
      <c r="S22" s="308">
        <f>Тор!D9</f>
        <v>1.7371099999999999</v>
      </c>
      <c r="T22" s="308">
        <f t="shared" si="20"/>
        <v>47.358505997818973</v>
      </c>
      <c r="U22" s="308">
        <f>Тор!C10</f>
        <v>571.35299999999995</v>
      </c>
      <c r="V22" s="308">
        <f>Тор!D10</f>
        <v>341.17113999999998</v>
      </c>
      <c r="W22" s="308">
        <f t="shared" si="21"/>
        <v>59.712846523952791</v>
      </c>
      <c r="X22" s="308">
        <f>Тор!C11</f>
        <v>0</v>
      </c>
      <c r="Y22" s="325">
        <f>Тор!D11</f>
        <v>-34.182659999999998</v>
      </c>
      <c r="Z22" s="308" t="e">
        <f t="shared" si="22"/>
        <v>#DIV/0!</v>
      </c>
      <c r="AA22" s="307">
        <f>Тор!C13</f>
        <v>30</v>
      </c>
      <c r="AB22" s="307">
        <f>Тор!D13</f>
        <v>5.9820000000000002</v>
      </c>
      <c r="AC22" s="308">
        <f t="shared" si="23"/>
        <v>19.939999999999998</v>
      </c>
      <c r="AD22" s="307">
        <f>Тор!C15</f>
        <v>247</v>
      </c>
      <c r="AE22" s="304">
        <f>Тор!D15</f>
        <v>-0.15401999999999999</v>
      </c>
      <c r="AF22" s="308">
        <f t="shared" si="24"/>
        <v>-6.2356275303643717E-2</v>
      </c>
      <c r="AG22" s="307">
        <f>Тор!C16</f>
        <v>455</v>
      </c>
      <c r="AH22" s="307">
        <f>Тор!D16</f>
        <v>65.389030000000005</v>
      </c>
      <c r="AI22" s="308">
        <f t="shared" si="4"/>
        <v>14.371215384615384</v>
      </c>
      <c r="AJ22" s="308">
        <f>Тор!C18</f>
        <v>8</v>
      </c>
      <c r="AK22" s="308">
        <f>Тор!D18</f>
        <v>4.7</v>
      </c>
      <c r="AL22" s="308">
        <f t="shared" si="25"/>
        <v>58.75</v>
      </c>
      <c r="AM22" s="308"/>
      <c r="AN22" s="308">
        <f>Тор!D20</f>
        <v>0</v>
      </c>
      <c r="AO22" s="308" t="e">
        <f t="shared" si="5"/>
        <v>#DIV/0!</v>
      </c>
      <c r="AP22" s="307">
        <v>0</v>
      </c>
      <c r="AQ22" s="307">
        <v>0</v>
      </c>
      <c r="AR22" s="308" t="e">
        <f t="shared" si="6"/>
        <v>#DIV/0!</v>
      </c>
      <c r="AS22" s="307">
        <f>Тор!C27</f>
        <v>320</v>
      </c>
      <c r="AT22" s="304">
        <f>Тор!D27</f>
        <v>352.46289000000002</v>
      </c>
      <c r="AU22" s="308">
        <f t="shared" si="26"/>
        <v>110.14465312500002</v>
      </c>
      <c r="AV22" s="307">
        <f>Тор!C28</f>
        <v>30</v>
      </c>
      <c r="AW22" s="304">
        <f>Тор!D28</f>
        <v>40.421619999999997</v>
      </c>
      <c r="AX22" s="308">
        <f t="shared" si="27"/>
        <v>134.73873333333333</v>
      </c>
      <c r="AY22" s="307"/>
      <c r="AZ22" s="307"/>
      <c r="BA22" s="308" t="e">
        <f t="shared" si="28"/>
        <v>#DIV/0!</v>
      </c>
      <c r="BB22" s="308">
        <f>Тор!C29</f>
        <v>130</v>
      </c>
      <c r="BC22" s="308">
        <f>Тор!D29</f>
        <v>28.151599999999998</v>
      </c>
      <c r="BD22" s="308">
        <f t="shared" si="29"/>
        <v>21.655076923076923</v>
      </c>
      <c r="BE22" s="308"/>
      <c r="BF22" s="308"/>
      <c r="BG22" s="308"/>
      <c r="BH22" s="308">
        <f>Тор!C34+Тор!C33</f>
        <v>0</v>
      </c>
      <c r="BI22" s="308">
        <f>Тор!D32</f>
        <v>0</v>
      </c>
      <c r="BJ22" s="308" t="e">
        <f t="shared" si="30"/>
        <v>#DIV/0!</v>
      </c>
      <c r="BK22" s="308"/>
      <c r="BL22" s="308"/>
      <c r="BM22" s="308" t="e">
        <f t="shared" si="31"/>
        <v>#DIV/0!</v>
      </c>
      <c r="BN22" s="308"/>
      <c r="BO22" s="308"/>
      <c r="BP22" s="308"/>
      <c r="BQ22" s="308">
        <f>Тор!C35</f>
        <v>0</v>
      </c>
      <c r="BR22" s="308">
        <f>Тор!D35</f>
        <v>0</v>
      </c>
      <c r="BS22" s="298" t="e">
        <f t="shared" si="32"/>
        <v>#DIV/0!</v>
      </c>
      <c r="BT22" s="308">
        <f>Тор!C37</f>
        <v>0</v>
      </c>
      <c r="BU22" s="308">
        <f>Тор!D37</f>
        <v>0</v>
      </c>
      <c r="BV22" s="308" t="e">
        <f t="shared" si="33"/>
        <v>#DIV/0!</v>
      </c>
      <c r="BW22" s="308"/>
      <c r="BX22" s="308"/>
      <c r="BY22" s="326" t="e">
        <f t="shared" si="34"/>
        <v>#DIV/0!</v>
      </c>
      <c r="BZ22" s="326"/>
      <c r="CA22" s="326"/>
      <c r="CB22" s="326" t="e">
        <f t="shared" si="35"/>
        <v>#DIV/0!</v>
      </c>
      <c r="CC22" s="307">
        <f t="shared" si="36"/>
        <v>8919.8316399999985</v>
      </c>
      <c r="CD22" s="303">
        <f t="shared" si="37"/>
        <v>4508.2577900000006</v>
      </c>
      <c r="CE22" s="308">
        <f t="shared" si="56"/>
        <v>50.541960565524768</v>
      </c>
      <c r="CF22" s="308">
        <f>Тор!C42</f>
        <v>2338.6999999999998</v>
      </c>
      <c r="CG22" s="308">
        <f>Тор!D42</f>
        <v>1364.2439999999999</v>
      </c>
      <c r="CH22" s="308">
        <f t="shared" si="38"/>
        <v>58.333433103861118</v>
      </c>
      <c r="CI22" s="308">
        <f>Тор!C43</f>
        <v>0</v>
      </c>
      <c r="CJ22" s="461">
        <f>Тор!D43</f>
        <v>0</v>
      </c>
      <c r="CK22" s="308" t="e">
        <f t="shared" si="39"/>
        <v>#DIV/0!</v>
      </c>
      <c r="CL22" s="308">
        <f>Тор!C44</f>
        <v>4944.6908299999996</v>
      </c>
      <c r="CM22" s="308">
        <f>Тор!D44</f>
        <v>2243.4595199999999</v>
      </c>
      <c r="CN22" s="308">
        <f t="shared" si="7"/>
        <v>45.371077730253155</v>
      </c>
      <c r="CO22" s="308">
        <f>Тор!C45</f>
        <v>94.305999999999997</v>
      </c>
      <c r="CP22" s="308">
        <f>Тор!D45</f>
        <v>66.573999999999998</v>
      </c>
      <c r="CQ22" s="308">
        <f t="shared" si="8"/>
        <v>70.593599558882786</v>
      </c>
      <c r="CR22" s="308">
        <f>Тор!C46</f>
        <v>1028.2329999999999</v>
      </c>
      <c r="CS22" s="308">
        <f>Тор!D46</f>
        <v>417.44195000000002</v>
      </c>
      <c r="CT22" s="298">
        <f t="shared" si="40"/>
        <v>40.597991894833179</v>
      </c>
      <c r="CU22" s="325">
        <f>Тор!C48</f>
        <v>513.90180999999995</v>
      </c>
      <c r="CV22" s="308">
        <f>Тор!D48</f>
        <v>416.53832</v>
      </c>
      <c r="CW22" s="308">
        <f t="shared" si="9"/>
        <v>81.054067507565321</v>
      </c>
      <c r="CX22" s="308"/>
      <c r="CY22" s="308">
        <f>Тор!D49</f>
        <v>0</v>
      </c>
      <c r="CZ22" s="308"/>
      <c r="DA22" s="307"/>
      <c r="DB22" s="307"/>
      <c r="DC22" s="308" t="e">
        <f t="shared" si="41"/>
        <v>#DIV/0!</v>
      </c>
      <c r="DD22" s="308"/>
      <c r="DE22" s="308"/>
      <c r="DF22" s="308"/>
      <c r="DG22" s="308"/>
      <c r="DH22" s="308"/>
      <c r="DI22" s="308"/>
      <c r="DJ22" s="307">
        <f t="shared" si="42"/>
        <v>11745.95912</v>
      </c>
      <c r="DK22" s="307">
        <f t="shared" si="42"/>
        <v>5839.6628099999998</v>
      </c>
      <c r="DL22" s="308">
        <f t="shared" si="43"/>
        <v>49.716355644867939</v>
      </c>
      <c r="DM22" s="307">
        <f t="shared" si="44"/>
        <v>1303.4739999999999</v>
      </c>
      <c r="DN22" s="307">
        <f t="shared" si="44"/>
        <v>653.83069999999998</v>
      </c>
      <c r="DO22" s="308">
        <f t="shared" si="45"/>
        <v>50.1606246077789</v>
      </c>
      <c r="DP22" s="308">
        <f>Тор!C58</f>
        <v>1289.518</v>
      </c>
      <c r="DQ22" s="308">
        <f>Тор!D58</f>
        <v>649.87469999999996</v>
      </c>
      <c r="DR22" s="308">
        <f t="shared" si="46"/>
        <v>50.396714121090206</v>
      </c>
      <c r="DS22" s="308">
        <f>Тор!C61</f>
        <v>0</v>
      </c>
      <c r="DT22" s="308">
        <f>Тор!D61</f>
        <v>0</v>
      </c>
      <c r="DU22" s="308" t="e">
        <f t="shared" si="47"/>
        <v>#DIV/0!</v>
      </c>
      <c r="DV22" s="308">
        <f>Тор!C62</f>
        <v>10</v>
      </c>
      <c r="DW22" s="308">
        <f>Тор!D62</f>
        <v>0</v>
      </c>
      <c r="DX22" s="308">
        <f t="shared" si="48"/>
        <v>0</v>
      </c>
      <c r="DY22" s="308">
        <f>Тор!C63</f>
        <v>3.956</v>
      </c>
      <c r="DZ22" s="308">
        <f>Тор!D63</f>
        <v>3.956</v>
      </c>
      <c r="EA22" s="308">
        <f t="shared" si="49"/>
        <v>100</v>
      </c>
      <c r="EB22" s="308">
        <f>Тор!C65</f>
        <v>94.305999999999997</v>
      </c>
      <c r="EC22" s="308">
        <f>+Тор!D64</f>
        <v>51.051940000000002</v>
      </c>
      <c r="ED22" s="308">
        <f t="shared" si="50"/>
        <v>54.134349882298046</v>
      </c>
      <c r="EE22" s="308">
        <f>Тор!C66</f>
        <v>20</v>
      </c>
      <c r="EF22" s="308">
        <f>Тор!D66</f>
        <v>2.83134</v>
      </c>
      <c r="EG22" s="308">
        <f t="shared" si="51"/>
        <v>14.156700000000001</v>
      </c>
      <c r="EH22" s="307">
        <f>Тор!C72</f>
        <v>5342.6914800000004</v>
      </c>
      <c r="EI22" s="307">
        <f>Тор!D72</f>
        <v>1165.0149999999999</v>
      </c>
      <c r="EJ22" s="308">
        <f t="shared" si="52"/>
        <v>21.805769701678521</v>
      </c>
      <c r="EK22" s="307">
        <f>Тор!C78</f>
        <v>3807.0876400000002</v>
      </c>
      <c r="EL22" s="307">
        <f>Тор!D78</f>
        <v>3288.7838299999999</v>
      </c>
      <c r="EM22" s="308">
        <f t="shared" si="53"/>
        <v>86.385818793496426</v>
      </c>
      <c r="EN22" s="307">
        <f>Тор!C82</f>
        <v>1176.4000000000001</v>
      </c>
      <c r="EO22" s="327">
        <f>Тор!D82</f>
        <v>678.15</v>
      </c>
      <c r="EP22" s="308">
        <f t="shared" si="10"/>
        <v>57.646208772526343</v>
      </c>
      <c r="EQ22" s="308">
        <f>Тор!C84</f>
        <v>0</v>
      </c>
      <c r="ER22" s="308">
        <f>Тор!D84</f>
        <v>0</v>
      </c>
      <c r="ES22" s="308" t="e">
        <f t="shared" si="11"/>
        <v>#DIV/0!</v>
      </c>
      <c r="ET22" s="324">
        <f>Тор!C96</f>
        <v>2</v>
      </c>
      <c r="EU22" s="324">
        <f>Тор!D96</f>
        <v>0</v>
      </c>
      <c r="EV22" s="308">
        <f t="shared" si="54"/>
        <v>0</v>
      </c>
      <c r="EW22" s="308">
        <f>Тор!C94</f>
        <v>0</v>
      </c>
      <c r="EX22" s="308">
        <f>Тор!D94</f>
        <v>0</v>
      </c>
      <c r="EY22" s="308" t="e">
        <f t="shared" si="55"/>
        <v>#DIV/0!</v>
      </c>
      <c r="EZ22" s="328">
        <f t="shared" si="12"/>
        <v>-530.02748000000065</v>
      </c>
      <c r="FA22" s="328">
        <f t="shared" si="13"/>
        <v>-152.02971999999863</v>
      </c>
      <c r="FB22" s="308">
        <f t="shared" si="57"/>
        <v>28.683365624740521</v>
      </c>
      <c r="FC22" s="167"/>
      <c r="FD22" s="168"/>
      <c r="FF22" s="168"/>
      <c r="FI22" s="210"/>
      <c r="FJ22" s="210"/>
      <c r="FK22" s="210"/>
      <c r="FL22" s="210"/>
      <c r="FM22" s="210"/>
      <c r="FN22" s="210"/>
      <c r="FO22" s="210"/>
      <c r="FP22" s="210"/>
      <c r="FQ22" s="210"/>
    </row>
    <row r="23" spans="1:173" s="157" customFormat="1" ht="23.25" customHeight="1">
      <c r="A23" s="341">
        <v>10</v>
      </c>
      <c r="B23" s="343" t="s">
        <v>299</v>
      </c>
      <c r="C23" s="296">
        <f t="shared" si="14"/>
        <v>11909.0726</v>
      </c>
      <c r="D23" s="297">
        <f t="shared" si="0"/>
        <v>4307.9764400000004</v>
      </c>
      <c r="E23" s="305">
        <f t="shared" si="1"/>
        <v>36.173903583390704</v>
      </c>
      <c r="F23" s="299">
        <f t="shared" si="15"/>
        <v>1169.7299999999998</v>
      </c>
      <c r="G23" s="299">
        <f t="shared" si="3"/>
        <v>525.50451999999996</v>
      </c>
      <c r="H23" s="305">
        <f t="shared" si="16"/>
        <v>44.925283612457577</v>
      </c>
      <c r="I23" s="298">
        <f t="shared" si="17"/>
        <v>1139.73</v>
      </c>
      <c r="J23" s="305"/>
      <c r="K23" s="305"/>
      <c r="L23" s="313">
        <f>Хор!C6</f>
        <v>111</v>
      </c>
      <c r="M23" s="449">
        <f>Хор!D6</f>
        <v>48.30771</v>
      </c>
      <c r="N23" s="305">
        <f t="shared" si="18"/>
        <v>43.52045945945946</v>
      </c>
      <c r="O23" s="305">
        <f>Хор!C8</f>
        <v>159.916</v>
      </c>
      <c r="P23" s="305">
        <f>Хор!D8</f>
        <v>138.01872</v>
      </c>
      <c r="Q23" s="298">
        <f t="shared" si="19"/>
        <v>86.307011180869964</v>
      </c>
      <c r="R23" s="298">
        <f>Хор!C9</f>
        <v>1.7150000000000001</v>
      </c>
      <c r="S23" s="298">
        <f>Хор!D9</f>
        <v>0.81206999999999996</v>
      </c>
      <c r="T23" s="298">
        <f t="shared" si="20"/>
        <v>47.351020408163258</v>
      </c>
      <c r="U23" s="298">
        <f>Хор!C10</f>
        <v>267.09899999999999</v>
      </c>
      <c r="V23" s="298">
        <f>Хор!D10</f>
        <v>159.49485000000001</v>
      </c>
      <c r="W23" s="298">
        <f t="shared" si="21"/>
        <v>59.71375782013412</v>
      </c>
      <c r="X23" s="298">
        <f>Хор!C11</f>
        <v>0</v>
      </c>
      <c r="Y23" s="302">
        <f>Хор!D11</f>
        <v>-15.980130000000001</v>
      </c>
      <c r="Z23" s="298" t="e">
        <f t="shared" si="22"/>
        <v>#DIV/0!</v>
      </c>
      <c r="AA23" s="313">
        <f>Хор!C13</f>
        <v>10</v>
      </c>
      <c r="AB23" s="313">
        <f>Хор!D13</f>
        <v>1.0592999999999999</v>
      </c>
      <c r="AC23" s="305">
        <f t="shared" si="23"/>
        <v>10.593</v>
      </c>
      <c r="AD23" s="313">
        <f>Хор!C15</f>
        <v>271</v>
      </c>
      <c r="AE23" s="304">
        <f>Хор!D15</f>
        <v>130.89299</v>
      </c>
      <c r="AF23" s="305">
        <f t="shared" si="24"/>
        <v>48.299996309963099</v>
      </c>
      <c r="AG23" s="313">
        <f>Хор!C16</f>
        <v>314</v>
      </c>
      <c r="AH23" s="313">
        <f>Хор!D16</f>
        <v>44.577190000000002</v>
      </c>
      <c r="AI23" s="305">
        <f t="shared" si="4"/>
        <v>14.196557324840764</v>
      </c>
      <c r="AJ23" s="305">
        <f>Хор!C18</f>
        <v>5</v>
      </c>
      <c r="AK23" s="305">
        <f>Хор!D18</f>
        <v>1.6</v>
      </c>
      <c r="AL23" s="305">
        <f t="shared" si="25"/>
        <v>32</v>
      </c>
      <c r="AM23" s="305"/>
      <c r="AN23" s="305"/>
      <c r="AO23" s="305" t="e">
        <f t="shared" si="5"/>
        <v>#DIV/0!</v>
      </c>
      <c r="AP23" s="313">
        <v>0</v>
      </c>
      <c r="AQ23" s="313">
        <v>0</v>
      </c>
      <c r="AR23" s="305" t="e">
        <f t="shared" si="6"/>
        <v>#DIV/0!</v>
      </c>
      <c r="AS23" s="313">
        <f>Хор!C25</f>
        <v>30</v>
      </c>
      <c r="AT23" s="314">
        <f>Хор!D25</f>
        <v>16.383299999999998</v>
      </c>
      <c r="AU23" s="305">
        <f t="shared" si="26"/>
        <v>54.610999999999997</v>
      </c>
      <c r="AV23" s="307">
        <f>Хор!C26</f>
        <v>0</v>
      </c>
      <c r="AW23" s="314">
        <f>Хор!D26</f>
        <v>0</v>
      </c>
      <c r="AX23" s="305" t="e">
        <f t="shared" si="27"/>
        <v>#DIV/0!</v>
      </c>
      <c r="AY23" s="313"/>
      <c r="AZ23" s="313"/>
      <c r="BA23" s="305" t="e">
        <f t="shared" si="28"/>
        <v>#DIV/0!</v>
      </c>
      <c r="BB23" s="305">
        <f>Хор!C27</f>
        <v>0</v>
      </c>
      <c r="BC23" s="308">
        <f>Хор!D27</f>
        <v>0</v>
      </c>
      <c r="BD23" s="305" t="e">
        <f t="shared" si="29"/>
        <v>#DIV/0!</v>
      </c>
      <c r="BE23" s="305"/>
      <c r="BF23" s="305"/>
      <c r="BG23" s="305"/>
      <c r="BH23" s="305">
        <f>Хор!C31</f>
        <v>0</v>
      </c>
      <c r="BI23" s="305">
        <f>Хор!D31</f>
        <v>0</v>
      </c>
      <c r="BJ23" s="305" t="e">
        <f t="shared" si="30"/>
        <v>#DIV/0!</v>
      </c>
      <c r="BK23" s="305"/>
      <c r="BL23" s="305"/>
      <c r="BM23" s="305" t="e">
        <f t="shared" si="31"/>
        <v>#DIV/0!</v>
      </c>
      <c r="BN23" s="305"/>
      <c r="BO23" s="305"/>
      <c r="BP23" s="305"/>
      <c r="BQ23" s="305"/>
      <c r="BR23" s="305">
        <f>Хор!D32</f>
        <v>0.33851999999999999</v>
      </c>
      <c r="BS23" s="298" t="e">
        <f t="shared" si="32"/>
        <v>#DIV/0!</v>
      </c>
      <c r="BT23" s="305">
        <f>Хор!C33</f>
        <v>0</v>
      </c>
      <c r="BU23" s="305">
        <f>Хор!D33</f>
        <v>0</v>
      </c>
      <c r="BV23" s="305" t="e">
        <f t="shared" si="33"/>
        <v>#DIV/0!</v>
      </c>
      <c r="BW23" s="305"/>
      <c r="BX23" s="305"/>
      <c r="BY23" s="315" t="e">
        <f t="shared" si="34"/>
        <v>#DIV/0!</v>
      </c>
      <c r="BZ23" s="315"/>
      <c r="CA23" s="315"/>
      <c r="CB23" s="315" t="e">
        <f t="shared" si="35"/>
        <v>#DIV/0!</v>
      </c>
      <c r="CC23" s="303">
        <f t="shared" si="36"/>
        <v>10739.3426</v>
      </c>
      <c r="CD23" s="303">
        <f>CG23+CJ23+CM23+CP23+CV23+CS23+CY23</f>
        <v>3782.4719200000004</v>
      </c>
      <c r="CE23" s="305">
        <f t="shared" si="56"/>
        <v>35.220702615446875</v>
      </c>
      <c r="CF23" s="305">
        <f>Хор!C38</f>
        <v>2095.3000000000002</v>
      </c>
      <c r="CG23" s="305">
        <f>Хор!D38</f>
        <v>1222.2560000000001</v>
      </c>
      <c r="CH23" s="305">
        <f t="shared" si="38"/>
        <v>58.333221972987161</v>
      </c>
      <c r="CI23" s="305">
        <f>Хор!C40</f>
        <v>0</v>
      </c>
      <c r="CJ23" s="460">
        <f>Хор!D40</f>
        <v>0</v>
      </c>
      <c r="CK23" s="305" t="e">
        <f t="shared" si="39"/>
        <v>#DIV/0!</v>
      </c>
      <c r="CL23" s="305">
        <f>Хор!C41</f>
        <v>5392.4809599999999</v>
      </c>
      <c r="CM23" s="305">
        <f>Хор!D41</f>
        <v>2072.2287999999999</v>
      </c>
      <c r="CN23" s="305">
        <f t="shared" si="7"/>
        <v>38.428115284434867</v>
      </c>
      <c r="CO23" s="305">
        <f>Хор!C42</f>
        <v>94.305000000000007</v>
      </c>
      <c r="CP23" s="305">
        <f>Хор!D42</f>
        <v>66.573999999999998</v>
      </c>
      <c r="CQ23" s="305">
        <f t="shared" si="8"/>
        <v>70.594348125762153</v>
      </c>
      <c r="CR23" s="305">
        <f>Хор!C43</f>
        <v>2391.2614800000001</v>
      </c>
      <c r="CS23" s="305">
        <f>Хор!D43</f>
        <v>0</v>
      </c>
      <c r="CT23" s="298">
        <f t="shared" si="40"/>
        <v>0</v>
      </c>
      <c r="CU23" s="317">
        <f>Хор!C44</f>
        <v>765.99516000000006</v>
      </c>
      <c r="CV23" s="305">
        <f>Хор!D44</f>
        <v>421.41311999999999</v>
      </c>
      <c r="CW23" s="305">
        <f t="shared" si="9"/>
        <v>55.015115239109335</v>
      </c>
      <c r="CX23" s="305"/>
      <c r="CY23" s="305"/>
      <c r="CZ23" s="305"/>
      <c r="DA23" s="313"/>
      <c r="DB23" s="313"/>
      <c r="DC23" s="305" t="e">
        <f t="shared" si="41"/>
        <v>#DIV/0!</v>
      </c>
      <c r="DD23" s="305"/>
      <c r="DE23" s="305"/>
      <c r="DF23" s="305"/>
      <c r="DG23" s="305"/>
      <c r="DH23" s="305">
        <f>Хор!D47</f>
        <v>0</v>
      </c>
      <c r="DI23" s="305"/>
      <c r="DJ23" s="307">
        <f t="shared" si="42"/>
        <v>11940.514759999998</v>
      </c>
      <c r="DK23" s="307">
        <f t="shared" si="42"/>
        <v>3957.6925700000002</v>
      </c>
      <c r="DL23" s="305">
        <f t="shared" si="43"/>
        <v>33.145074978325312</v>
      </c>
      <c r="DM23" s="313">
        <f t="shared" si="44"/>
        <v>1283.778</v>
      </c>
      <c r="DN23" s="313">
        <f t="shared" si="44"/>
        <v>750.69466</v>
      </c>
      <c r="DO23" s="305">
        <f t="shared" si="45"/>
        <v>58.475426436658054</v>
      </c>
      <c r="DP23" s="305">
        <f>Хор!C55</f>
        <v>1270.626</v>
      </c>
      <c r="DQ23" s="305">
        <f>Хор!D55</f>
        <v>747.54265999999996</v>
      </c>
      <c r="DR23" s="305">
        <f t="shared" si="46"/>
        <v>58.832627382093548</v>
      </c>
      <c r="DS23" s="305">
        <f>Хор!C58</f>
        <v>0</v>
      </c>
      <c r="DT23" s="305">
        <f>Хор!D58</f>
        <v>0</v>
      </c>
      <c r="DU23" s="305" t="e">
        <f t="shared" si="47"/>
        <v>#DIV/0!</v>
      </c>
      <c r="DV23" s="305">
        <f>Хор!C59</f>
        <v>10</v>
      </c>
      <c r="DW23" s="305">
        <f>Хор!D59</f>
        <v>0</v>
      </c>
      <c r="DX23" s="305">
        <f t="shared" si="48"/>
        <v>0</v>
      </c>
      <c r="DY23" s="305">
        <f>Хор!C60</f>
        <v>3.1520000000000001</v>
      </c>
      <c r="DZ23" s="305">
        <f>Хор!D60</f>
        <v>3.1520000000000001</v>
      </c>
      <c r="EA23" s="305">
        <f t="shared" si="49"/>
        <v>100</v>
      </c>
      <c r="EB23" s="305">
        <f>Хор!C62</f>
        <v>94.305000000000007</v>
      </c>
      <c r="EC23" s="305">
        <f>Хор!D62</f>
        <v>38.852789999999999</v>
      </c>
      <c r="ED23" s="305">
        <f t="shared" si="50"/>
        <v>41.199077461428338</v>
      </c>
      <c r="EE23" s="305">
        <f>Хор!C63</f>
        <v>8</v>
      </c>
      <c r="EF23" s="305">
        <f>Хор!D63</f>
        <v>4.83134</v>
      </c>
      <c r="EG23" s="305">
        <f t="shared" si="51"/>
        <v>60.391750000000002</v>
      </c>
      <c r="EH23" s="313">
        <f>Хор!C69</f>
        <v>1284.1821600000001</v>
      </c>
      <c r="EI23" s="313">
        <f>Хор!D69</f>
        <v>272.56196999999997</v>
      </c>
      <c r="EJ23" s="305">
        <f t="shared" si="52"/>
        <v>21.22455664701026</v>
      </c>
      <c r="EK23" s="313">
        <f>Хор!C74</f>
        <v>8399.4495999999999</v>
      </c>
      <c r="EL23" s="313">
        <f>Хор!D74</f>
        <v>2435.4668900000001</v>
      </c>
      <c r="EM23" s="305">
        <f t="shared" si="53"/>
        <v>28.995553351495793</v>
      </c>
      <c r="EN23" s="313">
        <f>Хор!C78</f>
        <v>865.8</v>
      </c>
      <c r="EO23" s="318">
        <f>Хор!D78</f>
        <v>450.28492</v>
      </c>
      <c r="EP23" s="305">
        <f t="shared" si="10"/>
        <v>52.007960267960271</v>
      </c>
      <c r="EQ23" s="305">
        <f>Хор!C80</f>
        <v>0</v>
      </c>
      <c r="ER23" s="305">
        <f>Хор!D80</f>
        <v>0</v>
      </c>
      <c r="ES23" s="305" t="e">
        <f t="shared" si="11"/>
        <v>#DIV/0!</v>
      </c>
      <c r="ET23" s="319">
        <f>Хор!C85</f>
        <v>5</v>
      </c>
      <c r="EU23" s="319">
        <f>Хор!D85</f>
        <v>5</v>
      </c>
      <c r="EV23" s="305">
        <f t="shared" si="54"/>
        <v>100</v>
      </c>
      <c r="EW23" s="305">
        <f>Хор!C91</f>
        <v>0</v>
      </c>
      <c r="EX23" s="305">
        <f>Хор!D91</f>
        <v>0</v>
      </c>
      <c r="EY23" s="298" t="e">
        <f t="shared" si="55"/>
        <v>#DIV/0!</v>
      </c>
      <c r="EZ23" s="312">
        <f t="shared" si="12"/>
        <v>-31.442159999998694</v>
      </c>
      <c r="FA23" s="312">
        <f t="shared" si="13"/>
        <v>350.28387000000021</v>
      </c>
      <c r="FB23" s="298">
        <f t="shared" si="57"/>
        <v>-1114.057908235359</v>
      </c>
      <c r="FC23" s="159"/>
      <c r="FD23" s="160"/>
      <c r="FF23" s="160"/>
    </row>
    <row r="24" spans="1:173" s="253" customFormat="1" ht="25.5" customHeight="1">
      <c r="A24" s="346">
        <v>11</v>
      </c>
      <c r="B24" s="343" t="s">
        <v>300</v>
      </c>
      <c r="C24" s="320">
        <f t="shared" si="14"/>
        <v>8609.8312600000008</v>
      </c>
      <c r="D24" s="297">
        <f t="shared" si="0"/>
        <v>3806.5545400000001</v>
      </c>
      <c r="E24" s="305">
        <f t="shared" si="1"/>
        <v>44.211720590677409</v>
      </c>
      <c r="F24" s="299">
        <f t="shared" si="15"/>
        <v>1138.6960000000001</v>
      </c>
      <c r="G24" s="319">
        <f t="shared" si="3"/>
        <v>653.38663999999994</v>
      </c>
      <c r="H24" s="305">
        <f t="shared" si="16"/>
        <v>57.380252499350128</v>
      </c>
      <c r="I24" s="298">
        <f t="shared" si="17"/>
        <v>1002.556</v>
      </c>
      <c r="J24" s="305"/>
      <c r="K24" s="305"/>
      <c r="L24" s="313">
        <f>Чум!C6</f>
        <v>93</v>
      </c>
      <c r="M24" s="449">
        <f>Чум!D6</f>
        <v>45.32835</v>
      </c>
      <c r="N24" s="305">
        <f t="shared" si="18"/>
        <v>48.740161290322582</v>
      </c>
      <c r="O24" s="305">
        <f>Чум!C8</f>
        <v>152.505</v>
      </c>
      <c r="P24" s="305">
        <f>Чум!D8</f>
        <v>131.62052</v>
      </c>
      <c r="Q24" s="305">
        <f t="shared" si="19"/>
        <v>86.305708009573451</v>
      </c>
      <c r="R24" s="305">
        <f>Чум!C9</f>
        <v>1.635</v>
      </c>
      <c r="S24" s="305">
        <f>Чум!D9</f>
        <v>0.77446000000000004</v>
      </c>
      <c r="T24" s="305">
        <f t="shared" si="20"/>
        <v>47.367584097859329</v>
      </c>
      <c r="U24" s="305">
        <f>Чум!C10</f>
        <v>254.72</v>
      </c>
      <c r="V24" s="305">
        <f>Чум!D10</f>
        <v>152.10105999999999</v>
      </c>
      <c r="W24" s="305">
        <f t="shared" si="21"/>
        <v>59.713041771356778</v>
      </c>
      <c r="X24" s="305">
        <f>Чум!C11</f>
        <v>0</v>
      </c>
      <c r="Y24" s="317">
        <f>Чум!D11</f>
        <v>-15.239369999999999</v>
      </c>
      <c r="Z24" s="305" t="e">
        <f t="shared" si="22"/>
        <v>#DIV/0!</v>
      </c>
      <c r="AA24" s="313">
        <f>Чум!C13</f>
        <v>40</v>
      </c>
      <c r="AB24" s="313">
        <f>Чум!D13</f>
        <v>143.49297999999999</v>
      </c>
      <c r="AC24" s="305">
        <f t="shared" si="23"/>
        <v>358.73244999999997</v>
      </c>
      <c r="AD24" s="313">
        <f>Чум!C15</f>
        <v>96</v>
      </c>
      <c r="AE24" s="304">
        <f>Чум!D15</f>
        <v>9.8586899999999993</v>
      </c>
      <c r="AF24" s="305">
        <f t="shared" si="24"/>
        <v>10.26946875</v>
      </c>
      <c r="AG24" s="313">
        <f>Чум!C16</f>
        <v>359.69600000000003</v>
      </c>
      <c r="AH24" s="313">
        <f>Чум!D16</f>
        <v>47.747779999999999</v>
      </c>
      <c r="AI24" s="305">
        <f t="shared" si="4"/>
        <v>13.27448178461812</v>
      </c>
      <c r="AJ24" s="305">
        <f>Чум!C18</f>
        <v>5</v>
      </c>
      <c r="AK24" s="305">
        <f>Чум!D18</f>
        <v>1.4</v>
      </c>
      <c r="AL24" s="305">
        <f t="shared" si="25"/>
        <v>27.999999999999996</v>
      </c>
      <c r="AM24" s="305">
        <f>Чум!C22</f>
        <v>0</v>
      </c>
      <c r="AN24" s="305">
        <v>3.65E-3</v>
      </c>
      <c r="AO24" s="305" t="e">
        <f>AN24/AM24*100</f>
        <v>#DIV/0!</v>
      </c>
      <c r="AP24" s="313">
        <v>0</v>
      </c>
      <c r="AQ24" s="313"/>
      <c r="AR24" s="305" t="e">
        <f t="shared" si="6"/>
        <v>#DIV/0!</v>
      </c>
      <c r="AS24" s="313">
        <f>Чум!C27</f>
        <v>86.14</v>
      </c>
      <c r="AT24" s="314">
        <f>Чум!D27</f>
        <v>43.90936</v>
      </c>
      <c r="AU24" s="305">
        <f t="shared" si="26"/>
        <v>50.974413745066173</v>
      </c>
      <c r="AV24" s="313">
        <f>Чум!C28</f>
        <v>0</v>
      </c>
      <c r="AW24" s="314">
        <f>Чум!D28</f>
        <v>0</v>
      </c>
      <c r="AX24" s="305" t="e">
        <f t="shared" si="27"/>
        <v>#DIV/0!</v>
      </c>
      <c r="AY24" s="313"/>
      <c r="AZ24" s="313"/>
      <c r="BA24" s="305" t="e">
        <f t="shared" si="28"/>
        <v>#DIV/0!</v>
      </c>
      <c r="BB24" s="305">
        <f>Чум!C30</f>
        <v>50</v>
      </c>
      <c r="BC24" s="308">
        <f>Чум!D30</f>
        <v>13.91216</v>
      </c>
      <c r="BD24" s="305">
        <f t="shared" si="29"/>
        <v>27.824320000000004</v>
      </c>
      <c r="BE24" s="305"/>
      <c r="BF24" s="305"/>
      <c r="BG24" s="305"/>
      <c r="BH24" s="305">
        <f>Чум!C33</f>
        <v>0</v>
      </c>
      <c r="BI24" s="305">
        <f>Чум!D31</f>
        <v>78.477000000000004</v>
      </c>
      <c r="BJ24" s="305" t="e">
        <f t="shared" si="30"/>
        <v>#DIV/0!</v>
      </c>
      <c r="BK24" s="305"/>
      <c r="BL24" s="305"/>
      <c r="BM24" s="305" t="e">
        <f t="shared" si="31"/>
        <v>#DIV/0!</v>
      </c>
      <c r="BN24" s="305"/>
      <c r="BO24" s="305"/>
      <c r="BP24" s="305"/>
      <c r="BQ24" s="305"/>
      <c r="BR24" s="305">
        <f>Чум!D34</f>
        <v>0</v>
      </c>
      <c r="BS24" s="298" t="e">
        <f t="shared" si="32"/>
        <v>#DIV/0!</v>
      </c>
      <c r="BT24" s="305">
        <f>Чум!C37</f>
        <v>0</v>
      </c>
      <c r="BU24" s="305">
        <f>Чум!D37</f>
        <v>0</v>
      </c>
      <c r="BV24" s="305" t="e">
        <f t="shared" si="33"/>
        <v>#DIV/0!</v>
      </c>
      <c r="BW24" s="305"/>
      <c r="BX24" s="305"/>
      <c r="BY24" s="315" t="e">
        <f t="shared" si="34"/>
        <v>#DIV/0!</v>
      </c>
      <c r="BZ24" s="315"/>
      <c r="CA24" s="315"/>
      <c r="CB24" s="315" t="e">
        <f t="shared" si="35"/>
        <v>#DIV/0!</v>
      </c>
      <c r="CC24" s="313">
        <f t="shared" si="36"/>
        <v>7471.13526</v>
      </c>
      <c r="CD24" s="313">
        <f t="shared" si="37"/>
        <v>3153.1678999999999</v>
      </c>
      <c r="CE24" s="305">
        <f t="shared" si="56"/>
        <v>42.20466890596758</v>
      </c>
      <c r="CF24" s="305">
        <f>Чум!C42</f>
        <v>3395.5</v>
      </c>
      <c r="CG24" s="305">
        <f>Чум!D42</f>
        <v>1980.7059999999999</v>
      </c>
      <c r="CH24" s="305">
        <f t="shared" si="38"/>
        <v>58.333264614931522</v>
      </c>
      <c r="CI24" s="305">
        <f>Чум!C43</f>
        <v>0</v>
      </c>
      <c r="CJ24" s="460">
        <f>Чум!D43</f>
        <v>0</v>
      </c>
      <c r="CK24" s="305" t="e">
        <f t="shared" si="39"/>
        <v>#DIV/0!</v>
      </c>
      <c r="CL24" s="305">
        <f>Чум!C44</f>
        <v>3397.261</v>
      </c>
      <c r="CM24" s="305">
        <f>Чум!D44</f>
        <v>698.74</v>
      </c>
      <c r="CN24" s="305">
        <f t="shared" si="7"/>
        <v>20.567745604473721</v>
      </c>
      <c r="CO24" s="305">
        <f>Чум!C45</f>
        <v>94.305999999999997</v>
      </c>
      <c r="CP24" s="305">
        <f>Чум!D45</f>
        <v>66.573999999999998</v>
      </c>
      <c r="CQ24" s="305">
        <f t="shared" si="8"/>
        <v>70.593599558882786</v>
      </c>
      <c r="CR24" s="305">
        <f>Чум!C46</f>
        <v>461.81837999999999</v>
      </c>
      <c r="CS24" s="305">
        <f>Чум!D46</f>
        <v>327.81338</v>
      </c>
      <c r="CT24" s="298">
        <f t="shared" si="40"/>
        <v>70.983181743437754</v>
      </c>
      <c r="CU24" s="317">
        <f>Чум!C50</f>
        <v>122.24988</v>
      </c>
      <c r="CV24" s="305">
        <f>Чум!D50</f>
        <v>79.334519999999998</v>
      </c>
      <c r="CW24" s="305">
        <f t="shared" si="9"/>
        <v>64.895376584418727</v>
      </c>
      <c r="CX24" s="305"/>
      <c r="CY24" s="305"/>
      <c r="CZ24" s="305"/>
      <c r="DA24" s="313"/>
      <c r="DB24" s="313"/>
      <c r="DC24" s="305" t="e">
        <f t="shared" si="41"/>
        <v>#DIV/0!</v>
      </c>
      <c r="DD24" s="305"/>
      <c r="DE24" s="305"/>
      <c r="DF24" s="305"/>
      <c r="DG24" s="305"/>
      <c r="DH24" s="305"/>
      <c r="DI24" s="305"/>
      <c r="DJ24" s="307">
        <f t="shared" si="42"/>
        <v>8938.0200800000002</v>
      </c>
      <c r="DK24" s="307">
        <f t="shared" si="42"/>
        <v>3404.8232599999997</v>
      </c>
      <c r="DL24" s="305">
        <f t="shared" si="43"/>
        <v>38.093707885247888</v>
      </c>
      <c r="DM24" s="313">
        <f t="shared" si="44"/>
        <v>1618.3080000000002</v>
      </c>
      <c r="DN24" s="313">
        <f t="shared" si="44"/>
        <v>786.05704000000003</v>
      </c>
      <c r="DO24" s="305">
        <f t="shared" si="45"/>
        <v>48.572771067065105</v>
      </c>
      <c r="DP24" s="305">
        <f>Чум!C58</f>
        <v>1599.38</v>
      </c>
      <c r="DQ24" s="305">
        <f>Чум!D58</f>
        <v>785.05704000000003</v>
      </c>
      <c r="DR24" s="305">
        <f t="shared" si="46"/>
        <v>49.085085470619866</v>
      </c>
      <c r="DS24" s="305">
        <f>Чум!C61</f>
        <v>0</v>
      </c>
      <c r="DT24" s="305">
        <f>Чум!D61</f>
        <v>0</v>
      </c>
      <c r="DU24" s="305" t="e">
        <f t="shared" si="47"/>
        <v>#DIV/0!</v>
      </c>
      <c r="DV24" s="305">
        <f>Чум!C62</f>
        <v>10</v>
      </c>
      <c r="DW24" s="305">
        <f>Чум!D62</f>
        <v>0</v>
      </c>
      <c r="DX24" s="305">
        <f t="shared" si="48"/>
        <v>0</v>
      </c>
      <c r="DY24" s="305">
        <f>Чум!C63</f>
        <v>8.9280000000000008</v>
      </c>
      <c r="DZ24" s="305">
        <f>Чум!D63</f>
        <v>1</v>
      </c>
      <c r="EA24" s="305">
        <f t="shared" si="49"/>
        <v>11.200716845878135</v>
      </c>
      <c r="EB24" s="305">
        <f>Чум!C65</f>
        <v>94.305999999999997</v>
      </c>
      <c r="EC24" s="305">
        <f>Чум!D65</f>
        <v>48.221170000000001</v>
      </c>
      <c r="ED24" s="305">
        <f t="shared" si="50"/>
        <v>51.132663881407339</v>
      </c>
      <c r="EE24" s="305">
        <f>Чум!C66</f>
        <v>28.5</v>
      </c>
      <c r="EF24" s="305">
        <f>Чум!D66</f>
        <v>7.0313400000000001</v>
      </c>
      <c r="EG24" s="305">
        <f t="shared" si="51"/>
        <v>24.67136842105263</v>
      </c>
      <c r="EH24" s="313">
        <f>Чум!C72</f>
        <v>1392.1851799999999</v>
      </c>
      <c r="EI24" s="313">
        <f>Чум!D72</f>
        <v>595.24953000000005</v>
      </c>
      <c r="EJ24" s="305">
        <f t="shared" si="52"/>
        <v>42.756490914520448</v>
      </c>
      <c r="EK24" s="313">
        <f>Чум!C77</f>
        <v>4756.3208999999997</v>
      </c>
      <c r="EL24" s="313">
        <f>Чум!D77</f>
        <v>1357.09618</v>
      </c>
      <c r="EM24" s="305">
        <f t="shared" si="53"/>
        <v>28.532477276711926</v>
      </c>
      <c r="EN24" s="313">
        <f>Чум!C81</f>
        <v>1038.4000000000001</v>
      </c>
      <c r="EO24" s="318">
        <f>Чум!D81</f>
        <v>605.73800000000006</v>
      </c>
      <c r="EP24" s="305">
        <f t="shared" si="10"/>
        <v>58.333782742681052</v>
      </c>
      <c r="EQ24" s="305">
        <f>Чум!C83</f>
        <v>0</v>
      </c>
      <c r="ER24" s="305">
        <f>Чум!D83</f>
        <v>0</v>
      </c>
      <c r="ES24" s="305" t="e">
        <f t="shared" si="11"/>
        <v>#DIV/0!</v>
      </c>
      <c r="ET24" s="319">
        <f>Чум!C88</f>
        <v>10</v>
      </c>
      <c r="EU24" s="319">
        <f>Чум!D88</f>
        <v>5.43</v>
      </c>
      <c r="EV24" s="305">
        <f t="shared" si="54"/>
        <v>54.29999999999999</v>
      </c>
      <c r="EW24" s="305">
        <f>Чум!C94</f>
        <v>0</v>
      </c>
      <c r="EX24" s="305">
        <f>Чум!D94</f>
        <v>0</v>
      </c>
      <c r="EY24" s="305" t="e">
        <f t="shared" si="55"/>
        <v>#DIV/0!</v>
      </c>
      <c r="EZ24" s="329">
        <f t="shared" si="12"/>
        <v>-328.1888199999994</v>
      </c>
      <c r="FA24" s="329">
        <f t="shared" si="13"/>
        <v>401.73128000000042</v>
      </c>
      <c r="FB24" s="305">
        <f t="shared" si="57"/>
        <v>-122.40858174266911</v>
      </c>
      <c r="FC24" s="251"/>
      <c r="FD24" s="252"/>
      <c r="FF24" s="252"/>
    </row>
    <row r="25" spans="1:173" s="169" customFormat="1" ht="22.5" customHeight="1">
      <c r="A25" s="344">
        <v>12</v>
      </c>
      <c r="B25" s="345" t="s">
        <v>301</v>
      </c>
      <c r="C25" s="322">
        <f t="shared" si="14"/>
        <v>8008.1564999999991</v>
      </c>
      <c r="D25" s="323">
        <f t="shared" si="0"/>
        <v>6103.0406199999998</v>
      </c>
      <c r="E25" s="308">
        <f t="shared" si="1"/>
        <v>76.210306579298248</v>
      </c>
      <c r="F25" s="299">
        <f t="shared" si="15"/>
        <v>2414.7599999999998</v>
      </c>
      <c r="G25" s="324">
        <f t="shared" si="3"/>
        <v>1756.7526000000003</v>
      </c>
      <c r="H25" s="308">
        <f t="shared" si="16"/>
        <v>72.750608756149688</v>
      </c>
      <c r="I25" s="298">
        <f t="shared" si="17"/>
        <v>890.2</v>
      </c>
      <c r="J25" s="308"/>
      <c r="K25" s="308"/>
      <c r="L25" s="307">
        <f>Шать!C6</f>
        <v>60</v>
      </c>
      <c r="M25" s="449">
        <f>Шать!D6</f>
        <v>27.558589999999999</v>
      </c>
      <c r="N25" s="308">
        <f t="shared" si="18"/>
        <v>45.93098333333333</v>
      </c>
      <c r="O25" s="308">
        <f>Шать!C8</f>
        <v>156.73500000000001</v>
      </c>
      <c r="P25" s="308">
        <f>Шать!D8</f>
        <v>135.27663000000001</v>
      </c>
      <c r="Q25" s="308">
        <f t="shared" si="19"/>
        <v>86.309139630586657</v>
      </c>
      <c r="R25" s="308">
        <f>Шать!C9</f>
        <v>1.68</v>
      </c>
      <c r="S25" s="308">
        <f>Шать!D9</f>
        <v>0.79593999999999998</v>
      </c>
      <c r="T25" s="308">
        <f t="shared" si="20"/>
        <v>47.377380952380953</v>
      </c>
      <c r="U25" s="308">
        <f>Шать!C10</f>
        <v>261.78500000000003</v>
      </c>
      <c r="V25" s="308">
        <f>Шать!D10</f>
        <v>156.32607999999999</v>
      </c>
      <c r="W25" s="308">
        <f t="shared" si="21"/>
        <v>59.715445881162012</v>
      </c>
      <c r="X25" s="308">
        <f>Шать!C11</f>
        <v>0</v>
      </c>
      <c r="Y25" s="325">
        <f>Шать!D11</f>
        <v>-15.662649999999999</v>
      </c>
      <c r="Z25" s="308" t="e">
        <f t="shared" si="22"/>
        <v>#DIV/0!</v>
      </c>
      <c r="AA25" s="307">
        <f>Шать!C13</f>
        <v>10</v>
      </c>
      <c r="AB25" s="307">
        <f>Шать!D13</f>
        <v>3.4327999999999999</v>
      </c>
      <c r="AC25" s="308">
        <f t="shared" si="23"/>
        <v>34.327999999999996</v>
      </c>
      <c r="AD25" s="307">
        <f>Шать!C15</f>
        <v>90</v>
      </c>
      <c r="AE25" s="304">
        <f>Шать!D15</f>
        <v>57.476520000000001</v>
      </c>
      <c r="AF25" s="308">
        <f t="shared" si="24"/>
        <v>63.8628</v>
      </c>
      <c r="AG25" s="307">
        <f>Шать!C16</f>
        <v>307</v>
      </c>
      <c r="AH25" s="307">
        <f>Шать!D16</f>
        <v>38.977110000000003</v>
      </c>
      <c r="AI25" s="308">
        <f t="shared" si="4"/>
        <v>12.696127035830621</v>
      </c>
      <c r="AJ25" s="308">
        <f>Шать!C18</f>
        <v>3</v>
      </c>
      <c r="AK25" s="308">
        <f>Шать!D18</f>
        <v>1</v>
      </c>
      <c r="AL25" s="308">
        <f t="shared" si="25"/>
        <v>33.333333333333329</v>
      </c>
      <c r="AM25" s="308"/>
      <c r="AN25" s="308"/>
      <c r="AO25" s="308" t="e">
        <f>AM25/AN25*100</f>
        <v>#DIV/0!</v>
      </c>
      <c r="AP25" s="307">
        <v>0</v>
      </c>
      <c r="AQ25" s="307">
        <f>0</f>
        <v>0</v>
      </c>
      <c r="AR25" s="308" t="e">
        <f t="shared" si="6"/>
        <v>#DIV/0!</v>
      </c>
      <c r="AS25" s="307">
        <f>Шать!C27</f>
        <v>180</v>
      </c>
      <c r="AT25" s="314">
        <f>Шать!D27</f>
        <v>30.470800000000001</v>
      </c>
      <c r="AU25" s="308">
        <f t="shared" si="26"/>
        <v>16.928222222222221</v>
      </c>
      <c r="AV25" s="307">
        <f>Шать!C28</f>
        <v>20</v>
      </c>
      <c r="AW25" s="304">
        <f>Шать!D28</f>
        <v>15.1732</v>
      </c>
      <c r="AX25" s="308">
        <f t="shared" si="27"/>
        <v>75.866</v>
      </c>
      <c r="AY25" s="307"/>
      <c r="AZ25" s="307"/>
      <c r="BA25" s="308" t="e">
        <f t="shared" si="28"/>
        <v>#DIV/0!</v>
      </c>
      <c r="BB25" s="308">
        <f>Шать!C29</f>
        <v>30</v>
      </c>
      <c r="BC25" s="308">
        <f>Шать!D29</f>
        <v>11.36758</v>
      </c>
      <c r="BD25" s="308">
        <f t="shared" si="29"/>
        <v>37.891933333333334</v>
      </c>
      <c r="BE25" s="308"/>
      <c r="BF25" s="308"/>
      <c r="BG25" s="308"/>
      <c r="BH25" s="308">
        <f>Шать!C31</f>
        <v>1294.56</v>
      </c>
      <c r="BI25" s="308">
        <f>Шать!D31</f>
        <v>1294.56</v>
      </c>
      <c r="BJ25" s="308">
        <f t="shared" si="30"/>
        <v>100</v>
      </c>
      <c r="BK25" s="308"/>
      <c r="BL25" s="308"/>
      <c r="BM25" s="308" t="e">
        <f t="shared" si="31"/>
        <v>#DIV/0!</v>
      </c>
      <c r="BN25" s="308"/>
      <c r="BO25" s="308"/>
      <c r="BP25" s="308"/>
      <c r="BQ25" s="308">
        <f>Шать!C34</f>
        <v>0</v>
      </c>
      <c r="BR25" s="308">
        <f>Шать!D34</f>
        <v>0</v>
      </c>
      <c r="BS25" s="298" t="e">
        <f t="shared" si="32"/>
        <v>#DIV/0!</v>
      </c>
      <c r="BT25" s="308">
        <f>Шать!C37</f>
        <v>0</v>
      </c>
      <c r="BU25" s="308">
        <v>0</v>
      </c>
      <c r="BV25" s="308" t="e">
        <f t="shared" si="33"/>
        <v>#DIV/0!</v>
      </c>
      <c r="BW25" s="308"/>
      <c r="BX25" s="308"/>
      <c r="BY25" s="326" t="e">
        <f t="shared" si="34"/>
        <v>#DIV/0!</v>
      </c>
      <c r="BZ25" s="326"/>
      <c r="CA25" s="326"/>
      <c r="CB25" s="326" t="e">
        <f t="shared" si="35"/>
        <v>#DIV/0!</v>
      </c>
      <c r="CC25" s="307">
        <f t="shared" si="36"/>
        <v>5593.3964999999989</v>
      </c>
      <c r="CD25" s="303">
        <f t="shared" si="37"/>
        <v>4346.28802</v>
      </c>
      <c r="CE25" s="308">
        <f t="shared" si="56"/>
        <v>77.70391424959773</v>
      </c>
      <c r="CF25" s="308">
        <f>Шать!C42</f>
        <v>1897.8</v>
      </c>
      <c r="CG25" s="308">
        <f>Шать!D42</f>
        <v>1107.05</v>
      </c>
      <c r="CH25" s="308">
        <f t="shared" si="38"/>
        <v>58.333333333333336</v>
      </c>
      <c r="CI25" s="308">
        <f>Шать!C43</f>
        <v>0</v>
      </c>
      <c r="CJ25" s="461">
        <f>Шать!D43</f>
        <v>0</v>
      </c>
      <c r="CK25" s="308" t="e">
        <f t="shared" si="39"/>
        <v>#DIV/0!</v>
      </c>
      <c r="CL25" s="308">
        <f>Шать!C44</f>
        <v>2679.3413599999999</v>
      </c>
      <c r="CM25" s="308">
        <f>Шать!D44</f>
        <v>2482.1821199999999</v>
      </c>
      <c r="CN25" s="308">
        <f t="shared" si="7"/>
        <v>92.641503507414228</v>
      </c>
      <c r="CO25" s="308">
        <f>Шать!C45</f>
        <v>101.45229999999999</v>
      </c>
      <c r="CP25" s="308">
        <f>Шать!D45</f>
        <v>66.573999999999998</v>
      </c>
      <c r="CQ25" s="308">
        <f t="shared" si="8"/>
        <v>65.620986414305051</v>
      </c>
      <c r="CR25" s="308">
        <f>Шать!C46</f>
        <v>426.21199999999999</v>
      </c>
      <c r="CS25" s="308">
        <f>Шать!D46</f>
        <v>353.97500000000002</v>
      </c>
      <c r="CT25" s="298">
        <f t="shared" si="40"/>
        <v>83.051392264882267</v>
      </c>
      <c r="CU25" s="325">
        <f>Шать!C50</f>
        <v>488.59084000000001</v>
      </c>
      <c r="CV25" s="308">
        <f>Шать!D50</f>
        <v>336.50689999999997</v>
      </c>
      <c r="CW25" s="308">
        <f t="shared" si="9"/>
        <v>68.872944895978804</v>
      </c>
      <c r="CX25" s="308"/>
      <c r="CY25" s="308"/>
      <c r="CZ25" s="308"/>
      <c r="DA25" s="307"/>
      <c r="DB25" s="307"/>
      <c r="DC25" s="308" t="e">
        <f t="shared" si="41"/>
        <v>#DIV/0!</v>
      </c>
      <c r="DD25" s="308"/>
      <c r="DE25" s="308"/>
      <c r="DF25" s="308"/>
      <c r="DG25" s="308"/>
      <c r="DH25" s="308"/>
      <c r="DI25" s="308"/>
      <c r="DJ25" s="307">
        <f t="shared" si="42"/>
        <v>8335.3576600000015</v>
      </c>
      <c r="DK25" s="307">
        <f t="shared" si="42"/>
        <v>6325.55458</v>
      </c>
      <c r="DL25" s="308">
        <f>DK25/DJ25*100</f>
        <v>75.888220254246392</v>
      </c>
      <c r="DM25" s="307">
        <f t="shared" si="44"/>
        <v>1484.3130000000001</v>
      </c>
      <c r="DN25" s="307">
        <f t="shared" si="44"/>
        <v>752.76652000000001</v>
      </c>
      <c r="DO25" s="308">
        <f t="shared" si="45"/>
        <v>50.714810151228207</v>
      </c>
      <c r="DP25" s="308">
        <f>Шать!C58</f>
        <v>1451.337</v>
      </c>
      <c r="DQ25" s="308">
        <f>Шать!D58</f>
        <v>729.79052000000001</v>
      </c>
      <c r="DR25" s="308">
        <f t="shared" si="46"/>
        <v>50.284015359630466</v>
      </c>
      <c r="DS25" s="308">
        <f>Шать!C61</f>
        <v>0</v>
      </c>
      <c r="DT25" s="308">
        <f>Шать!D61</f>
        <v>0</v>
      </c>
      <c r="DU25" s="308" t="e">
        <f t="shared" si="47"/>
        <v>#DIV/0!</v>
      </c>
      <c r="DV25" s="308">
        <f>Шать!C62</f>
        <v>5</v>
      </c>
      <c r="DW25" s="308">
        <f>Шать!D62</f>
        <v>0</v>
      </c>
      <c r="DX25" s="308">
        <f t="shared" si="48"/>
        <v>0</v>
      </c>
      <c r="DY25" s="308">
        <f>Шать!C63</f>
        <v>27.975999999999999</v>
      </c>
      <c r="DZ25" s="308">
        <f>Шать!D63</f>
        <v>22.975999999999999</v>
      </c>
      <c r="EA25" s="308">
        <f t="shared" si="49"/>
        <v>82.127537889619674</v>
      </c>
      <c r="EB25" s="308">
        <f>Шать!C65</f>
        <v>94.305999999999997</v>
      </c>
      <c r="EC25" s="308">
        <f>Шать!D65</f>
        <v>48.533360000000002</v>
      </c>
      <c r="ED25" s="308">
        <f t="shared" si="50"/>
        <v>51.463703263843243</v>
      </c>
      <c r="EE25" s="308">
        <f>Шать!C66</f>
        <v>18.5</v>
      </c>
      <c r="EF25" s="308">
        <f>Шать!D66</f>
        <v>2.83134</v>
      </c>
      <c r="EG25" s="308">
        <f t="shared" si="51"/>
        <v>15.30454054054054</v>
      </c>
      <c r="EH25" s="307">
        <f>Шать!C72</f>
        <v>2865.0158200000001</v>
      </c>
      <c r="EI25" s="307">
        <f>Шать!D72</f>
        <v>2679.81621</v>
      </c>
      <c r="EJ25" s="308">
        <f t="shared" si="52"/>
        <v>93.535825920849533</v>
      </c>
      <c r="EK25" s="307">
        <f>Шать!C77</f>
        <v>2998.1128399999998</v>
      </c>
      <c r="EL25" s="307">
        <f>Шать!D77</f>
        <v>2322.98315</v>
      </c>
      <c r="EM25" s="308">
        <f t="shared" si="53"/>
        <v>77.481511669854299</v>
      </c>
      <c r="EN25" s="307">
        <f>Шать!C81</f>
        <v>846.5</v>
      </c>
      <c r="EO25" s="327">
        <f>Шать!D81</f>
        <v>493.79399999999998</v>
      </c>
      <c r="EP25" s="308">
        <f t="shared" si="10"/>
        <v>58.3336089781453</v>
      </c>
      <c r="EQ25" s="308">
        <f>Шать!C83</f>
        <v>0</v>
      </c>
      <c r="ER25" s="308">
        <f>Шать!D83</f>
        <v>0</v>
      </c>
      <c r="ES25" s="308" t="e">
        <f t="shared" si="11"/>
        <v>#DIV/0!</v>
      </c>
      <c r="ET25" s="324">
        <f>Шать!C88</f>
        <v>28.61</v>
      </c>
      <c r="EU25" s="324">
        <f>Шать!D88</f>
        <v>24.83</v>
      </c>
      <c r="EV25" s="308">
        <f t="shared" si="54"/>
        <v>86.78783642083188</v>
      </c>
      <c r="EW25" s="308">
        <f>Шать!C94</f>
        <v>0</v>
      </c>
      <c r="EX25" s="308">
        <f>Шать!D94</f>
        <v>0</v>
      </c>
      <c r="EY25" s="308" t="e">
        <f t="shared" si="55"/>
        <v>#DIV/0!</v>
      </c>
      <c r="EZ25" s="328">
        <f t="shared" si="12"/>
        <v>-327.20116000000235</v>
      </c>
      <c r="FA25" s="328">
        <f t="shared" si="13"/>
        <v>-222.51396000000022</v>
      </c>
      <c r="FB25" s="308">
        <f t="shared" si="57"/>
        <v>68.005247903154938</v>
      </c>
      <c r="FC25" s="167"/>
      <c r="FD25" s="168"/>
      <c r="FF25" s="168"/>
    </row>
    <row r="26" spans="1:173" s="253" customFormat="1" ht="24.75" customHeight="1">
      <c r="A26" s="347">
        <v>13</v>
      </c>
      <c r="B26" s="343" t="s">
        <v>302</v>
      </c>
      <c r="C26" s="320">
        <f t="shared" si="14"/>
        <v>13897.608970000001</v>
      </c>
      <c r="D26" s="297">
        <f t="shared" si="0"/>
        <v>3073.7447300000003</v>
      </c>
      <c r="E26" s="305">
        <f t="shared" si="1"/>
        <v>22.11707594187693</v>
      </c>
      <c r="F26" s="299">
        <f t="shared" si="15"/>
        <v>2642.75</v>
      </c>
      <c r="G26" s="319">
        <f t="shared" si="3"/>
        <v>1285.22073</v>
      </c>
      <c r="H26" s="305">
        <f t="shared" si="16"/>
        <v>48.631945132910793</v>
      </c>
      <c r="I26" s="298">
        <f t="shared" si="17"/>
        <v>2252.75</v>
      </c>
      <c r="J26" s="305"/>
      <c r="K26" s="305"/>
      <c r="L26" s="313">
        <f>Юнг!C6</f>
        <v>126</v>
      </c>
      <c r="M26" s="449">
        <f>Юнг!D6</f>
        <v>91.934929999999994</v>
      </c>
      <c r="N26" s="305">
        <f t="shared" si="18"/>
        <v>72.96423015873016</v>
      </c>
      <c r="O26" s="305">
        <f>Юнг!C8</f>
        <v>252.05500000000001</v>
      </c>
      <c r="P26" s="305">
        <f>Юнг!D8</f>
        <v>217.53944999999999</v>
      </c>
      <c r="Q26" s="305">
        <f t="shared" si="19"/>
        <v>86.306341869829993</v>
      </c>
      <c r="R26" s="305">
        <f>Юнг!C9</f>
        <v>2.7029999999999998</v>
      </c>
      <c r="S26" s="305">
        <f>Юнг!D9</f>
        <v>1.2799799999999999</v>
      </c>
      <c r="T26" s="305">
        <f t="shared" si="20"/>
        <v>47.354051054384016</v>
      </c>
      <c r="U26" s="305">
        <f>Юнг!C10</f>
        <v>420.99200000000002</v>
      </c>
      <c r="V26" s="305">
        <f>Юнг!D10</f>
        <v>251.38927000000001</v>
      </c>
      <c r="W26" s="305">
        <f t="shared" si="21"/>
        <v>59.713550376254176</v>
      </c>
      <c r="X26" s="305">
        <f>Юнг!C11</f>
        <v>0</v>
      </c>
      <c r="Y26" s="317">
        <f>Юнг!D11</f>
        <v>-25.187270000000002</v>
      </c>
      <c r="Z26" s="305" t="e">
        <f t="shared" si="22"/>
        <v>#DIV/0!</v>
      </c>
      <c r="AA26" s="313">
        <f>Юнг!C13</f>
        <v>50</v>
      </c>
      <c r="AB26" s="313">
        <f>Юнг!D13</f>
        <v>81.321929999999995</v>
      </c>
      <c r="AC26" s="305">
        <f t="shared" si="23"/>
        <v>162.64385999999999</v>
      </c>
      <c r="AD26" s="313">
        <f>Юнг!C15</f>
        <v>433</v>
      </c>
      <c r="AE26" s="304">
        <f>Юнг!D15</f>
        <v>86.463949999999997</v>
      </c>
      <c r="AF26" s="305">
        <f t="shared" si="24"/>
        <v>19.968579676674363</v>
      </c>
      <c r="AG26" s="313">
        <f>Юнг!C16</f>
        <v>960</v>
      </c>
      <c r="AH26" s="313">
        <f>Юнг!D16</f>
        <v>211.13865000000001</v>
      </c>
      <c r="AI26" s="305">
        <f t="shared" si="4"/>
        <v>21.993609375000002</v>
      </c>
      <c r="AJ26" s="305">
        <f>Юнг!C18</f>
        <v>8</v>
      </c>
      <c r="AK26" s="305">
        <f>Юнг!D18</f>
        <v>2.5</v>
      </c>
      <c r="AL26" s="305">
        <f t="shared" si="25"/>
        <v>31.25</v>
      </c>
      <c r="AM26" s="305"/>
      <c r="AN26" s="305"/>
      <c r="AO26" s="305" t="e">
        <f>AM26/AN26*100</f>
        <v>#DIV/0!</v>
      </c>
      <c r="AP26" s="313">
        <v>0</v>
      </c>
      <c r="AQ26" s="313"/>
      <c r="AR26" s="305" t="e">
        <f t="shared" si="6"/>
        <v>#DIV/0!</v>
      </c>
      <c r="AS26" s="313">
        <f>Юнг!C27</f>
        <v>320</v>
      </c>
      <c r="AT26" s="314">
        <f>Юнг!D27</f>
        <v>316.29921999999999</v>
      </c>
      <c r="AU26" s="305">
        <f t="shared" si="26"/>
        <v>98.843506250000004</v>
      </c>
      <c r="AV26" s="313">
        <f>Юнг!C28</f>
        <v>30</v>
      </c>
      <c r="AW26" s="314">
        <f>Юнг!D28</f>
        <v>14.943250000000001</v>
      </c>
      <c r="AX26" s="305">
        <f t="shared" si="27"/>
        <v>49.810833333333335</v>
      </c>
      <c r="AY26" s="313"/>
      <c r="AZ26" s="313"/>
      <c r="BA26" s="305" t="e">
        <f t="shared" si="28"/>
        <v>#DIV/0!</v>
      </c>
      <c r="BB26" s="305">
        <f>Юнг!C30</f>
        <v>40</v>
      </c>
      <c r="BC26" s="308">
        <f>Юнг!D30</f>
        <v>35.597369999999998</v>
      </c>
      <c r="BD26" s="305">
        <f t="shared" si="29"/>
        <v>88.993424999999988</v>
      </c>
      <c r="BE26" s="305"/>
      <c r="BF26" s="305"/>
      <c r="BG26" s="305"/>
      <c r="BH26" s="305">
        <f>Юнг!C33</f>
        <v>0</v>
      </c>
      <c r="BI26" s="305">
        <f>Юнг!D31</f>
        <v>0</v>
      </c>
      <c r="BJ26" s="305" t="e">
        <f t="shared" si="30"/>
        <v>#DIV/0!</v>
      </c>
      <c r="BK26" s="305"/>
      <c r="BL26" s="305"/>
      <c r="BM26" s="305" t="e">
        <f t="shared" si="31"/>
        <v>#DIV/0!</v>
      </c>
      <c r="BN26" s="305"/>
      <c r="BO26" s="305"/>
      <c r="BP26" s="305"/>
      <c r="BQ26" s="305">
        <f>Юнг!C34</f>
        <v>0</v>
      </c>
      <c r="BR26" s="305">
        <f>Юнг!D34</f>
        <v>0</v>
      </c>
      <c r="BS26" s="298" t="e">
        <f t="shared" si="32"/>
        <v>#DIV/0!</v>
      </c>
      <c r="BT26" s="305">
        <f>Юнг!C36</f>
        <v>0</v>
      </c>
      <c r="BU26" s="305">
        <f>Юнг!D36</f>
        <v>0</v>
      </c>
      <c r="BV26" s="305" t="e">
        <f t="shared" si="33"/>
        <v>#DIV/0!</v>
      </c>
      <c r="BW26" s="305"/>
      <c r="BX26" s="305"/>
      <c r="BY26" s="315" t="e">
        <f t="shared" si="34"/>
        <v>#DIV/0!</v>
      </c>
      <c r="BZ26" s="315"/>
      <c r="CA26" s="315"/>
      <c r="CB26" s="315" t="e">
        <f t="shared" si="35"/>
        <v>#DIV/0!</v>
      </c>
      <c r="CC26" s="313">
        <f t="shared" si="36"/>
        <v>11254.858970000001</v>
      </c>
      <c r="CD26" s="313">
        <f t="shared" si="37"/>
        <v>1788.5240000000001</v>
      </c>
      <c r="CE26" s="305">
        <f t="shared" si="56"/>
        <v>15.891127598909396</v>
      </c>
      <c r="CF26" s="305">
        <f>Юнг!C41</f>
        <v>2417.4</v>
      </c>
      <c r="CG26" s="305">
        <f>Юнг!D41</f>
        <v>1410.15</v>
      </c>
      <c r="CH26" s="305">
        <f t="shared" si="38"/>
        <v>58.333333333333336</v>
      </c>
      <c r="CI26" s="305">
        <f>Юнг!C42</f>
        <v>0</v>
      </c>
      <c r="CJ26" s="460">
        <f>Юнг!D42</f>
        <v>0</v>
      </c>
      <c r="CK26" s="305" t="e">
        <f t="shared" si="39"/>
        <v>#DIV/0!</v>
      </c>
      <c r="CL26" s="305">
        <f>Юнг!C43</f>
        <v>6448.2049999999999</v>
      </c>
      <c r="CM26" s="305">
        <f>Юнг!D43</f>
        <v>311.8</v>
      </c>
      <c r="CN26" s="305">
        <f t="shared" si="7"/>
        <v>4.8354542077989153</v>
      </c>
      <c r="CO26" s="305">
        <f>Юнг!C44</f>
        <v>94.305999999999997</v>
      </c>
      <c r="CP26" s="305">
        <f>Юнг!D44</f>
        <v>66.573999999999998</v>
      </c>
      <c r="CQ26" s="305">
        <f t="shared" si="8"/>
        <v>70.593599558882786</v>
      </c>
      <c r="CR26" s="305">
        <f>Юнг!C45</f>
        <v>2294.9479700000002</v>
      </c>
      <c r="CS26" s="305">
        <f>Юнг!D45</f>
        <v>0</v>
      </c>
      <c r="CT26" s="298">
        <f t="shared" si="40"/>
        <v>0</v>
      </c>
      <c r="CU26" s="317">
        <f>Юнг!C48</f>
        <v>0</v>
      </c>
      <c r="CV26" s="305">
        <f>Юнг!D48</f>
        <v>0</v>
      </c>
      <c r="CW26" s="305" t="e">
        <f t="shared" si="9"/>
        <v>#DIV/0!</v>
      </c>
      <c r="CX26" s="305"/>
      <c r="CY26" s="305">
        <f>Юнг!D47</f>
        <v>0</v>
      </c>
      <c r="CZ26" s="305"/>
      <c r="DA26" s="313"/>
      <c r="DB26" s="313"/>
      <c r="DC26" s="305" t="e">
        <f t="shared" si="41"/>
        <v>#DIV/0!</v>
      </c>
      <c r="DD26" s="305"/>
      <c r="DE26" s="305"/>
      <c r="DF26" s="305"/>
      <c r="DG26" s="305"/>
      <c r="DH26" s="305"/>
      <c r="DI26" s="305"/>
      <c r="DJ26" s="307">
        <f t="shared" si="42"/>
        <v>14282.474679999999</v>
      </c>
      <c r="DK26" s="307">
        <f t="shared" si="42"/>
        <v>2913.4083799999999</v>
      </c>
      <c r="DL26" s="305">
        <f t="shared" si="43"/>
        <v>20.398484473280369</v>
      </c>
      <c r="DM26" s="313">
        <f t="shared" si="44"/>
        <v>1924.6350000000002</v>
      </c>
      <c r="DN26" s="313">
        <f t="shared" si="44"/>
        <v>879.20414000000005</v>
      </c>
      <c r="DO26" s="305">
        <f t="shared" si="45"/>
        <v>45.681604044403223</v>
      </c>
      <c r="DP26" s="305">
        <f>Юнг!C57</f>
        <v>1855.3130000000001</v>
      </c>
      <c r="DQ26" s="305">
        <f>Юнг!D57</f>
        <v>874.88214000000005</v>
      </c>
      <c r="DR26" s="305">
        <f t="shared" si="46"/>
        <v>47.155500985547995</v>
      </c>
      <c r="DS26" s="305">
        <f>Юнг!C60</f>
        <v>0</v>
      </c>
      <c r="DT26" s="305">
        <f>Юнг!D60</f>
        <v>0</v>
      </c>
      <c r="DU26" s="305" t="e">
        <f t="shared" si="47"/>
        <v>#DIV/0!</v>
      </c>
      <c r="DV26" s="305">
        <f>Юнг!C61</f>
        <v>10</v>
      </c>
      <c r="DW26" s="305">
        <f>Юнг!D61</f>
        <v>0</v>
      </c>
      <c r="DX26" s="305">
        <f t="shared" si="48"/>
        <v>0</v>
      </c>
      <c r="DY26" s="305">
        <f>Юнг!C62</f>
        <v>59.322000000000003</v>
      </c>
      <c r="DZ26" s="305">
        <f>Юнг!D62</f>
        <v>4.3220000000000001</v>
      </c>
      <c r="EA26" s="305">
        <f t="shared" si="49"/>
        <v>7.285661306092174</v>
      </c>
      <c r="EB26" s="305">
        <f>Юнг!C64</f>
        <v>94.305999999999997</v>
      </c>
      <c r="EC26" s="305">
        <f>Юнг!D64</f>
        <v>42.579160000000002</v>
      </c>
      <c r="ED26" s="305">
        <f t="shared" si="50"/>
        <v>45.150001060377917</v>
      </c>
      <c r="EE26" s="305">
        <f>Юнг!C65</f>
        <v>334.8</v>
      </c>
      <c r="EF26" s="305">
        <f>Юнг!D65</f>
        <v>53.731339999999996</v>
      </c>
      <c r="EG26" s="305">
        <f t="shared" si="51"/>
        <v>16.048787335722817</v>
      </c>
      <c r="EH26" s="313">
        <f>Юнг!C71</f>
        <v>2219.8817100000001</v>
      </c>
      <c r="EI26" s="313">
        <f>Юнг!D71</f>
        <v>538.64417000000003</v>
      </c>
      <c r="EJ26" s="305">
        <f t="shared" si="52"/>
        <v>24.26454380760676</v>
      </c>
      <c r="EK26" s="313">
        <f>Юнг!C76</f>
        <v>6754.7004500000003</v>
      </c>
      <c r="EL26" s="313">
        <f>Юнг!D76</f>
        <v>736.85257000000001</v>
      </c>
      <c r="EM26" s="305">
        <f t="shared" si="53"/>
        <v>10.908737929303735</v>
      </c>
      <c r="EN26" s="313">
        <f>Юнг!C80</f>
        <v>2920.6515199999999</v>
      </c>
      <c r="EO26" s="318">
        <f>Юнг!D80</f>
        <v>630.76300000000003</v>
      </c>
      <c r="EP26" s="305">
        <f t="shared" si="10"/>
        <v>21.596653886321914</v>
      </c>
      <c r="EQ26" s="305">
        <f>Юнг!C82</f>
        <v>0</v>
      </c>
      <c r="ER26" s="305">
        <f>Юнг!D82</f>
        <v>0</v>
      </c>
      <c r="ES26" s="305" t="e">
        <f t="shared" si="11"/>
        <v>#DIV/0!</v>
      </c>
      <c r="ET26" s="319">
        <f>Юнг!C87</f>
        <v>33.5</v>
      </c>
      <c r="EU26" s="319">
        <f>Юнг!D87</f>
        <v>31.634</v>
      </c>
      <c r="EV26" s="305">
        <f t="shared" si="54"/>
        <v>94.429850746268656</v>
      </c>
      <c r="EW26" s="305">
        <f>Юнг!C93</f>
        <v>0</v>
      </c>
      <c r="EX26" s="305">
        <f>Юнг!D93</f>
        <v>0</v>
      </c>
      <c r="EY26" s="305" t="e">
        <f t="shared" si="55"/>
        <v>#DIV/0!</v>
      </c>
      <c r="EZ26" s="329">
        <f t="shared" si="12"/>
        <v>-384.86570999999822</v>
      </c>
      <c r="FA26" s="329">
        <f t="shared" si="13"/>
        <v>160.33635000000049</v>
      </c>
      <c r="FB26" s="305">
        <f t="shared" si="57"/>
        <v>-41.66033653660682</v>
      </c>
      <c r="FC26" s="251"/>
      <c r="FD26" s="252"/>
      <c r="FF26" s="252"/>
    </row>
    <row r="27" spans="1:173" s="157" customFormat="1" ht="25.5" customHeight="1">
      <c r="A27" s="341">
        <v>14</v>
      </c>
      <c r="B27" s="343" t="s">
        <v>303</v>
      </c>
      <c r="C27" s="296">
        <f t="shared" si="14"/>
        <v>13508.16865</v>
      </c>
      <c r="D27" s="297">
        <f t="shared" si="0"/>
        <v>5179.1631099999995</v>
      </c>
      <c r="E27" s="305">
        <f t="shared" si="1"/>
        <v>38.340971631265496</v>
      </c>
      <c r="F27" s="299">
        <f t="shared" si="15"/>
        <v>1414.1299999999999</v>
      </c>
      <c r="G27" s="299">
        <f t="shared" si="3"/>
        <v>763.60326999999995</v>
      </c>
      <c r="H27" s="305">
        <f t="shared" si="16"/>
        <v>53.998095648914877</v>
      </c>
      <c r="I27" s="298">
        <f t="shared" si="17"/>
        <v>1274.1300000000001</v>
      </c>
      <c r="J27" s="305"/>
      <c r="K27" s="305"/>
      <c r="L27" s="313">
        <f>Юсь!C6</f>
        <v>171</v>
      </c>
      <c r="M27" s="449">
        <f>Юсь!D6</f>
        <v>113.57052</v>
      </c>
      <c r="N27" s="305">
        <f t="shared" si="18"/>
        <v>66.415508771929822</v>
      </c>
      <c r="O27" s="305">
        <f>Юсь!C8</f>
        <v>229.816</v>
      </c>
      <c r="P27" s="305">
        <f>Юсь!D8</f>
        <v>198.34477999999999</v>
      </c>
      <c r="Q27" s="298">
        <f t="shared" si="19"/>
        <v>86.305905594040439</v>
      </c>
      <c r="R27" s="298">
        <f>Юсь!C9</f>
        <v>2.4649999999999999</v>
      </c>
      <c r="S27" s="298">
        <f>Юсь!D9</f>
        <v>1.16703</v>
      </c>
      <c r="T27" s="298">
        <f t="shared" si="20"/>
        <v>47.344016227180532</v>
      </c>
      <c r="U27" s="298">
        <f>Юсь!C10</f>
        <v>383.84899999999999</v>
      </c>
      <c r="V27" s="298">
        <f>Юсь!D10</f>
        <v>229.20787000000001</v>
      </c>
      <c r="W27" s="298">
        <f t="shared" si="21"/>
        <v>59.713030384343845</v>
      </c>
      <c r="X27" s="298">
        <f>Юсь!C11</f>
        <v>0</v>
      </c>
      <c r="Y27" s="302">
        <f>Юсь!D11</f>
        <v>-22.964860000000002</v>
      </c>
      <c r="Z27" s="298" t="e">
        <f t="shared" si="22"/>
        <v>#DIV/0!</v>
      </c>
      <c r="AA27" s="313">
        <f>Юсь!C13</f>
        <v>10</v>
      </c>
      <c r="AB27" s="313">
        <f>Юсь!D13</f>
        <v>0</v>
      </c>
      <c r="AC27" s="305">
        <f t="shared" si="23"/>
        <v>0</v>
      </c>
      <c r="AD27" s="313">
        <f>Юсь!C15</f>
        <v>124</v>
      </c>
      <c r="AE27" s="304">
        <f>Юсь!D15</f>
        <v>4.5818599999999998</v>
      </c>
      <c r="AF27" s="305">
        <f t="shared" si="24"/>
        <v>3.6950483870967741</v>
      </c>
      <c r="AG27" s="313">
        <f>Юсь!C16</f>
        <v>345</v>
      </c>
      <c r="AH27" s="313">
        <f>Юсь!D16</f>
        <v>44.063740000000003</v>
      </c>
      <c r="AI27" s="305">
        <f t="shared" si="4"/>
        <v>12.772098550724639</v>
      </c>
      <c r="AJ27" s="305">
        <f>Юсь!C18</f>
        <v>8</v>
      </c>
      <c r="AK27" s="305">
        <f>Юсь!D18</f>
        <v>3</v>
      </c>
      <c r="AL27" s="305">
        <f t="shared" si="25"/>
        <v>37.5</v>
      </c>
      <c r="AM27" s="305"/>
      <c r="AN27" s="305"/>
      <c r="AO27" s="305" t="e">
        <f>AM27/AN27*100</f>
        <v>#DIV/0!</v>
      </c>
      <c r="AP27" s="313">
        <v>0</v>
      </c>
      <c r="AQ27" s="313">
        <v>0</v>
      </c>
      <c r="AR27" s="305" t="e">
        <f t="shared" si="6"/>
        <v>#DIV/0!</v>
      </c>
      <c r="AS27" s="313">
        <f>Юсь!C27</f>
        <v>0</v>
      </c>
      <c r="AT27" s="314">
        <f>Юсь!D27</f>
        <v>0</v>
      </c>
      <c r="AU27" s="305" t="e">
        <f t="shared" si="26"/>
        <v>#DIV/0!</v>
      </c>
      <c r="AV27" s="307">
        <f>Юсь!C28</f>
        <v>40</v>
      </c>
      <c r="AW27" s="314">
        <f>Юсь!D28</f>
        <v>36.5</v>
      </c>
      <c r="AX27" s="305">
        <f t="shared" si="27"/>
        <v>91.25</v>
      </c>
      <c r="AY27" s="313"/>
      <c r="AZ27" s="313"/>
      <c r="BA27" s="305" t="e">
        <f t="shared" si="28"/>
        <v>#DIV/0!</v>
      </c>
      <c r="BB27" s="305">
        <f>Юсь!C30</f>
        <v>100</v>
      </c>
      <c r="BC27" s="308">
        <f>Юсь!D30</f>
        <v>156.00528</v>
      </c>
      <c r="BD27" s="305">
        <f t="shared" si="29"/>
        <v>156.00528</v>
      </c>
      <c r="BE27" s="305"/>
      <c r="BF27" s="305"/>
      <c r="BG27" s="305"/>
      <c r="BH27" s="305">
        <f>Юсь!C31</f>
        <v>0</v>
      </c>
      <c r="BI27" s="305">
        <f>Юсь!D31</f>
        <v>0</v>
      </c>
      <c r="BJ27" s="305" t="e">
        <f t="shared" si="30"/>
        <v>#DIV/0!</v>
      </c>
      <c r="BK27" s="305"/>
      <c r="BL27" s="305"/>
      <c r="BM27" s="305" t="e">
        <f t="shared" si="31"/>
        <v>#DIV/0!</v>
      </c>
      <c r="BN27" s="305"/>
      <c r="BO27" s="305"/>
      <c r="BP27" s="305"/>
      <c r="BQ27" s="305"/>
      <c r="BR27" s="305">
        <f>Юсь!D34</f>
        <v>0.12705</v>
      </c>
      <c r="BS27" s="298" t="e">
        <f t="shared" si="32"/>
        <v>#DIV/0!</v>
      </c>
      <c r="BT27" s="305">
        <f>Юсь!C35</f>
        <v>0</v>
      </c>
      <c r="BU27" s="305">
        <f>Юсь!D35</f>
        <v>0</v>
      </c>
      <c r="BV27" s="305" t="e">
        <f t="shared" si="33"/>
        <v>#DIV/0!</v>
      </c>
      <c r="BW27" s="305"/>
      <c r="BX27" s="305"/>
      <c r="BY27" s="315" t="e">
        <f t="shared" si="34"/>
        <v>#DIV/0!</v>
      </c>
      <c r="BZ27" s="315"/>
      <c r="CA27" s="315"/>
      <c r="CB27" s="315" t="e">
        <f t="shared" si="35"/>
        <v>#DIV/0!</v>
      </c>
      <c r="CC27" s="303">
        <f t="shared" si="36"/>
        <v>12094.03865</v>
      </c>
      <c r="CD27" s="303">
        <f t="shared" si="37"/>
        <v>4415.5598399999999</v>
      </c>
      <c r="CE27" s="305">
        <f t="shared" si="56"/>
        <v>36.510217701346605</v>
      </c>
      <c r="CF27" s="305">
        <f>Юсь!C40</f>
        <v>4903.5</v>
      </c>
      <c r="CG27" s="305">
        <f>Юсь!D40</f>
        <v>2860.375</v>
      </c>
      <c r="CH27" s="305">
        <f t="shared" si="38"/>
        <v>58.333333333333336</v>
      </c>
      <c r="CI27" s="305">
        <f>Юсь!C41</f>
        <v>0</v>
      </c>
      <c r="CJ27" s="460">
        <f>Юсь!D41</f>
        <v>0</v>
      </c>
      <c r="CK27" s="305" t="e">
        <f t="shared" si="39"/>
        <v>#DIV/0!</v>
      </c>
      <c r="CL27" s="305">
        <f>Юсь!C42</f>
        <v>6399.0466500000002</v>
      </c>
      <c r="CM27" s="305">
        <f>Юсь!D42</f>
        <v>1109.55</v>
      </c>
      <c r="CN27" s="305">
        <f t="shared" si="7"/>
        <v>17.339301628626195</v>
      </c>
      <c r="CO27" s="305">
        <f>Юсь!C43</f>
        <v>235.76499999999999</v>
      </c>
      <c r="CP27" s="305">
        <f>Юсь!D43</f>
        <v>152.815</v>
      </c>
      <c r="CQ27" s="305">
        <f t="shared" si="8"/>
        <v>64.816660657858463</v>
      </c>
      <c r="CR27" s="305">
        <f>Юсь!C50</f>
        <v>152.125</v>
      </c>
      <c r="CS27" s="305">
        <f>Юсь!D50</f>
        <v>0</v>
      </c>
      <c r="CT27" s="298">
        <f t="shared" si="40"/>
        <v>0</v>
      </c>
      <c r="CU27" s="317">
        <f>Юсь!C51</f>
        <v>403.60199999999998</v>
      </c>
      <c r="CV27" s="305">
        <f>Юсь!D51</f>
        <v>292.81984</v>
      </c>
      <c r="CW27" s="305">
        <f t="shared" si="9"/>
        <v>72.551632548897189</v>
      </c>
      <c r="CX27" s="305"/>
      <c r="CY27" s="305"/>
      <c r="CZ27" s="305"/>
      <c r="DA27" s="313"/>
      <c r="DB27" s="313"/>
      <c r="DC27" s="305" t="e">
        <f t="shared" si="41"/>
        <v>#DIV/0!</v>
      </c>
      <c r="DD27" s="305"/>
      <c r="DE27" s="305"/>
      <c r="DF27" s="305"/>
      <c r="DG27" s="305"/>
      <c r="DH27" s="305"/>
      <c r="DI27" s="305"/>
      <c r="DJ27" s="307">
        <f t="shared" si="42"/>
        <v>14510.30949</v>
      </c>
      <c r="DK27" s="307">
        <f t="shared" si="42"/>
        <v>5675.5561099999995</v>
      </c>
      <c r="DL27" s="305">
        <f t="shared" si="43"/>
        <v>39.113956279922185</v>
      </c>
      <c r="DM27" s="313">
        <f t="shared" si="44"/>
        <v>1653.289</v>
      </c>
      <c r="DN27" s="313">
        <f t="shared" si="44"/>
        <v>755.30555000000004</v>
      </c>
      <c r="DO27" s="305">
        <f t="shared" si="45"/>
        <v>45.68502844935157</v>
      </c>
      <c r="DP27" s="305">
        <f>Юсь!C59</f>
        <v>1643.125</v>
      </c>
      <c r="DQ27" s="305">
        <f>Юсь!D59</f>
        <v>750.14155000000005</v>
      </c>
      <c r="DR27" s="305">
        <f t="shared" si="46"/>
        <v>45.653346519589199</v>
      </c>
      <c r="DS27" s="305">
        <f>Юсь!C62</f>
        <v>0</v>
      </c>
      <c r="DT27" s="305">
        <f>Юсь!D62</f>
        <v>0</v>
      </c>
      <c r="DU27" s="305" t="e">
        <f t="shared" si="47"/>
        <v>#DIV/0!</v>
      </c>
      <c r="DV27" s="305">
        <f>Юсь!C63</f>
        <v>5</v>
      </c>
      <c r="DW27" s="305">
        <f>Юсь!D63</f>
        <v>0</v>
      </c>
      <c r="DX27" s="305">
        <f t="shared" si="48"/>
        <v>0</v>
      </c>
      <c r="DY27" s="305">
        <f>Юсь!C64</f>
        <v>5.1639999999999997</v>
      </c>
      <c r="DZ27" s="305">
        <f>Юсь!D64</f>
        <v>5.1639999999999997</v>
      </c>
      <c r="EA27" s="305">
        <f t="shared" si="49"/>
        <v>100</v>
      </c>
      <c r="EB27" s="305">
        <f>Юсь!C66</f>
        <v>235.76499999999999</v>
      </c>
      <c r="EC27" s="305">
        <f>Юсь!D66</f>
        <v>116.325</v>
      </c>
      <c r="ED27" s="305">
        <f t="shared" si="50"/>
        <v>49.339384556655993</v>
      </c>
      <c r="EE27" s="305">
        <f>Юсь!C67</f>
        <v>325.38</v>
      </c>
      <c r="EF27" s="305">
        <f>Юсь!D67</f>
        <v>321.68939</v>
      </c>
      <c r="EG27" s="305">
        <f t="shared" si="51"/>
        <v>98.865753887762011</v>
      </c>
      <c r="EH27" s="313">
        <f>Юсь!C73</f>
        <v>3033.2308400000002</v>
      </c>
      <c r="EI27" s="313">
        <f>Юсь!D73</f>
        <v>1106.9003600000001</v>
      </c>
      <c r="EJ27" s="305">
        <f t="shared" si="52"/>
        <v>36.492453703259855</v>
      </c>
      <c r="EK27" s="313">
        <f>Юсь!C78</f>
        <v>7169.9446499999995</v>
      </c>
      <c r="EL27" s="313">
        <f>Юсь!D78</f>
        <v>2319.3006</v>
      </c>
      <c r="EM27" s="305">
        <f t="shared" si="53"/>
        <v>32.347538415097809</v>
      </c>
      <c r="EN27" s="313">
        <f>Юсь!C82</f>
        <v>2082.6999999999998</v>
      </c>
      <c r="EO27" s="318">
        <f>Юсь!D82</f>
        <v>1046.04521</v>
      </c>
      <c r="EP27" s="305">
        <f t="shared" si="10"/>
        <v>50.225438613338454</v>
      </c>
      <c r="EQ27" s="305">
        <f>Юсь!C84</f>
        <v>0</v>
      </c>
      <c r="ER27" s="305">
        <f>Юсь!D84</f>
        <v>0</v>
      </c>
      <c r="ES27" s="305" t="e">
        <f t="shared" si="11"/>
        <v>#DIV/0!</v>
      </c>
      <c r="ET27" s="319">
        <f>Юсь!C89</f>
        <v>10</v>
      </c>
      <c r="EU27" s="319">
        <f>Юсь!D89</f>
        <v>9.99</v>
      </c>
      <c r="EV27" s="305">
        <f t="shared" si="54"/>
        <v>99.9</v>
      </c>
      <c r="EW27" s="305">
        <f>Юсь!C95</f>
        <v>0</v>
      </c>
      <c r="EX27" s="305">
        <f>Юсь!D95</f>
        <v>0</v>
      </c>
      <c r="EY27" s="298" t="e">
        <f t="shared" si="55"/>
        <v>#DIV/0!</v>
      </c>
      <c r="EZ27" s="312">
        <f t="shared" si="12"/>
        <v>-1002.14084</v>
      </c>
      <c r="FA27" s="312">
        <f t="shared" si="13"/>
        <v>-496.39300000000003</v>
      </c>
      <c r="FB27" s="298">
        <f t="shared" si="57"/>
        <v>49.533257221609688</v>
      </c>
      <c r="FC27" s="159"/>
      <c r="FD27" s="160"/>
      <c r="FF27" s="160"/>
    </row>
    <row r="28" spans="1:173" s="157" customFormat="1" ht="23.25" customHeight="1">
      <c r="A28" s="341">
        <v>15</v>
      </c>
      <c r="B28" s="343" t="s">
        <v>304</v>
      </c>
      <c r="C28" s="320">
        <f t="shared" si="14"/>
        <v>14849.305970000001</v>
      </c>
      <c r="D28" s="297">
        <f>G28+CD28+DB28</f>
        <v>4661.7580599999992</v>
      </c>
      <c r="E28" s="305">
        <f>D28/C28*100</f>
        <v>31.393777388775824</v>
      </c>
      <c r="F28" s="299">
        <f t="shared" si="15"/>
        <v>2801</v>
      </c>
      <c r="G28" s="299">
        <f>M28+AB28+AE28+AH28+AK28+AQ28+AW28+BI28+AN28+BU28+BR28+BC28+P28+V28+S28+Y28+AT28</f>
        <v>1120.0845099999999</v>
      </c>
      <c r="H28" s="305">
        <f>G28/F28*100</f>
        <v>39.988736522670472</v>
      </c>
      <c r="I28" s="298">
        <f t="shared" si="17"/>
        <v>2606</v>
      </c>
      <c r="J28" s="305"/>
      <c r="K28" s="305"/>
      <c r="L28" s="313">
        <f>Яра!C6</f>
        <v>189</v>
      </c>
      <c r="M28" s="449">
        <f>Яра!D6</f>
        <v>146.26194000000001</v>
      </c>
      <c r="N28" s="305">
        <f t="shared" si="18"/>
        <v>77.387269841269841</v>
      </c>
      <c r="O28" s="305">
        <f>Яра!C8</f>
        <v>355.84199999999998</v>
      </c>
      <c r="P28" s="305">
        <f>Яра!D8</f>
        <v>307.11450000000002</v>
      </c>
      <c r="Q28" s="298">
        <f t="shared" si="19"/>
        <v>86.306422513362676</v>
      </c>
      <c r="R28" s="298">
        <f>Яра!C9</f>
        <v>3.8159999999999998</v>
      </c>
      <c r="S28" s="298">
        <f>Яра!D9</f>
        <v>1.80704</v>
      </c>
      <c r="T28" s="298">
        <f t="shared" si="20"/>
        <v>47.354297693920337</v>
      </c>
      <c r="U28" s="298">
        <f>Яра!C10</f>
        <v>594.34199999999998</v>
      </c>
      <c r="V28" s="298">
        <f>Яра!D10</f>
        <v>354.90249</v>
      </c>
      <c r="W28" s="298">
        <f t="shared" si="21"/>
        <v>59.713513431660559</v>
      </c>
      <c r="X28" s="298">
        <f>Яра!C11</f>
        <v>0</v>
      </c>
      <c r="Y28" s="302">
        <f>Яра!D11</f>
        <v>-35.558529999999998</v>
      </c>
      <c r="Z28" s="298" t="e">
        <f t="shared" si="22"/>
        <v>#DIV/0!</v>
      </c>
      <c r="AA28" s="313">
        <f>Яра!C13</f>
        <v>20</v>
      </c>
      <c r="AB28" s="313">
        <f>Яра!D13</f>
        <v>10.15326</v>
      </c>
      <c r="AC28" s="305">
        <f t="shared" si="23"/>
        <v>50.766300000000001</v>
      </c>
      <c r="AD28" s="313">
        <f>Яра!C15</f>
        <v>385</v>
      </c>
      <c r="AE28" s="304">
        <f>Яра!D15</f>
        <v>157.46428</v>
      </c>
      <c r="AF28" s="305">
        <f t="shared" si="24"/>
        <v>40.899812987012993</v>
      </c>
      <c r="AG28" s="313">
        <f>Яра!C16</f>
        <v>1050</v>
      </c>
      <c r="AH28" s="313">
        <f>Яра!D16</f>
        <v>131.32882000000001</v>
      </c>
      <c r="AI28" s="305">
        <f t="shared" si="4"/>
        <v>12.507506666666668</v>
      </c>
      <c r="AJ28" s="305">
        <f>Яра!C18</f>
        <v>8</v>
      </c>
      <c r="AK28" s="305">
        <f>Яра!D18</f>
        <v>2.78</v>
      </c>
      <c r="AL28" s="305">
        <f t="shared" si="25"/>
        <v>34.75</v>
      </c>
      <c r="AM28" s="305"/>
      <c r="AN28" s="305"/>
      <c r="AO28" s="305" t="e">
        <f>AM28/AN28*100</f>
        <v>#DIV/0!</v>
      </c>
      <c r="AP28" s="313">
        <v>0</v>
      </c>
      <c r="AQ28" s="313">
        <v>0</v>
      </c>
      <c r="AR28" s="305" t="e">
        <f t="shared" si="6"/>
        <v>#DIV/0!</v>
      </c>
      <c r="AS28" s="313">
        <f>Яра!C27</f>
        <v>20</v>
      </c>
      <c r="AT28" s="314">
        <f>Яра!D27</f>
        <v>16.701519999999999</v>
      </c>
      <c r="AU28" s="305">
        <f t="shared" si="26"/>
        <v>83.507599999999996</v>
      </c>
      <c r="AV28" s="307">
        <f>Яра!C28</f>
        <v>0</v>
      </c>
      <c r="AW28" s="314">
        <f>Яра!D28</f>
        <v>0</v>
      </c>
      <c r="AX28" s="305" t="e">
        <f t="shared" si="27"/>
        <v>#DIV/0!</v>
      </c>
      <c r="AY28" s="313"/>
      <c r="AZ28" s="313"/>
      <c r="BA28" s="305" t="e">
        <f t="shared" si="28"/>
        <v>#DIV/0!</v>
      </c>
      <c r="BB28" s="305">
        <f>Яра!C31</f>
        <v>50</v>
      </c>
      <c r="BC28" s="308">
        <f>Яра!D31</f>
        <v>27.129190000000001</v>
      </c>
      <c r="BD28" s="305">
        <f t="shared" si="29"/>
        <v>54.258380000000002</v>
      </c>
      <c r="BE28" s="305"/>
      <c r="BF28" s="305"/>
      <c r="BG28" s="305"/>
      <c r="BH28" s="305">
        <f>Яра!C34</f>
        <v>125</v>
      </c>
      <c r="BI28" s="305">
        <v>0</v>
      </c>
      <c r="BJ28" s="305">
        <f t="shared" si="30"/>
        <v>0</v>
      </c>
      <c r="BK28" s="305"/>
      <c r="BL28" s="305"/>
      <c r="BM28" s="305" t="e">
        <f t="shared" si="31"/>
        <v>#DIV/0!</v>
      </c>
      <c r="BN28" s="305"/>
      <c r="BO28" s="305"/>
      <c r="BP28" s="305"/>
      <c r="BQ28" s="305">
        <f>Яра!C35</f>
        <v>0</v>
      </c>
      <c r="BR28" s="305">
        <f>Яра!D35</f>
        <v>0</v>
      </c>
      <c r="BS28" s="298" t="e">
        <f t="shared" si="32"/>
        <v>#DIV/0!</v>
      </c>
      <c r="BT28" s="305">
        <f>Яра!C37</f>
        <v>0</v>
      </c>
      <c r="BU28" s="305">
        <f>Яра!D37</f>
        <v>0</v>
      </c>
      <c r="BV28" s="305" t="e">
        <f t="shared" si="33"/>
        <v>#DIV/0!</v>
      </c>
      <c r="BW28" s="305"/>
      <c r="BX28" s="305"/>
      <c r="BY28" s="315" t="e">
        <f t="shared" si="34"/>
        <v>#DIV/0!</v>
      </c>
      <c r="BZ28" s="315"/>
      <c r="CA28" s="315"/>
      <c r="CB28" s="315" t="e">
        <f t="shared" si="35"/>
        <v>#DIV/0!</v>
      </c>
      <c r="CC28" s="303">
        <f t="shared" si="36"/>
        <v>12048.305970000001</v>
      </c>
      <c r="CD28" s="303">
        <f t="shared" si="37"/>
        <v>3541.6735499999995</v>
      </c>
      <c r="CE28" s="305">
        <f t="shared" si="56"/>
        <v>29.395614278212083</v>
      </c>
      <c r="CF28" s="305">
        <f>Яра!C42</f>
        <v>3431.9</v>
      </c>
      <c r="CG28" s="305">
        <f>Яра!D42</f>
        <v>2001.944</v>
      </c>
      <c r="CH28" s="305">
        <f t="shared" si="38"/>
        <v>58.333401322882359</v>
      </c>
      <c r="CI28" s="305">
        <f>Яра!C43</f>
        <v>0</v>
      </c>
      <c r="CJ28" s="460">
        <f>Яра!D43</f>
        <v>0</v>
      </c>
      <c r="CK28" s="305" t="e">
        <f t="shared" si="39"/>
        <v>#DIV/0!</v>
      </c>
      <c r="CL28" s="305">
        <f>Яра!C44</f>
        <v>4212.85016</v>
      </c>
      <c r="CM28" s="305">
        <f>Яра!D44</f>
        <v>1041.93443</v>
      </c>
      <c r="CN28" s="305">
        <f t="shared" si="7"/>
        <v>24.732292638672913</v>
      </c>
      <c r="CO28" s="305">
        <f>Яра!C45</f>
        <v>235.76499999999999</v>
      </c>
      <c r="CP28" s="305">
        <f>Яра!D45</f>
        <v>152.815</v>
      </c>
      <c r="CQ28" s="305">
        <f t="shared" si="8"/>
        <v>64.816660657858463</v>
      </c>
      <c r="CR28" s="305">
        <f>Яра!C47</f>
        <v>3880.7084500000001</v>
      </c>
      <c r="CS28" s="305">
        <f>Яра!D47</f>
        <v>83.186999999999998</v>
      </c>
      <c r="CT28" s="298">
        <f t="shared" si="40"/>
        <v>2.1436034443659375</v>
      </c>
      <c r="CU28" s="317">
        <f>SUM(Яра!C46)</f>
        <v>287.08235999999999</v>
      </c>
      <c r="CV28" s="305">
        <f>Яра!D51</f>
        <v>261.79311999999999</v>
      </c>
      <c r="CW28" s="305">
        <f t="shared" si="9"/>
        <v>91.190946040711111</v>
      </c>
      <c r="CX28" s="305"/>
      <c r="CY28" s="305"/>
      <c r="CZ28" s="305"/>
      <c r="DA28" s="313"/>
      <c r="DB28" s="313"/>
      <c r="DC28" s="305" t="e">
        <f t="shared" si="41"/>
        <v>#DIV/0!</v>
      </c>
      <c r="DD28" s="305"/>
      <c r="DE28" s="305">
        <f>Яра!D46</f>
        <v>0</v>
      </c>
      <c r="DF28" s="305" t="e">
        <f>DE28/DD28</f>
        <v>#DIV/0!</v>
      </c>
      <c r="DG28" s="305"/>
      <c r="DH28" s="305"/>
      <c r="DI28" s="305"/>
      <c r="DJ28" s="307">
        <f t="shared" si="42"/>
        <v>15791.99288</v>
      </c>
      <c r="DK28" s="307">
        <f t="shared" si="42"/>
        <v>5341.1881400000002</v>
      </c>
      <c r="DL28" s="305">
        <f t="shared" si="43"/>
        <v>33.822128597616242</v>
      </c>
      <c r="DM28" s="313">
        <f t="shared" si="44"/>
        <v>1786.0791300000001</v>
      </c>
      <c r="DN28" s="313">
        <f t="shared" si="44"/>
        <v>954.57047</v>
      </c>
      <c r="DO28" s="305">
        <f t="shared" si="45"/>
        <v>53.445026816924958</v>
      </c>
      <c r="DP28" s="305">
        <f>Яра!C59</f>
        <v>1703.4670000000001</v>
      </c>
      <c r="DQ28" s="305">
        <f>Яра!D59</f>
        <v>886.95834000000002</v>
      </c>
      <c r="DR28" s="305">
        <f t="shared" si="46"/>
        <v>52.067832250345916</v>
      </c>
      <c r="DS28" s="305">
        <f>Яра!C62</f>
        <v>0</v>
      </c>
      <c r="DT28" s="305">
        <f>Яра!D62</f>
        <v>0</v>
      </c>
      <c r="DU28" s="305" t="e">
        <f t="shared" si="47"/>
        <v>#DIV/0!</v>
      </c>
      <c r="DV28" s="305">
        <f>Яра!C63</f>
        <v>10</v>
      </c>
      <c r="DW28" s="305">
        <f>Яра!D63</f>
        <v>0</v>
      </c>
      <c r="DX28" s="305">
        <f t="shared" si="48"/>
        <v>0</v>
      </c>
      <c r="DY28" s="305">
        <f>Яра!C64</f>
        <v>72.612129999999993</v>
      </c>
      <c r="DZ28" s="305">
        <f>Яра!D64</f>
        <v>67.612129999999993</v>
      </c>
      <c r="EA28" s="305">
        <f t="shared" si="49"/>
        <v>93.114098154123838</v>
      </c>
      <c r="EB28" s="305">
        <f>Яра!C66</f>
        <v>235.76499999999999</v>
      </c>
      <c r="EC28" s="305">
        <f>Яра!D65</f>
        <v>129.63901999999999</v>
      </c>
      <c r="ED28" s="305">
        <f t="shared" si="50"/>
        <v>54.986541683455982</v>
      </c>
      <c r="EE28" s="305">
        <f>Яра!C67</f>
        <v>25</v>
      </c>
      <c r="EF28" s="305">
        <f>Яра!D67</f>
        <v>18.097239999999999</v>
      </c>
      <c r="EG28" s="305">
        <f t="shared" si="51"/>
        <v>72.388959999999997</v>
      </c>
      <c r="EH28" s="313">
        <f>Яра!C73</f>
        <v>5628.24179</v>
      </c>
      <c r="EI28" s="313">
        <f>Яра!D73</f>
        <v>1895.37816</v>
      </c>
      <c r="EJ28" s="305">
        <f t="shared" si="52"/>
        <v>33.676203523587425</v>
      </c>
      <c r="EK28" s="313">
        <f>Яра!C78</f>
        <v>5881.11996</v>
      </c>
      <c r="EL28" s="313">
        <f>Яра!D78</f>
        <v>901.29458</v>
      </c>
      <c r="EM28" s="305">
        <f t="shared" si="53"/>
        <v>15.32522013035082</v>
      </c>
      <c r="EN28" s="313">
        <f>Яра!C82</f>
        <v>2213.7869999999998</v>
      </c>
      <c r="EO28" s="318">
        <f>Яра!D82</f>
        <v>1420.35367</v>
      </c>
      <c r="EP28" s="305">
        <f t="shared" si="10"/>
        <v>64.159454816565471</v>
      </c>
      <c r="EQ28" s="305">
        <f>Яра!C84</f>
        <v>0</v>
      </c>
      <c r="ER28" s="305">
        <f>Яра!D84</f>
        <v>0</v>
      </c>
      <c r="ES28" s="305" t="e">
        <f t="shared" si="11"/>
        <v>#DIV/0!</v>
      </c>
      <c r="ET28" s="319">
        <f>Яра!C89</f>
        <v>22</v>
      </c>
      <c r="EU28" s="319">
        <f>Яра!D89</f>
        <v>21.855</v>
      </c>
      <c r="EV28" s="305">
        <f t="shared" si="54"/>
        <v>99.340909090909093</v>
      </c>
      <c r="EW28" s="305">
        <f>Яра!C95</f>
        <v>0</v>
      </c>
      <c r="EX28" s="305">
        <f>Яра!D95</f>
        <v>0</v>
      </c>
      <c r="EY28" s="298" t="e">
        <f t="shared" si="55"/>
        <v>#DIV/0!</v>
      </c>
      <c r="EZ28" s="312">
        <f t="shared" si="12"/>
        <v>-942.68690999999853</v>
      </c>
      <c r="FA28" s="312">
        <f t="shared" si="13"/>
        <v>-679.430080000001</v>
      </c>
      <c r="FB28" s="298">
        <f t="shared" si="57"/>
        <v>72.073778981401375</v>
      </c>
      <c r="FC28" s="159"/>
      <c r="FD28" s="160"/>
      <c r="FF28" s="160"/>
    </row>
    <row r="29" spans="1:173" s="157" customFormat="1" ht="25.5" customHeight="1">
      <c r="A29" s="341">
        <v>16</v>
      </c>
      <c r="B29" s="342" t="s">
        <v>305</v>
      </c>
      <c r="C29" s="296">
        <f t="shared" si="14"/>
        <v>12963.547319999998</v>
      </c>
      <c r="D29" s="297">
        <f t="shared" si="0"/>
        <v>2401.0193599999998</v>
      </c>
      <c r="E29" s="298">
        <f t="shared" si="1"/>
        <v>18.521314426767567</v>
      </c>
      <c r="F29" s="299">
        <f t="shared" si="15"/>
        <v>1845.98</v>
      </c>
      <c r="G29" s="299">
        <f t="shared" si="3"/>
        <v>741.09397999999999</v>
      </c>
      <c r="H29" s="298">
        <f t="shared" si="16"/>
        <v>40.146371033272302</v>
      </c>
      <c r="I29" s="298">
        <f t="shared" si="17"/>
        <v>1525.98</v>
      </c>
      <c r="J29" s="298"/>
      <c r="K29" s="298"/>
      <c r="L29" s="303">
        <f>Яро!C6</f>
        <v>120</v>
      </c>
      <c r="M29" s="449">
        <f>Яро!D6</f>
        <v>46.233310000000003</v>
      </c>
      <c r="N29" s="298">
        <f t="shared" si="18"/>
        <v>38.527758333333331</v>
      </c>
      <c r="O29" s="298">
        <f>Яро!C8</f>
        <v>204.39599999999999</v>
      </c>
      <c r="P29" s="298">
        <f>Яро!D8</f>
        <v>176.40800999999999</v>
      </c>
      <c r="Q29" s="298">
        <f t="shared" si="19"/>
        <v>86.306977631656196</v>
      </c>
      <c r="R29" s="298">
        <f>Яро!C9</f>
        <v>2.1920000000000002</v>
      </c>
      <c r="S29" s="298">
        <f>Яро!D9</f>
        <v>1.03799</v>
      </c>
      <c r="T29" s="298">
        <f t="shared" si="20"/>
        <v>47.353558394160579</v>
      </c>
      <c r="U29" s="298">
        <f>Яро!C10</f>
        <v>341.392</v>
      </c>
      <c r="V29" s="298">
        <f>Яро!D10</f>
        <v>203.85772</v>
      </c>
      <c r="W29" s="298">
        <f t="shared" si="21"/>
        <v>59.713678117823498</v>
      </c>
      <c r="X29" s="298">
        <f>Яро!C11</f>
        <v>0</v>
      </c>
      <c r="Y29" s="302">
        <f>Яро!D11</f>
        <v>-20.425000000000001</v>
      </c>
      <c r="Z29" s="298" t="e">
        <f t="shared" si="22"/>
        <v>#DIV/0!</v>
      </c>
      <c r="AA29" s="303">
        <f>Яро!C13</f>
        <v>10</v>
      </c>
      <c r="AB29" s="303">
        <f>Яро!D13</f>
        <v>0</v>
      </c>
      <c r="AC29" s="298">
        <f t="shared" si="23"/>
        <v>0</v>
      </c>
      <c r="AD29" s="303">
        <f>Яро!C15</f>
        <v>323</v>
      </c>
      <c r="AE29" s="304">
        <f>Яро!D15</f>
        <v>-2.2331400000000001</v>
      </c>
      <c r="AF29" s="298">
        <f t="shared" si="24"/>
        <v>-0.69137461300309599</v>
      </c>
      <c r="AG29" s="303">
        <f>Яро!C16</f>
        <v>520</v>
      </c>
      <c r="AH29" s="303">
        <f>Яро!D16</f>
        <v>85.940269999999998</v>
      </c>
      <c r="AI29" s="298">
        <f t="shared" si="4"/>
        <v>16.526975</v>
      </c>
      <c r="AJ29" s="298">
        <f>Яро!C18</f>
        <v>5</v>
      </c>
      <c r="AK29" s="298">
        <f>Яро!D18</f>
        <v>1.2</v>
      </c>
      <c r="AL29" s="298">
        <f t="shared" si="25"/>
        <v>24</v>
      </c>
      <c r="AM29" s="298"/>
      <c r="AN29" s="298"/>
      <c r="AO29" s="298" t="e">
        <f>AM29/AN29*100</f>
        <v>#DIV/0!</v>
      </c>
      <c r="AP29" s="303">
        <v>0</v>
      </c>
      <c r="AQ29" s="303">
        <v>0</v>
      </c>
      <c r="AR29" s="298" t="e">
        <f t="shared" si="6"/>
        <v>#DIV/0!</v>
      </c>
      <c r="AS29" s="303">
        <f>Яро!C26</f>
        <v>320</v>
      </c>
      <c r="AT29" s="306">
        <f>Яро!D27</f>
        <v>249.07481999999999</v>
      </c>
      <c r="AU29" s="298">
        <f t="shared" si="26"/>
        <v>77.83588125</v>
      </c>
      <c r="AV29" s="307">
        <v>0</v>
      </c>
      <c r="AW29" s="306">
        <f>Яро!D28</f>
        <v>0</v>
      </c>
      <c r="AX29" s="298" t="e">
        <f t="shared" si="27"/>
        <v>#DIV/0!</v>
      </c>
      <c r="AY29" s="303"/>
      <c r="AZ29" s="303"/>
      <c r="BA29" s="298" t="e">
        <f t="shared" si="28"/>
        <v>#DIV/0!</v>
      </c>
      <c r="BB29" s="298"/>
      <c r="BC29" s="308">
        <f>Яро!D29</f>
        <v>0</v>
      </c>
      <c r="BD29" s="298" t="e">
        <f t="shared" si="29"/>
        <v>#DIV/0!</v>
      </c>
      <c r="BE29" s="298"/>
      <c r="BF29" s="298"/>
      <c r="BG29" s="298"/>
      <c r="BH29" s="298">
        <f>Яро!C31</f>
        <v>0</v>
      </c>
      <c r="BI29" s="298">
        <f>Яро!D31</f>
        <v>0</v>
      </c>
      <c r="BJ29" s="298" t="e">
        <f t="shared" si="30"/>
        <v>#DIV/0!</v>
      </c>
      <c r="BK29" s="298"/>
      <c r="BL29" s="298"/>
      <c r="BM29" s="298" t="e">
        <f t="shared" si="31"/>
        <v>#DIV/0!</v>
      </c>
      <c r="BN29" s="298"/>
      <c r="BO29" s="298"/>
      <c r="BP29" s="298"/>
      <c r="BQ29" s="298">
        <f>Яро!C34</f>
        <v>0</v>
      </c>
      <c r="BR29" s="298">
        <f>Яро!D34</f>
        <v>0</v>
      </c>
      <c r="BS29" s="298" t="e">
        <f t="shared" si="32"/>
        <v>#DIV/0!</v>
      </c>
      <c r="BT29" s="298">
        <v>0</v>
      </c>
      <c r="BU29" s="298">
        <f>SUM(Яро!D36)</f>
        <v>0</v>
      </c>
      <c r="BV29" s="298" t="e">
        <f t="shared" si="33"/>
        <v>#DIV/0!</v>
      </c>
      <c r="BW29" s="298"/>
      <c r="BX29" s="298"/>
      <c r="BY29" s="310" t="e">
        <f t="shared" si="34"/>
        <v>#DIV/0!</v>
      </c>
      <c r="BZ29" s="310"/>
      <c r="CA29" s="310"/>
      <c r="CB29" s="310" t="e">
        <f t="shared" si="35"/>
        <v>#DIV/0!</v>
      </c>
      <c r="CC29" s="303">
        <f t="shared" si="36"/>
        <v>11117.567319999998</v>
      </c>
      <c r="CD29" s="303">
        <f t="shared" si="37"/>
        <v>1659.9253799999999</v>
      </c>
      <c r="CE29" s="298">
        <f t="shared" si="56"/>
        <v>14.930652832781769</v>
      </c>
      <c r="CF29" s="305">
        <f>Яро!C40</f>
        <v>2129.1</v>
      </c>
      <c r="CG29" s="305">
        <f>Яро!D40</f>
        <v>1241.9749999999999</v>
      </c>
      <c r="CH29" s="298">
        <f t="shared" si="38"/>
        <v>58.333333333333336</v>
      </c>
      <c r="CI29" s="298">
        <f>Яро!C41</f>
        <v>0</v>
      </c>
      <c r="CJ29" s="459">
        <f>Яро!D41</f>
        <v>0</v>
      </c>
      <c r="CK29" s="298" t="e">
        <f t="shared" si="39"/>
        <v>#DIV/0!</v>
      </c>
      <c r="CL29" s="298">
        <f>Яро!C42</f>
        <v>5635.3174399999998</v>
      </c>
      <c r="CM29" s="298">
        <f>Яро!D42</f>
        <v>270</v>
      </c>
      <c r="CN29" s="298">
        <f t="shared" si="7"/>
        <v>4.7912119037610061</v>
      </c>
      <c r="CO29" s="298">
        <f>Яро!C43</f>
        <v>94.305999999999997</v>
      </c>
      <c r="CP29" s="298">
        <f>Яро!D43</f>
        <v>66.573999999999998</v>
      </c>
      <c r="CQ29" s="298">
        <f t="shared" si="8"/>
        <v>70.593599558882786</v>
      </c>
      <c r="CR29" s="298">
        <f>Яро!C45</f>
        <v>2432.99764</v>
      </c>
      <c r="CS29" s="298">
        <f>Яро!D45</f>
        <v>81.376379999999997</v>
      </c>
      <c r="CT29" s="298">
        <f t="shared" si="40"/>
        <v>3.344696215981533</v>
      </c>
      <c r="CU29" s="302">
        <f>Яро!C46</f>
        <v>825.84623999999997</v>
      </c>
      <c r="CV29" s="298">
        <f>Яро!D46</f>
        <v>0</v>
      </c>
      <c r="CW29" s="298">
        <f t="shared" si="9"/>
        <v>0</v>
      </c>
      <c r="CX29" s="298"/>
      <c r="CY29" s="298"/>
      <c r="CZ29" s="298"/>
      <c r="DA29" s="303"/>
      <c r="DB29" s="303"/>
      <c r="DC29" s="298" t="e">
        <f t="shared" si="41"/>
        <v>#DIV/0!</v>
      </c>
      <c r="DD29" s="298"/>
      <c r="DE29" s="298"/>
      <c r="DF29" s="298"/>
      <c r="DG29" s="298"/>
      <c r="DH29" s="298"/>
      <c r="DI29" s="298"/>
      <c r="DJ29" s="307">
        <f t="shared" si="42"/>
        <v>13279.138669999998</v>
      </c>
      <c r="DK29" s="307">
        <f t="shared" si="42"/>
        <v>1782.6071899999999</v>
      </c>
      <c r="DL29" s="298">
        <f t="shared" si="43"/>
        <v>13.424117590000288</v>
      </c>
      <c r="DM29" s="303">
        <f t="shared" si="44"/>
        <v>1555.4279999999999</v>
      </c>
      <c r="DN29" s="303">
        <f t="shared" si="44"/>
        <v>557.26458000000002</v>
      </c>
      <c r="DO29" s="298">
        <f t="shared" si="45"/>
        <v>35.827089392758779</v>
      </c>
      <c r="DP29" s="298">
        <f>Яро!C56</f>
        <v>1536.808</v>
      </c>
      <c r="DQ29" s="298">
        <f>Яро!D56</f>
        <v>553.64458000000002</v>
      </c>
      <c r="DR29" s="298">
        <f t="shared" si="46"/>
        <v>36.025618034263232</v>
      </c>
      <c r="DS29" s="298">
        <f>Яро!C59</f>
        <v>0</v>
      </c>
      <c r="DT29" s="298">
        <f>Яро!D59</f>
        <v>0</v>
      </c>
      <c r="DU29" s="298" t="e">
        <f t="shared" si="47"/>
        <v>#DIV/0!</v>
      </c>
      <c r="DV29" s="298">
        <f>Яро!C60</f>
        <v>10</v>
      </c>
      <c r="DW29" s="298">
        <f>Яро!D60</f>
        <v>0</v>
      </c>
      <c r="DX29" s="298">
        <f t="shared" si="48"/>
        <v>0</v>
      </c>
      <c r="DY29" s="298">
        <f>Яро!C61</f>
        <v>8.6199999999999992</v>
      </c>
      <c r="DZ29" s="298">
        <f>Яро!D61</f>
        <v>3.62</v>
      </c>
      <c r="EA29" s="298">
        <f t="shared" si="49"/>
        <v>41.995359628770309</v>
      </c>
      <c r="EB29" s="298">
        <f>Яро!C62</f>
        <v>94.305999999999997</v>
      </c>
      <c r="EC29" s="298">
        <f>Яро!D62</f>
        <v>15.63635</v>
      </c>
      <c r="ED29" s="298">
        <f t="shared" si="50"/>
        <v>16.580440268911843</v>
      </c>
      <c r="EE29" s="298">
        <f>Яро!C64</f>
        <v>16.831340000000001</v>
      </c>
      <c r="EF29" s="298">
        <f>Яро!D64</f>
        <v>9.3313400000000009</v>
      </c>
      <c r="EG29" s="298">
        <f t="shared" si="51"/>
        <v>55.440267976287096</v>
      </c>
      <c r="EH29" s="303">
        <f>Яро!C70</f>
        <v>1609.6513499999999</v>
      </c>
      <c r="EI29" s="303">
        <f>Яро!D70</f>
        <v>314</v>
      </c>
      <c r="EJ29" s="298">
        <f t="shared" si="52"/>
        <v>19.507329956887869</v>
      </c>
      <c r="EK29" s="303">
        <f>Яро!C75</f>
        <v>8762.9689799999996</v>
      </c>
      <c r="EL29" s="303">
        <f>Яро!D75</f>
        <v>182.85754</v>
      </c>
      <c r="EM29" s="298">
        <f t="shared" si="53"/>
        <v>2.0867076035227505</v>
      </c>
      <c r="EN29" s="303">
        <f>Яро!C80</f>
        <v>1224.953</v>
      </c>
      <c r="EO29" s="311">
        <f>Яро!D79</f>
        <v>700.96738000000005</v>
      </c>
      <c r="EP29" s="298">
        <f t="shared" si="10"/>
        <v>57.224022472698955</v>
      </c>
      <c r="EQ29" s="298">
        <f>Яро!C81</f>
        <v>0</v>
      </c>
      <c r="ER29" s="298">
        <f>Яро!D81</f>
        <v>0</v>
      </c>
      <c r="ES29" s="298" t="e">
        <f t="shared" si="11"/>
        <v>#DIV/0!</v>
      </c>
      <c r="ET29" s="299">
        <f>Яро!C86</f>
        <v>15</v>
      </c>
      <c r="EU29" s="299">
        <f>Яро!D86</f>
        <v>2.5499999999999998</v>
      </c>
      <c r="EV29" s="298">
        <f t="shared" si="54"/>
        <v>17</v>
      </c>
      <c r="EW29" s="298">
        <f>Яро!C92</f>
        <v>0</v>
      </c>
      <c r="EX29" s="298">
        <f>Яро!D92</f>
        <v>0</v>
      </c>
      <c r="EY29" s="298" t="e">
        <f t="shared" si="55"/>
        <v>#DIV/0!</v>
      </c>
      <c r="EZ29" s="312">
        <f t="shared" si="12"/>
        <v>-315.5913500000006</v>
      </c>
      <c r="FA29" s="312">
        <f t="shared" si="13"/>
        <v>618.41216999999983</v>
      </c>
      <c r="FB29" s="298">
        <f t="shared" si="57"/>
        <v>-195.95346006790066</v>
      </c>
      <c r="FC29" s="159"/>
      <c r="FD29" s="160"/>
      <c r="FF29" s="160"/>
    </row>
    <row r="30" spans="1:173" s="157" customFormat="1" ht="17.25" customHeight="1">
      <c r="A30" s="348"/>
      <c r="B30" s="349"/>
      <c r="C30" s="330"/>
      <c r="D30" s="331"/>
      <c r="E30" s="298"/>
      <c r="F30" s="299"/>
      <c r="G30" s="303"/>
      <c r="H30" s="298"/>
      <c r="I30" s="298"/>
      <c r="J30" s="298"/>
      <c r="K30" s="298"/>
      <c r="L30" s="303"/>
      <c r="M30" s="450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333"/>
      <c r="Z30" s="298"/>
      <c r="AA30" s="303"/>
      <c r="AB30" s="303"/>
      <c r="AC30" s="298"/>
      <c r="AD30" s="303"/>
      <c r="AE30" s="303"/>
      <c r="AF30" s="298"/>
      <c r="AG30" s="303"/>
      <c r="AH30" s="303"/>
      <c r="AI30" s="298"/>
      <c r="AJ30" s="298"/>
      <c r="AK30" s="298"/>
      <c r="AL30" s="298"/>
      <c r="AM30" s="298"/>
      <c r="AN30" s="298"/>
      <c r="AO30" s="298"/>
      <c r="AP30" s="303"/>
      <c r="AQ30" s="303"/>
      <c r="AR30" s="298"/>
      <c r="AS30" s="303"/>
      <c r="AT30" s="303"/>
      <c r="AU30" s="298"/>
      <c r="AV30" s="303"/>
      <c r="AW30" s="306"/>
      <c r="AX30" s="298"/>
      <c r="AY30" s="303"/>
      <c r="AZ30" s="303"/>
      <c r="BA30" s="298"/>
      <c r="BB30" s="298"/>
      <c r="BC30" s="308"/>
      <c r="BD30" s="298" t="e">
        <f t="shared" si="29"/>
        <v>#DIV/0!</v>
      </c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310"/>
      <c r="BZ30" s="310"/>
      <c r="CA30" s="310"/>
      <c r="CB30" s="310"/>
      <c r="CC30" s="303"/>
      <c r="CD30" s="303"/>
      <c r="CE30" s="298"/>
      <c r="CF30" s="298"/>
      <c r="CG30" s="298"/>
      <c r="CH30" s="298"/>
      <c r="CI30" s="298"/>
      <c r="CJ30" s="459"/>
      <c r="CK30" s="459"/>
      <c r="CL30" s="298"/>
      <c r="CM30" s="298"/>
      <c r="CN30" s="298"/>
      <c r="CO30" s="298"/>
      <c r="CP30" s="298"/>
      <c r="CQ30" s="298"/>
      <c r="CR30" s="298"/>
      <c r="CS30" s="298"/>
      <c r="CT30" s="298"/>
      <c r="CU30" s="333"/>
      <c r="CV30" s="298"/>
      <c r="CW30" s="298"/>
      <c r="CX30" s="298"/>
      <c r="CY30" s="298"/>
      <c r="CZ30" s="298"/>
      <c r="DA30" s="303"/>
      <c r="DB30" s="303"/>
      <c r="DC30" s="298"/>
      <c r="DD30" s="298"/>
      <c r="DE30" s="298"/>
      <c r="DF30" s="298"/>
      <c r="DG30" s="298"/>
      <c r="DH30" s="298"/>
      <c r="DI30" s="298"/>
      <c r="DJ30" s="303"/>
      <c r="DK30" s="303"/>
      <c r="DL30" s="298"/>
      <c r="DM30" s="303"/>
      <c r="DN30" s="332"/>
      <c r="DO30" s="298"/>
      <c r="DP30" s="298"/>
      <c r="DQ30" s="298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309"/>
      <c r="ED30" s="298"/>
      <c r="EE30" s="298"/>
      <c r="EF30" s="298"/>
      <c r="EG30" s="298"/>
      <c r="EH30" s="303"/>
      <c r="EI30" s="303"/>
      <c r="EJ30" s="298"/>
      <c r="EK30" s="303"/>
      <c r="EL30" s="303"/>
      <c r="EM30" s="298"/>
      <c r="EN30" s="303"/>
      <c r="EO30" s="303"/>
      <c r="EP30" s="298"/>
      <c r="EQ30" s="298"/>
      <c r="ER30" s="298"/>
      <c r="ES30" s="298"/>
      <c r="ET30" s="299"/>
      <c r="EU30" s="299"/>
      <c r="EV30" s="298"/>
      <c r="EW30" s="298"/>
      <c r="EX30" s="298"/>
      <c r="EY30" s="298"/>
      <c r="EZ30" s="312"/>
      <c r="FA30" s="312"/>
      <c r="FB30" s="298"/>
      <c r="FD30" s="160"/>
      <c r="FF30" s="160"/>
    </row>
    <row r="31" spans="1:173" s="163" customFormat="1" ht="18.75">
      <c r="A31" s="516" t="s">
        <v>176</v>
      </c>
      <c r="B31" s="517"/>
      <c r="C31" s="334">
        <f>SUM(C14:C29)</f>
        <v>238751.52908000007</v>
      </c>
      <c r="D31" s="334">
        <f>SUM(D14:D29)</f>
        <v>92033.848599999998</v>
      </c>
      <c r="E31" s="335">
        <f>D31/C31*100</f>
        <v>38.547961956365775</v>
      </c>
      <c r="F31" s="336">
        <f>SUM(F14:F29)</f>
        <v>44204.906640000001</v>
      </c>
      <c r="G31" s="337">
        <f>SUM(G14:G29)</f>
        <v>20198.23011</v>
      </c>
      <c r="H31" s="335">
        <f>G31/F31*100</f>
        <v>45.692280892010949</v>
      </c>
      <c r="I31" s="335"/>
      <c r="J31" s="335"/>
      <c r="K31" s="335"/>
      <c r="L31" s="337">
        <f>SUM(L14:L29)</f>
        <v>6540</v>
      </c>
      <c r="M31" s="451">
        <f>SUM(M14:M29)</f>
        <v>3747.8845300000003</v>
      </c>
      <c r="N31" s="335">
        <f>M31/L31*100</f>
        <v>57.307102905198782</v>
      </c>
      <c r="O31" s="335">
        <f>SUM(O14:O29)</f>
        <v>3854.9570000000003</v>
      </c>
      <c r="P31" s="335">
        <f>SUM(P14:P29)</f>
        <v>3327.0738299999994</v>
      </c>
      <c r="Q31" s="335">
        <f>P31/O31*100</f>
        <v>86.306379811759228</v>
      </c>
      <c r="R31" s="335">
        <f>SUM(R14:R29)</f>
        <v>41.338000000000001</v>
      </c>
      <c r="S31" s="335">
        <f>SUM(S14:S29)</f>
        <v>19.576090000000001</v>
      </c>
      <c r="T31" s="335">
        <f>S31/R31*100</f>
        <v>47.356161401132127</v>
      </c>
      <c r="U31" s="335">
        <f>SUM(U14:U29)</f>
        <v>6438.7049999999999</v>
      </c>
      <c r="V31" s="335">
        <f>SUM(V14:V29)</f>
        <v>3844.7767100000001</v>
      </c>
      <c r="W31" s="335">
        <f>V31/U31*100</f>
        <v>59.713509315926103</v>
      </c>
      <c r="X31" s="335">
        <f>SUM(X14:X29)</f>
        <v>0</v>
      </c>
      <c r="Y31" s="335">
        <f>SUM(Y14:Y29)</f>
        <v>-385.21679</v>
      </c>
      <c r="Z31" s="335" t="e">
        <f>Y31/X31*100</f>
        <v>#DIV/0!</v>
      </c>
      <c r="AA31" s="337">
        <f>SUM(AA14:AA29)</f>
        <v>465</v>
      </c>
      <c r="AB31" s="337">
        <f>SUM(AB14:AB29)</f>
        <v>548.47146999999995</v>
      </c>
      <c r="AC31" s="335">
        <f>AB31/AA31*100</f>
        <v>117.95085376344086</v>
      </c>
      <c r="AD31" s="337">
        <f>SUM(AD14:AD29)</f>
        <v>6780</v>
      </c>
      <c r="AE31" s="337">
        <f>SUM(AE14:AE29)</f>
        <v>1149.2905000000001</v>
      </c>
      <c r="AF31" s="335">
        <f>AE31/AD31*100</f>
        <v>16.951187315634218</v>
      </c>
      <c r="AG31" s="337">
        <f>SUM(AG14:AG29)</f>
        <v>15060.696</v>
      </c>
      <c r="AH31" s="337">
        <f>SUM(AH14:AH29)</f>
        <v>3927.1500799999999</v>
      </c>
      <c r="AI31" s="335">
        <f>AH31/AG31*100</f>
        <v>26.075488675954951</v>
      </c>
      <c r="AJ31" s="338">
        <f>SUM(AJ14:AJ29)</f>
        <v>97</v>
      </c>
      <c r="AK31" s="335">
        <f>SUM(AK14:AK29)</f>
        <v>37.590000000000003</v>
      </c>
      <c r="AL31" s="298">
        <f t="shared" si="25"/>
        <v>38.75257731958763</v>
      </c>
      <c r="AM31" s="337">
        <f>AM14+AM15+AM16+AM17+AM18+AM19+AM20+AM21+AM22+AM23+AM24+AM25+AM26+AM27+AM28+AM29</f>
        <v>0</v>
      </c>
      <c r="AN31" s="337">
        <f>AN14+AN15+AN16+AN17+AN18+AN19+AN20+AN21+AN22+AN23+AN24+AN25+AN26+AN27+AN28+AN29</f>
        <v>3.65E-3</v>
      </c>
      <c r="AO31" s="298" t="e">
        <f>AN31/AM31*100</f>
        <v>#DIV/0!</v>
      </c>
      <c r="AP31" s="337">
        <f>SUM(AP14:AP29)</f>
        <v>0</v>
      </c>
      <c r="AQ31" s="337">
        <f>SUM(AQ14:AQ29)</f>
        <v>0</v>
      </c>
      <c r="AR31" s="335" t="e">
        <f>AQ31/AP31*100</f>
        <v>#DIV/0!</v>
      </c>
      <c r="AS31" s="337">
        <f>SUM(AS14:AS29)</f>
        <v>2284.0106400000004</v>
      </c>
      <c r="AT31" s="337">
        <f>SUM(AT14:AT29)</f>
        <v>1391.9611000000002</v>
      </c>
      <c r="AU31" s="335">
        <f>AT31/AS31*100</f>
        <v>60.943722223640776</v>
      </c>
      <c r="AV31" s="337">
        <f>SUM(AV14:AV29)</f>
        <v>238</v>
      </c>
      <c r="AW31" s="337">
        <f>SUM(AW14:AW29)</f>
        <v>171.44542999999999</v>
      </c>
      <c r="AX31" s="335">
        <f>AW31/AV31*100</f>
        <v>72.035894957983189</v>
      </c>
      <c r="AY31" s="337">
        <f>SUM(AY14:AY29)</f>
        <v>0</v>
      </c>
      <c r="AZ31" s="337">
        <f>SUM(AZ14:AZ29)</f>
        <v>0</v>
      </c>
      <c r="BA31" s="335" t="e">
        <f>AZ31/AY31*100</f>
        <v>#DIV/0!</v>
      </c>
      <c r="BB31" s="335">
        <f>SUM(BB14:BB29)</f>
        <v>510</v>
      </c>
      <c r="BC31" s="335">
        <f>SUM(BC14:BC29)</f>
        <v>472.98112000000003</v>
      </c>
      <c r="BD31" s="298">
        <f t="shared" si="29"/>
        <v>92.741396078431379</v>
      </c>
      <c r="BE31" s="298">
        <f>SUM(BE14:BE29)</f>
        <v>0</v>
      </c>
      <c r="BF31" s="298">
        <f>SUM(BF14:BF29)</f>
        <v>0.35255999999999998</v>
      </c>
      <c r="BG31" s="298" t="e">
        <f>BF31/BE31*100</f>
        <v>#DIV/0!</v>
      </c>
      <c r="BH31" s="336">
        <f>SUM(BH14:BH29)</f>
        <v>1895.1999999999998</v>
      </c>
      <c r="BI31" s="337">
        <f>SUM(BI14:BI29)</f>
        <v>1920.6414</v>
      </c>
      <c r="BJ31" s="337">
        <f t="shared" si="30"/>
        <v>101.34241241029972</v>
      </c>
      <c r="BK31" s="337">
        <f>SUM(BK14:BK29)</f>
        <v>0</v>
      </c>
      <c r="BL31" s="337">
        <f>SUM(BL14:BL29)</f>
        <v>0</v>
      </c>
      <c r="BM31" s="335" t="e">
        <f>BL31/BK31*100</f>
        <v>#DIV/0!</v>
      </c>
      <c r="BN31" s="335">
        <f>SUM(BN14:BN29)</f>
        <v>0</v>
      </c>
      <c r="BO31" s="335">
        <f>BO15+BO27+BO28+BO19+BO22+BO26+BO18</f>
        <v>0</v>
      </c>
      <c r="BP31" s="335" t="e">
        <f>BO31/BN31*100</f>
        <v>#DIV/0!</v>
      </c>
      <c r="BQ31" s="335">
        <f>BQ14+BQ15+BQ16+BQ17+BQ18+BQ19+BQ20+BQ21+BQ22+BQ23+BQ24+BQ25+BQ26+BQ27+BQ28+BQ29</f>
        <v>0</v>
      </c>
      <c r="BR31" s="335">
        <f>BR14+BR15+BR16+BR17+BR18+BR19+BR20+BR21+BR22+BR23+BR24+BR25+BR26+BR27+BR28+BR29</f>
        <v>24.600989999999999</v>
      </c>
      <c r="BS31" s="335" t="e">
        <f>BR31/BQ31*100</f>
        <v>#DIV/0!</v>
      </c>
      <c r="BT31" s="337">
        <f>SUM(BT14:BT29)</f>
        <v>0</v>
      </c>
      <c r="BU31" s="337">
        <f>SUM(BU14:BU29)</f>
        <v>0</v>
      </c>
      <c r="BV31" s="335" t="e">
        <f>BU31/BT31*100</f>
        <v>#DIV/0!</v>
      </c>
      <c r="BW31" s="335">
        <f t="shared" ref="BW31:CB31" si="58">SUM(BW14:BW29)</f>
        <v>0</v>
      </c>
      <c r="BX31" s="335"/>
      <c r="BY31" s="335" t="e">
        <f t="shared" si="58"/>
        <v>#DIV/0!</v>
      </c>
      <c r="BZ31" s="335">
        <f t="shared" si="58"/>
        <v>0</v>
      </c>
      <c r="CA31" s="335">
        <f t="shared" si="58"/>
        <v>0</v>
      </c>
      <c r="CB31" s="339" t="e">
        <f t="shared" si="58"/>
        <v>#DIV/0!</v>
      </c>
      <c r="CC31" s="479">
        <f>SUM(CC14:CC29)</f>
        <v>194546.62244000004</v>
      </c>
      <c r="CD31" s="337">
        <f>SUM(CD14:CD29)</f>
        <v>71835.618489999993</v>
      </c>
      <c r="CE31" s="337">
        <f t="shared" si="56"/>
        <v>36.924628959906386</v>
      </c>
      <c r="CF31" s="337">
        <f>SUM(CF14:CF29)</f>
        <v>53257.100000000006</v>
      </c>
      <c r="CG31" s="337">
        <f>SUM(CG14:CG29)</f>
        <v>31066.643999999997</v>
      </c>
      <c r="CH31" s="337">
        <f>CG31/CF31*100</f>
        <v>58.333337714595793</v>
      </c>
      <c r="CI31" s="336">
        <f>SUM(CI14:CI29)</f>
        <v>0</v>
      </c>
      <c r="CJ31" s="462">
        <f>SUM(CJ14:CJ29)</f>
        <v>0</v>
      </c>
      <c r="CK31" s="462" t="e">
        <f>CJ31/CI31*100</f>
        <v>#DIV/0!</v>
      </c>
      <c r="CL31" s="337">
        <f>SUM(CL14:CL29)</f>
        <v>109044.74618000002</v>
      </c>
      <c r="CM31" s="337">
        <f>SUM(CM14:CM29)</f>
        <v>33191.315110000003</v>
      </c>
      <c r="CN31" s="337">
        <f>CM31/CL31*100</f>
        <v>30.438252435574608</v>
      </c>
      <c r="CO31" s="337">
        <f>SUM(CO14:CO29)</f>
        <v>2469.1</v>
      </c>
      <c r="CP31" s="337">
        <f>SUM(CP14:CP29)</f>
        <v>1638.0315000000003</v>
      </c>
      <c r="CQ31" s="337">
        <f t="shared" si="8"/>
        <v>66.341237697946625</v>
      </c>
      <c r="CR31" s="467">
        <f>SUM(CR14:CR29)</f>
        <v>22296.228210000001</v>
      </c>
      <c r="CS31" s="452">
        <f>SUM(CS14:CS29)</f>
        <v>2047.6563699999999</v>
      </c>
      <c r="CT31" s="337">
        <f>CS31/CR31*100</f>
        <v>9.1838689069463904</v>
      </c>
      <c r="CU31" s="337">
        <f>SUM(CU14:CU29)</f>
        <v>7479.4480500000009</v>
      </c>
      <c r="CV31" s="337">
        <f>SUM(CV14:CV29)</f>
        <v>3891.9715099999999</v>
      </c>
      <c r="CW31" s="337">
        <f t="shared" si="9"/>
        <v>52.035544387530031</v>
      </c>
      <c r="CX31" s="337">
        <f>SUM(CX14:CX29)</f>
        <v>0</v>
      </c>
      <c r="CY31" s="337">
        <f>SUM(CY14:CY29)</f>
        <v>0</v>
      </c>
      <c r="CZ31" s="337" t="e">
        <f>CY31/CX31*100</f>
        <v>#DIV/0!</v>
      </c>
      <c r="DA31" s="337">
        <f>SUM(DA14:DA29)</f>
        <v>0</v>
      </c>
      <c r="DB31" s="337">
        <f>SUM(DB14:DB29)</f>
        <v>0</v>
      </c>
      <c r="DC31" s="335" t="e">
        <f>DB31/DA31*100</f>
        <v>#DIV/0!</v>
      </c>
      <c r="DD31" s="335">
        <f>DD14+DD15+DD16+DD17+DD18+DD19+DD20+DD21+DD22+DD23+DD24+DD25+DD26+DD27+DD28+DD29</f>
        <v>0</v>
      </c>
      <c r="DE31" s="335">
        <f>DE14+DE15+DE16+DE17+DE18+DE19+DE20+DE21+DE22+DE23+DE24+DE25+DE26+DE27+DE28+DE29</f>
        <v>0</v>
      </c>
      <c r="DF31" s="335" t="e">
        <f>DE31/DD31*100</f>
        <v>#DIV/0!</v>
      </c>
      <c r="DG31" s="335">
        <f>DG14+DG15+DG16+DG17+DG18+DG19+DG20+DG21+DG22+DG23+DG24+DG25+DG26+DG27+DG28+DG29</f>
        <v>0</v>
      </c>
      <c r="DH31" s="335">
        <f>DH14+DH15+DH16+DH17+DH18+DH19+DH20+DH21+DH22+DH23+DH24+DH25+DH26+DH27+DH28+DH29</f>
        <v>0</v>
      </c>
      <c r="DI31" s="335">
        <v>0</v>
      </c>
      <c r="DJ31" s="336">
        <f>SUM(DJ14:DJ29)</f>
        <v>250874.61652000004</v>
      </c>
      <c r="DK31" s="336">
        <f>SUM(DK14:DK29)</f>
        <v>94549.426500000001</v>
      </c>
      <c r="DL31" s="335">
        <f>DK31/DJ31*100</f>
        <v>37.687920687847829</v>
      </c>
      <c r="DM31" s="336">
        <f>SUM(DM14:DM29)</f>
        <v>28079.058130000005</v>
      </c>
      <c r="DN31" s="458">
        <f>SUM(DN14:DN29)</f>
        <v>13675.328709999998</v>
      </c>
      <c r="DO31" s="335">
        <f>DN31/DM31*100</f>
        <v>48.702946682492573</v>
      </c>
      <c r="DP31" s="337">
        <f>SUM(DP14:DP29)</f>
        <v>27547.72</v>
      </c>
      <c r="DQ31" s="336">
        <f>SUM(DQ14:DQ29)</f>
        <v>13394.42258</v>
      </c>
      <c r="DR31" s="335">
        <f>DQ31/DP31*100</f>
        <v>48.622617697580779</v>
      </c>
      <c r="DS31" s="337">
        <f>SUM(DS14:DS29)</f>
        <v>0</v>
      </c>
      <c r="DT31" s="337">
        <f>SUM(DT14:DT29)</f>
        <v>0</v>
      </c>
      <c r="DU31" s="335" t="e">
        <f>DT31/DS31*100</f>
        <v>#DIV/0!</v>
      </c>
      <c r="DV31" s="340">
        <f>SUM(DV14:DV29)</f>
        <v>145</v>
      </c>
      <c r="DW31" s="335">
        <f>SUM(DW14:DW29)</f>
        <v>0</v>
      </c>
      <c r="DX31" s="335">
        <f>DW31/DV31*100</f>
        <v>0</v>
      </c>
      <c r="DY31" s="335">
        <f>SUM(DY14:DY29)</f>
        <v>386.33812999999992</v>
      </c>
      <c r="DZ31" s="335">
        <f>SUM(DZ14:DZ29)</f>
        <v>280.90612999999996</v>
      </c>
      <c r="EA31" s="298">
        <f>DZ31/DY31*100</f>
        <v>72.709916052034529</v>
      </c>
      <c r="EB31" s="335">
        <f>SUM(EB14:EB29)</f>
        <v>2404.8000000000002</v>
      </c>
      <c r="EC31" s="340">
        <f>SUM(EC14:EC29)</f>
        <v>1053.6747800000003</v>
      </c>
      <c r="ED31" s="337">
        <f t="shared" si="50"/>
        <v>43.81548486360613</v>
      </c>
      <c r="EE31" s="340">
        <f>SUM(EE14:EE29)</f>
        <v>1024.9113400000001</v>
      </c>
      <c r="EF31" s="340">
        <f>SUM(EF14:EF29)</f>
        <v>469.13270999999997</v>
      </c>
      <c r="EG31" s="298">
        <f t="shared" si="51"/>
        <v>45.773004131264656</v>
      </c>
      <c r="EH31" s="337">
        <f>SUM(EH14:EH29)</f>
        <v>66324.229290000003</v>
      </c>
      <c r="EI31" s="336">
        <f>SUM(EI14:EI29)</f>
        <v>22136.766250000001</v>
      </c>
      <c r="EJ31" s="335">
        <f>EI31/EH31*100</f>
        <v>33.376590255135703</v>
      </c>
      <c r="EK31" s="337">
        <f>SUM(EK14:EK29)</f>
        <v>113170.29192000002</v>
      </c>
      <c r="EL31" s="336">
        <f>SUM(EL14:EL29)</f>
        <v>38585.144070000002</v>
      </c>
      <c r="EM31" s="335">
        <f>EL31/EK31*100</f>
        <v>34.094764107594429</v>
      </c>
      <c r="EN31" s="336">
        <f>SUM(EN14:EN29)</f>
        <v>39581.215839999997</v>
      </c>
      <c r="EO31" s="336">
        <f>SUM(EO14:EO29)</f>
        <v>18448.965980000001</v>
      </c>
      <c r="EP31" s="335">
        <f>EO31/EN31*100</f>
        <v>46.610407458367767</v>
      </c>
      <c r="EQ31" s="336">
        <f>SUM(EQ14:EQ29)</f>
        <v>0</v>
      </c>
      <c r="ER31" s="336">
        <f>SUM(ER14:ER29)</f>
        <v>0</v>
      </c>
      <c r="ES31" s="335" t="e">
        <f>ER31/EQ31*100</f>
        <v>#DIV/0!</v>
      </c>
      <c r="ET31" s="337">
        <f>SUM(ET14:ET29)</f>
        <v>290.11</v>
      </c>
      <c r="EU31" s="337">
        <f>SUM(EU14:EU29)</f>
        <v>180.41400000000002</v>
      </c>
      <c r="EV31" s="335">
        <f>EU31/ET31*100</f>
        <v>62.188135534797148</v>
      </c>
      <c r="EW31" s="335">
        <f>SUM(EW14:EW29)</f>
        <v>0</v>
      </c>
      <c r="EX31" s="338">
        <f>SUM(EX14:EX29)</f>
        <v>0</v>
      </c>
      <c r="EY31" s="298" t="e">
        <f>EX31/EW31*100</f>
        <v>#DIV/0!</v>
      </c>
      <c r="EZ31" s="340">
        <f>SUM(EZ14:EZ29)</f>
        <v>-12123.087440000005</v>
      </c>
      <c r="FA31" s="335">
        <f>SUM(FA14:FA29)</f>
        <v>-2515.5778999999948</v>
      </c>
      <c r="FB31" s="298">
        <f>FA31/EZ31*100</f>
        <v>20.750307316103907</v>
      </c>
    </row>
    <row r="32" spans="1:173" s="165" customFormat="1" ht="27.75" customHeight="1">
      <c r="C32" s="164">
        <v>238751.52908000001</v>
      </c>
      <c r="D32" s="164">
        <v>92033.848599999998</v>
      </c>
      <c r="E32" s="164"/>
      <c r="F32" s="164">
        <v>44204.906640000001</v>
      </c>
      <c r="G32" s="164">
        <v>20198.23011</v>
      </c>
      <c r="H32" s="164"/>
      <c r="I32" s="164"/>
      <c r="J32" s="164"/>
      <c r="K32" s="164"/>
      <c r="L32" s="164">
        <v>6540</v>
      </c>
      <c r="M32" s="164">
        <v>3747.8845299999998</v>
      </c>
      <c r="N32" s="164"/>
      <c r="O32" s="164">
        <v>3854.9569999999999</v>
      </c>
      <c r="P32" s="164">
        <v>3327.0738299999998</v>
      </c>
      <c r="Q32" s="164"/>
      <c r="R32" s="164">
        <v>41.338000000000001</v>
      </c>
      <c r="S32" s="164">
        <v>19.576090000000001</v>
      </c>
      <c r="T32" s="164"/>
      <c r="U32" s="164">
        <v>6438.7049999999999</v>
      </c>
      <c r="V32" s="164">
        <v>3844.7767100000001</v>
      </c>
      <c r="W32" s="164"/>
      <c r="X32" s="164" t="e">
        <f>#REF!-X31</f>
        <v>#REF!</v>
      </c>
      <c r="Y32" s="164">
        <v>-385.21679</v>
      </c>
      <c r="Z32" s="164"/>
      <c r="AA32" s="164">
        <v>465</v>
      </c>
      <c r="AB32" s="164">
        <v>548.47146999999995</v>
      </c>
      <c r="AC32" s="164"/>
      <c r="AD32" s="164">
        <v>6780</v>
      </c>
      <c r="AE32" s="164">
        <v>1149.2905000000001</v>
      </c>
      <c r="AF32" s="164"/>
      <c r="AG32" s="164">
        <v>15060.696</v>
      </c>
      <c r="AH32" s="164">
        <v>3927.1500799999999</v>
      </c>
      <c r="AI32" s="164"/>
      <c r="AJ32" s="164">
        <v>97</v>
      </c>
      <c r="AK32" s="164">
        <v>37.590000000000003</v>
      </c>
      <c r="AL32" s="164"/>
      <c r="AM32" s="164" t="e">
        <f>#REF!-AM31</f>
        <v>#REF!</v>
      </c>
      <c r="AN32" s="164">
        <v>3.65E-3</v>
      </c>
      <c r="AO32" s="164"/>
      <c r="AP32" s="164" t="e">
        <f>#REF!-AP31</f>
        <v>#REF!</v>
      </c>
      <c r="AQ32" s="164" t="e">
        <f>#REF!-AQ31</f>
        <v>#REF!</v>
      </c>
      <c r="AR32" s="164"/>
      <c r="AS32" s="164">
        <v>2284.01064</v>
      </c>
      <c r="AT32" s="164">
        <v>1391.9611</v>
      </c>
      <c r="AU32" s="164"/>
      <c r="AV32" s="164">
        <v>238</v>
      </c>
      <c r="AW32" s="164">
        <v>171.44542999999999</v>
      </c>
      <c r="AX32" s="164"/>
      <c r="AY32" s="164" t="e">
        <f>#REF!-AY31</f>
        <v>#REF!</v>
      </c>
      <c r="AZ32" s="164" t="e">
        <f>#REF!-AZ31</f>
        <v>#REF!</v>
      </c>
      <c r="BA32" s="164" t="e">
        <f>#REF!-BA31</f>
        <v>#REF!</v>
      </c>
      <c r="BB32" s="164">
        <v>510</v>
      </c>
      <c r="BC32" s="164">
        <v>472.98111999999998</v>
      </c>
      <c r="BD32" s="164"/>
      <c r="BE32" s="164" t="e">
        <f>#REF!-BE31</f>
        <v>#REF!</v>
      </c>
      <c r="BF32" s="164" t="e">
        <f>#REF!-BF31</f>
        <v>#REF!</v>
      </c>
      <c r="BG32" s="164" t="e">
        <f>#REF!-BG31</f>
        <v>#REF!</v>
      </c>
      <c r="BH32" s="164">
        <v>1895.2</v>
      </c>
      <c r="BI32" s="164">
        <v>1920.6414</v>
      </c>
      <c r="BJ32" s="164"/>
      <c r="BK32" s="164" t="e">
        <f>#REF!-BK31</f>
        <v>#REF!</v>
      </c>
      <c r="BL32" s="164" t="e">
        <f>#REF!-BL31</f>
        <v>#REF!</v>
      </c>
      <c r="BM32" s="164" t="e">
        <f>#REF!-BM31</f>
        <v>#REF!</v>
      </c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>
        <v>0</v>
      </c>
      <c r="BR32" s="164">
        <v>24.600989999999999</v>
      </c>
      <c r="BS32" s="164"/>
      <c r="BT32" s="164" t="e">
        <f>#REF!-BT31</f>
        <v>#REF!</v>
      </c>
      <c r="BU32" s="164">
        <v>0</v>
      </c>
      <c r="BV32" s="164"/>
      <c r="BW32" s="164" t="e">
        <f>#REF!-BW31</f>
        <v>#REF!</v>
      </c>
      <c r="BX32" s="164" t="e">
        <f>#REF!-BX31</f>
        <v>#REF!</v>
      </c>
      <c r="BY32" s="164" t="e">
        <f>#REF!-BY31</f>
        <v>#REF!</v>
      </c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>
        <v>194546.62244000001</v>
      </c>
      <c r="CD32" s="164">
        <v>71835.618489999993</v>
      </c>
      <c r="CE32" s="164"/>
      <c r="CF32" s="164">
        <v>53257.1</v>
      </c>
      <c r="CG32" s="164">
        <v>31066.644</v>
      </c>
      <c r="CH32" s="164"/>
      <c r="CI32" s="164">
        <v>0</v>
      </c>
      <c r="CJ32" s="164">
        <v>0</v>
      </c>
      <c r="CK32" s="164"/>
      <c r="CL32" s="164">
        <v>109044.74618</v>
      </c>
      <c r="CM32" s="164">
        <v>33191.315110000003</v>
      </c>
      <c r="CN32" s="164"/>
      <c r="CO32" s="164">
        <v>2469.1</v>
      </c>
      <c r="CP32" s="164">
        <v>1638.0315000000001</v>
      </c>
      <c r="CQ32" s="164"/>
      <c r="CR32" s="164">
        <v>22296.228210000001</v>
      </c>
      <c r="CS32" s="164">
        <v>2047.6563699999999</v>
      </c>
      <c r="CT32" s="164"/>
      <c r="CU32" s="164">
        <v>7479.44805</v>
      </c>
      <c r="CV32" s="164">
        <v>3891.9715099999999</v>
      </c>
      <c r="CW32" s="164"/>
      <c r="CX32" s="164" t="e">
        <f>#REF!-CX31</f>
        <v>#REF!</v>
      </c>
      <c r="CY32" s="164">
        <v>0</v>
      </c>
      <c r="CZ32" s="164"/>
      <c r="DA32" s="164" t="e">
        <f>#REF!-DA31</f>
        <v>#REF!</v>
      </c>
      <c r="DB32" s="164" t="e">
        <f>#REF!-DB31</f>
        <v>#REF!</v>
      </c>
      <c r="DC32" s="164" t="e">
        <f>#REF!-DC31</f>
        <v>#REF!</v>
      </c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/>
      <c r="DJ32" s="164">
        <v>250874.61652000001</v>
      </c>
      <c r="DK32" s="164">
        <v>94549.426500000001</v>
      </c>
      <c r="DL32" s="164"/>
      <c r="DM32" s="164">
        <v>28079.058130000001</v>
      </c>
      <c r="DN32" s="164">
        <v>13675.32871</v>
      </c>
      <c r="DO32" s="164"/>
      <c r="DP32" s="164">
        <v>27547.72</v>
      </c>
      <c r="DQ32" s="164">
        <v>13394.42258</v>
      </c>
      <c r="DR32" s="164"/>
      <c r="DS32" s="164"/>
      <c r="DT32" s="164">
        <v>0</v>
      </c>
      <c r="DU32" s="164"/>
      <c r="DV32" s="164">
        <v>145</v>
      </c>
      <c r="DW32" s="164" t="e">
        <f>#REF!-DW31</f>
        <v>#REF!</v>
      </c>
      <c r="DX32" s="164"/>
      <c r="DY32" s="164">
        <v>386.33812999999998</v>
      </c>
      <c r="DZ32" s="164">
        <v>280.90613000000002</v>
      </c>
      <c r="EA32" s="164"/>
      <c r="EB32" s="164">
        <v>2404.8000000000002</v>
      </c>
      <c r="EC32" s="164">
        <v>1053.6747800000001</v>
      </c>
      <c r="ED32" s="164"/>
      <c r="EE32" s="164">
        <v>1024.9113400000001</v>
      </c>
      <c r="EF32" s="164">
        <v>469.13270999999997</v>
      </c>
      <c r="EG32" s="164"/>
      <c r="EH32" s="164">
        <v>66324.229290000003</v>
      </c>
      <c r="EI32" s="164">
        <v>22136.766250000001</v>
      </c>
      <c r="EJ32" s="164"/>
      <c r="EK32" s="164">
        <v>113170.29192</v>
      </c>
      <c r="EL32" s="164">
        <v>38585.144070000002</v>
      </c>
      <c r="EM32" s="164"/>
      <c r="EN32" s="164">
        <v>39581.215839999997</v>
      </c>
      <c r="EO32" s="164">
        <v>18448.965980000001</v>
      </c>
      <c r="EP32" s="164"/>
      <c r="EQ32" s="164">
        <v>0</v>
      </c>
      <c r="ER32" s="164">
        <v>0</v>
      </c>
      <c r="ES32" s="164"/>
      <c r="ET32" s="164">
        <v>290.11</v>
      </c>
      <c r="EU32" s="164">
        <v>180.41399999999999</v>
      </c>
      <c r="EV32" s="164"/>
      <c r="EW32" s="164" t="e">
        <f>#REF!-EW31</f>
        <v>#REF!</v>
      </c>
      <c r="EX32" s="164" t="e">
        <f>#REF!-EX31</f>
        <v>#REF!</v>
      </c>
      <c r="EY32" s="164"/>
      <c r="EZ32" s="164">
        <v>-11900.55675</v>
      </c>
      <c r="FA32" s="164">
        <v>-2515.5779000000002</v>
      </c>
    </row>
    <row r="33" spans="3:158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>
        <f>O32-O31</f>
        <v>0</v>
      </c>
      <c r="P33" s="164">
        <f>P32-P31</f>
        <v>0</v>
      </c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 t="e">
        <f>X32-X31</f>
        <v>#REF!</v>
      </c>
      <c r="Y33" s="164">
        <f>Y32-Y31</f>
        <v>0</v>
      </c>
      <c r="Z33" s="164"/>
      <c r="AA33" s="164">
        <f>AA32-AA31</f>
        <v>0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 t="e">
        <f t="shared" ref="AM33:AT33" si="59">AM32-AM31</f>
        <v>#REF!</v>
      </c>
      <c r="AN33" s="164">
        <f t="shared" si="59"/>
        <v>0</v>
      </c>
      <c r="AO33" s="164" t="e">
        <f t="shared" si="59"/>
        <v>#DIV/0!</v>
      </c>
      <c r="AP33" s="164" t="e">
        <f t="shared" si="59"/>
        <v>#REF!</v>
      </c>
      <c r="AQ33" s="164" t="e">
        <f t="shared" si="59"/>
        <v>#REF!</v>
      </c>
      <c r="AR33" s="164" t="e">
        <f t="shared" si="59"/>
        <v>#DIV/0!</v>
      </c>
      <c r="AS33" s="164">
        <f t="shared" si="59"/>
        <v>0</v>
      </c>
      <c r="AT33" s="164">
        <f t="shared" si="59"/>
        <v>0</v>
      </c>
      <c r="AU33" s="164"/>
      <c r="AV33" s="164">
        <f>AV32-AV31</f>
        <v>0</v>
      </c>
      <c r="AW33" s="164">
        <f>AW32-AW31</f>
        <v>0</v>
      </c>
      <c r="AX33" s="164"/>
      <c r="AY33" s="164" t="e">
        <f>AY32-AY31</f>
        <v>#REF!</v>
      </c>
      <c r="AZ33" s="164" t="e">
        <f>AZ32-AZ31</f>
        <v>#REF!</v>
      </c>
      <c r="BA33" s="164" t="e">
        <f>BA32-BA31</f>
        <v>#REF!</v>
      </c>
      <c r="BB33" s="164">
        <f>BB32-BB31</f>
        <v>0</v>
      </c>
      <c r="BC33" s="164">
        <f>BC32-BC31</f>
        <v>0</v>
      </c>
      <c r="BD33" s="164"/>
      <c r="BE33" s="164" t="e">
        <f>BE32-BE31</f>
        <v>#REF!</v>
      </c>
      <c r="BF33" s="164" t="e">
        <f>BF32-BF31</f>
        <v>#REF!</v>
      </c>
      <c r="BG33" s="164" t="e">
        <f>BG32-BG31</f>
        <v>#REF!</v>
      </c>
      <c r="BH33" s="164">
        <f>BH32-BH31</f>
        <v>0</v>
      </c>
      <c r="BI33" s="164">
        <f>BI32-BI31</f>
        <v>0</v>
      </c>
      <c r="BJ33" s="164"/>
      <c r="BK33" s="164" t="e">
        <f t="shared" ref="BK33:BR33" si="60">BK32-BK31</f>
        <v>#REF!</v>
      </c>
      <c r="BL33" s="164" t="e">
        <f t="shared" si="60"/>
        <v>#REF!</v>
      </c>
      <c r="BM33" s="164" t="e">
        <f t="shared" si="60"/>
        <v>#REF!</v>
      </c>
      <c r="BN33" s="164" t="e">
        <f t="shared" si="60"/>
        <v>#REF!</v>
      </c>
      <c r="BO33" s="164" t="e">
        <f t="shared" si="60"/>
        <v>#REF!</v>
      </c>
      <c r="BP33" s="164" t="e">
        <f t="shared" si="60"/>
        <v>#REF!</v>
      </c>
      <c r="BQ33" s="164">
        <f t="shared" si="60"/>
        <v>0</v>
      </c>
      <c r="BR33" s="164">
        <f t="shared" si="60"/>
        <v>0</v>
      </c>
      <c r="BS33" s="164"/>
      <c r="BT33" s="164" t="e">
        <f>BT32-BT31</f>
        <v>#REF!</v>
      </c>
      <c r="BU33" s="164">
        <f>BU32-BU31</f>
        <v>0</v>
      </c>
      <c r="BV33" s="164"/>
      <c r="BW33" s="164" t="e">
        <f t="shared" ref="BW33:CC33" si="61">BW32-BW31</f>
        <v>#REF!</v>
      </c>
      <c r="BX33" s="164" t="e">
        <f t="shared" si="61"/>
        <v>#REF!</v>
      </c>
      <c r="BY33" s="164" t="e">
        <f t="shared" si="61"/>
        <v>#REF!</v>
      </c>
      <c r="BZ33" s="164" t="e">
        <f t="shared" si="61"/>
        <v>#REF!</v>
      </c>
      <c r="CA33" s="164" t="e">
        <f t="shared" si="61"/>
        <v>#REF!</v>
      </c>
      <c r="CB33" s="164" t="e">
        <f t="shared" si="61"/>
        <v>#REF!</v>
      </c>
      <c r="CC33" s="164">
        <f t="shared" si="61"/>
        <v>0</v>
      </c>
      <c r="CD33" s="164">
        <f>SUM(CD32-CD31)</f>
        <v>0</v>
      </c>
      <c r="CE33" s="164"/>
      <c r="CF33" s="164">
        <f>CF32-CF31</f>
        <v>0</v>
      </c>
      <c r="CG33" s="164">
        <f>CG32-CG31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 t="e">
        <f>CX32-CX31</f>
        <v>#REF!</v>
      </c>
      <c r="CY33" s="164">
        <f>CY32-CY31</f>
        <v>0</v>
      </c>
      <c r="CZ33" s="164"/>
      <c r="DA33" s="164" t="e">
        <f t="shared" ref="DA33:DK33" si="62">DA32-DA31</f>
        <v>#REF!</v>
      </c>
      <c r="DB33" s="164" t="e">
        <f t="shared" si="62"/>
        <v>#REF!</v>
      </c>
      <c r="DC33" s="164" t="e">
        <f t="shared" si="62"/>
        <v>#REF!</v>
      </c>
      <c r="DD33" s="164" t="e">
        <f t="shared" si="62"/>
        <v>#REF!</v>
      </c>
      <c r="DE33" s="164" t="e">
        <f t="shared" si="62"/>
        <v>#REF!</v>
      </c>
      <c r="DF33" s="164" t="e">
        <f t="shared" si="62"/>
        <v>#REF!</v>
      </c>
      <c r="DG33" s="164" t="e">
        <f t="shared" si="62"/>
        <v>#REF!</v>
      </c>
      <c r="DH33" s="164" t="e">
        <f t="shared" si="62"/>
        <v>#REF!</v>
      </c>
      <c r="DI33" s="164">
        <f t="shared" si="62"/>
        <v>0</v>
      </c>
      <c r="DJ33" s="164">
        <f t="shared" si="62"/>
        <v>0</v>
      </c>
      <c r="DK33" s="164">
        <f t="shared" si="62"/>
        <v>0</v>
      </c>
      <c r="DL33" s="164"/>
      <c r="DM33" s="164">
        <f>DM32-DM31</f>
        <v>0</v>
      </c>
      <c r="DN33" s="164">
        <f>DN32-DN31</f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 t="e">
        <f>DW32-DW31</f>
        <v>#REF!</v>
      </c>
      <c r="DX33" s="164"/>
      <c r="DY33" s="164">
        <f>DY32-DY31</f>
        <v>0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 t="e">
        <f>EW32-EW31</f>
        <v>#REF!</v>
      </c>
      <c r="EX33" s="164" t="e">
        <f>EX32-EX31</f>
        <v>#REF!</v>
      </c>
      <c r="EY33" s="164"/>
      <c r="EZ33" s="164">
        <f>EZ32-EZ31</f>
        <v>222.53069000000505</v>
      </c>
      <c r="FA33" s="164">
        <f>FA32-FA31</f>
        <v>-5.4569682106375694E-12</v>
      </c>
      <c r="FB33" s="166"/>
    </row>
  </sheetData>
  <customSheetViews>
    <customSheetView guid="{B30CE22D-C12F-4E12-8BB9-3AAE0A6991CC}" scale="75" showPageBreaks="1" fitToPage="1" printArea="1" hiddenColumns="1" view="pageBreakPreview" topLeftCell="A4">
      <selection activeCell="I14" sqref="I14:I29"/>
      <colBreaks count="6" manualBreakCount="6">
        <brk id="20" max="30" man="1"/>
        <brk id="38" max="30" man="1"/>
        <brk id="62" max="29" man="1"/>
        <brk id="95" max="30" man="1"/>
        <brk id="119" max="30" man="1"/>
        <brk id="137" max="30" man="1"/>
      </colBreaks>
      <pageMargins left="0.70866141732283472" right="0.19685039370078741" top="0.74803149606299213" bottom="0.74803149606299213" header="0.31496062992125984" footer="0.31496062992125984"/>
      <pageSetup paperSize="9" scale="51" fitToWidth="7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61528DAC-5C4C-48F4-ADE2-8A724B05A086}" scale="70" showPageBreaks="1" printArea="1" hiddenColumns="1" view="pageBreakPreview" topLeftCell="ED2">
      <selection activeCell="C14" sqref="C14:D30"/>
      <colBreaks count="5" manualBreakCount="5">
        <brk id="20" max="30" man="1"/>
        <brk id="41" max="30" man="1"/>
        <brk id="83" max="30" man="1"/>
        <brk id="113" max="30" man="1"/>
        <brk id="137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3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10"/>
    </customSheetView>
  </customSheetViews>
  <mergeCells count="69">
    <mergeCell ref="CR9:CT11"/>
    <mergeCell ref="CX9:CZ11"/>
    <mergeCell ref="DG9:DI11"/>
    <mergeCell ref="EE9:EG11"/>
    <mergeCell ref="DP11:DR11"/>
    <mergeCell ref="DY11:EA11"/>
    <mergeCell ref="EZ7:FB11"/>
    <mergeCell ref="DM8:EY8"/>
    <mergeCell ref="DJ7:DL11"/>
    <mergeCell ref="DS11:DU11"/>
    <mergeCell ref="DV11:DX11"/>
    <mergeCell ref="EW9:EY11"/>
    <mergeCell ref="EH9:EJ11"/>
    <mergeCell ref="DM7:EY7"/>
    <mergeCell ref="DM9:DO11"/>
    <mergeCell ref="ET9:EV11"/>
    <mergeCell ref="EQ9:ES11"/>
    <mergeCell ref="DP9:EA9"/>
    <mergeCell ref="EB9:ED11"/>
    <mergeCell ref="EK9:EM11"/>
    <mergeCell ref="EN9:EP11"/>
    <mergeCell ref="A31:B31"/>
    <mergeCell ref="BW9:BY11"/>
    <mergeCell ref="BQ9:BS11"/>
    <mergeCell ref="BH9:BJ11"/>
    <mergeCell ref="BK9:BM11"/>
    <mergeCell ref="AD9:AF11"/>
    <mergeCell ref="A7:A12"/>
    <mergeCell ref="O9:Q11"/>
    <mergeCell ref="U9:W11"/>
    <mergeCell ref="BT9:BV11"/>
    <mergeCell ref="AP9:AR11"/>
    <mergeCell ref="AG9:AI11"/>
    <mergeCell ref="AJ9:AL11"/>
    <mergeCell ref="BN9:BP11"/>
    <mergeCell ref="AM9:AO11"/>
    <mergeCell ref="AS9:AU11"/>
    <mergeCell ref="AG1:AI1"/>
    <mergeCell ref="L8:BA8"/>
    <mergeCell ref="AG2:AI2"/>
    <mergeCell ref="AG3:AI3"/>
    <mergeCell ref="AA1:AC1"/>
    <mergeCell ref="B5:AC5"/>
    <mergeCell ref="L6:AA6"/>
    <mergeCell ref="B4:AC4"/>
    <mergeCell ref="B7:B12"/>
    <mergeCell ref="C7:E11"/>
    <mergeCell ref="R9:T11"/>
    <mergeCell ref="X9:Z11"/>
    <mergeCell ref="AA9:AC11"/>
    <mergeCell ref="F8:H11"/>
    <mergeCell ref="AA3:AC3"/>
    <mergeCell ref="L9:N11"/>
    <mergeCell ref="DG8:DI8"/>
    <mergeCell ref="BB9:BD11"/>
    <mergeCell ref="AY9:BA11"/>
    <mergeCell ref="AV9:AX11"/>
    <mergeCell ref="BE9:BG11"/>
    <mergeCell ref="CL9:CN11"/>
    <mergeCell ref="CO9:CQ11"/>
    <mergeCell ref="CU9:CW11"/>
    <mergeCell ref="BZ9:CB11"/>
    <mergeCell ref="DD9:DF11"/>
    <mergeCell ref="CC8:CE11"/>
    <mergeCell ref="CF8:CQ8"/>
    <mergeCell ref="DA8:DC11"/>
    <mergeCell ref="CF9:CH11"/>
    <mergeCell ref="CI9:CK11"/>
    <mergeCell ref="DD8:DF8"/>
  </mergeCells>
  <phoneticPr fontId="14" type="noConversion"/>
  <pageMargins left="0.70866141732283472" right="0.19685039370078741" top="0.74803149606299213" bottom="0.74803149606299213" header="0.31496062992125984" footer="0.31496062992125984"/>
  <pageSetup paperSize="9" scale="51" fitToWidth="7" orientation="landscape" r:id="rId11"/>
  <colBreaks count="6" manualBreakCount="6">
    <brk id="20" max="30" man="1"/>
    <brk id="38" max="30" man="1"/>
    <brk id="62" max="29" man="1"/>
    <brk id="95" max="30" man="1"/>
    <brk id="119" max="30" man="1"/>
    <brk id="137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</customSheetViews>
  <pageMargins left="0.7" right="0.7" top="0.75" bottom="0.75" header="0.3" footer="0.3"/>
  <pageSetup paperSize="9" orientation="portrait" r:id="rId9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C539BE6-C8E0-453F-AB5E-9E58094195EA}" state="hidden" topLeftCell="A16">
      <pageMargins left="0.7" right="0.7" top="0.75" bottom="0.75" header="0.3" footer="0.3"/>
    </customSheetView>
    <customSheetView guid="{61528DAC-5C4C-48F4-ADE2-8A724B05A086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</worksheet>
</file>

<file path=xl/worksheets/sheet22.xml><?xml version="1.0" encoding="utf-8"?>
<worksheet xmlns="http://schemas.openxmlformats.org/spreadsheetml/2006/main" xmlns:r="http://schemas.openxmlformats.org/officeDocument/2006/relationships">
  <dimension ref="C4:F19"/>
  <sheetViews>
    <sheetView workbookViewId="0">
      <selection activeCell="F4" sqref="F4:F19"/>
    </sheetView>
  </sheetViews>
  <sheetFormatPr defaultRowHeight="12.75"/>
  <sheetData>
    <row r="4" spans="3:6">
      <c r="C4">
        <v>1839.6</v>
      </c>
      <c r="D4">
        <f>C4*1000</f>
        <v>1839600</v>
      </c>
      <c r="E4">
        <v>613.20000000000005</v>
      </c>
      <c r="F4">
        <f>E4*1000</f>
        <v>613200</v>
      </c>
    </row>
    <row r="5" spans="3:6">
      <c r="C5">
        <v>5604.2</v>
      </c>
      <c r="D5">
        <f t="shared" ref="D5:D19" si="0">C5*1000</f>
        <v>5604200</v>
      </c>
      <c r="E5">
        <v>1868.068</v>
      </c>
      <c r="F5">
        <f t="shared" ref="F5:F19" si="1">E5*1000</f>
        <v>1868068</v>
      </c>
    </row>
    <row r="6" spans="3:6">
      <c r="C6">
        <v>2693</v>
      </c>
      <c r="D6">
        <f t="shared" si="0"/>
        <v>2693000</v>
      </c>
      <c r="E6">
        <v>897.66800000000001</v>
      </c>
      <c r="F6">
        <f t="shared" si="1"/>
        <v>897668</v>
      </c>
    </row>
    <row r="7" spans="3:6">
      <c r="C7">
        <v>2418.1</v>
      </c>
      <c r="D7">
        <f t="shared" si="0"/>
        <v>2418100</v>
      </c>
      <c r="E7">
        <v>806.03200000000004</v>
      </c>
      <c r="F7">
        <f t="shared" si="1"/>
        <v>806032</v>
      </c>
    </row>
    <row r="8" spans="3:6">
      <c r="C8">
        <v>8286.2999999999993</v>
      </c>
      <c r="D8">
        <f t="shared" si="0"/>
        <v>8286299.9999999991</v>
      </c>
      <c r="E8">
        <v>2762.1</v>
      </c>
      <c r="F8">
        <f t="shared" si="1"/>
        <v>2762100</v>
      </c>
    </row>
    <row r="9" spans="3:6">
      <c r="C9">
        <v>1479.2</v>
      </c>
      <c r="D9">
        <f t="shared" si="0"/>
        <v>1479200</v>
      </c>
      <c r="E9">
        <v>493.06799999999998</v>
      </c>
      <c r="F9">
        <f t="shared" si="1"/>
        <v>493068</v>
      </c>
    </row>
    <row r="10" spans="3:6">
      <c r="C10">
        <v>3478.3</v>
      </c>
      <c r="D10">
        <f t="shared" si="0"/>
        <v>3478300</v>
      </c>
      <c r="E10">
        <v>1159.432</v>
      </c>
      <c r="F10">
        <f t="shared" si="1"/>
        <v>1159432</v>
      </c>
    </row>
    <row r="11" spans="3:6">
      <c r="C11">
        <v>4849.2</v>
      </c>
      <c r="D11">
        <f t="shared" si="0"/>
        <v>4849200</v>
      </c>
      <c r="E11">
        <v>1616.4</v>
      </c>
      <c r="F11">
        <f t="shared" si="1"/>
        <v>1616400</v>
      </c>
    </row>
    <row r="12" spans="3:6">
      <c r="C12">
        <v>2338.6999999999998</v>
      </c>
      <c r="D12">
        <f t="shared" si="0"/>
        <v>2338700</v>
      </c>
      <c r="E12">
        <v>779.56799999999998</v>
      </c>
      <c r="F12">
        <f t="shared" si="1"/>
        <v>779568</v>
      </c>
    </row>
    <row r="13" spans="3:6">
      <c r="C13">
        <v>2095.3000000000002</v>
      </c>
      <c r="D13">
        <f t="shared" si="0"/>
        <v>2095300.0000000002</v>
      </c>
      <c r="E13">
        <v>698.43200000000002</v>
      </c>
      <c r="F13">
        <f t="shared" si="1"/>
        <v>698432</v>
      </c>
    </row>
    <row r="14" spans="3:6">
      <c r="C14">
        <v>3395.5</v>
      </c>
      <c r="D14">
        <f t="shared" si="0"/>
        <v>3395500</v>
      </c>
      <c r="E14">
        <v>1131.8320000000001</v>
      </c>
      <c r="F14">
        <f t="shared" si="1"/>
        <v>1131832</v>
      </c>
    </row>
    <row r="15" spans="3:6">
      <c r="C15">
        <v>1897.8</v>
      </c>
      <c r="D15">
        <f t="shared" si="0"/>
        <v>1897800</v>
      </c>
      <c r="E15">
        <v>632.6</v>
      </c>
      <c r="F15">
        <f t="shared" si="1"/>
        <v>632600</v>
      </c>
    </row>
    <row r="16" spans="3:6">
      <c r="C16">
        <v>2417.4</v>
      </c>
      <c r="D16">
        <f t="shared" si="0"/>
        <v>2417400</v>
      </c>
      <c r="E16">
        <v>805.8</v>
      </c>
      <c r="F16">
        <f t="shared" si="1"/>
        <v>805800</v>
      </c>
    </row>
    <row r="17" spans="3:6">
      <c r="C17">
        <v>4903.5</v>
      </c>
      <c r="D17">
        <f t="shared" si="0"/>
        <v>4903500</v>
      </c>
      <c r="E17">
        <v>1634.5</v>
      </c>
      <c r="F17">
        <f t="shared" si="1"/>
        <v>1634500</v>
      </c>
    </row>
    <row r="18" spans="3:6">
      <c r="C18">
        <v>3431.9</v>
      </c>
      <c r="D18">
        <f t="shared" si="0"/>
        <v>3431900</v>
      </c>
      <c r="E18">
        <v>1143.9680000000001</v>
      </c>
      <c r="F18">
        <f t="shared" si="1"/>
        <v>1143968</v>
      </c>
    </row>
    <row r="19" spans="3:6">
      <c r="C19">
        <v>2129.1</v>
      </c>
      <c r="D19">
        <f t="shared" si="0"/>
        <v>2129100</v>
      </c>
      <c r="E19">
        <v>709.7</v>
      </c>
      <c r="F19">
        <f t="shared" si="1"/>
        <v>709700</v>
      </c>
    </row>
  </sheetData>
  <customSheetViews>
    <customSheetView guid="{B30CE22D-C12F-4E12-8BB9-3AAE0A6991CC}" showPageBreaks="1">
      <selection activeCell="F4" sqref="F4:F19"/>
      <pageMargins left="0.7" right="0.7" top="0.75" bottom="0.75" header="0.3" footer="0.3"/>
      <pageSetup paperSize="9" orientation="portrait" r:id="rId1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61528DAC-5C4C-48F4-ADE2-8A724B05A086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C539BE6-C8E0-453F-AB5E-9E58094195EA}" state="hidden">
      <pageMargins left="0.7" right="0.7" top="0.75" bottom="0.75" header="0.3" footer="0.3"/>
    </customSheetView>
    <customSheetView guid="{61528DAC-5C4C-48F4-ADE2-8A724B05A086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43" zoomScale="60" workbookViewId="0">
      <selection activeCell="D62" sqref="D62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32" t="s">
        <v>398</v>
      </c>
      <c r="B1" s="432"/>
      <c r="C1" s="432"/>
      <c r="D1" s="432"/>
      <c r="E1" s="432"/>
      <c r="F1" s="432"/>
    </row>
    <row r="2" spans="1:6" ht="20.25">
      <c r="A2" s="432" t="s">
        <v>415</v>
      </c>
      <c r="B2" s="432"/>
      <c r="C2" s="432"/>
      <c r="D2" s="432"/>
      <c r="E2" s="432"/>
      <c r="F2" s="432"/>
    </row>
    <row r="3" spans="1:6" ht="81">
      <c r="A3" s="357" t="s">
        <v>0</v>
      </c>
      <c r="B3" s="357" t="s">
        <v>1</v>
      </c>
      <c r="C3" s="358" t="s">
        <v>409</v>
      </c>
      <c r="D3" s="359" t="s">
        <v>416</v>
      </c>
      <c r="E3" s="358" t="s">
        <v>2</v>
      </c>
      <c r="F3" s="360" t="s">
        <v>3</v>
      </c>
    </row>
    <row r="4" spans="1:6" s="6" customFormat="1" ht="20.25">
      <c r="A4" s="361"/>
      <c r="B4" s="362" t="s">
        <v>4</v>
      </c>
      <c r="C4" s="363">
        <f>C5+C12+C17+C22+C24+C28+C7</f>
        <v>167673.60000000003</v>
      </c>
      <c r="D4" s="363">
        <f>D5+D12+D17+D22+D24+D28+D7</f>
        <v>103823.67353999999</v>
      </c>
      <c r="E4" s="363">
        <f>SUM(D4/C4*100)</f>
        <v>61.920107601912264</v>
      </c>
      <c r="F4" s="363">
        <f>SUM(D4-C4)</f>
        <v>-63849.926460000046</v>
      </c>
    </row>
    <row r="5" spans="1:6" s="6" customFormat="1" ht="20.25">
      <c r="A5" s="361">
        <v>1010000</v>
      </c>
      <c r="B5" s="362" t="s">
        <v>5</v>
      </c>
      <c r="C5" s="363">
        <f>C6</f>
        <v>135138.20000000001</v>
      </c>
      <c r="D5" s="363">
        <f>D6</f>
        <v>77506.577239999999</v>
      </c>
      <c r="E5" s="363">
        <f t="shared" ref="E5:E72" si="0">SUM(D5/C5*100)</f>
        <v>57.353566378714525</v>
      </c>
      <c r="F5" s="363">
        <f t="shared" ref="F5:F72" si="1">SUM(D5-C5)</f>
        <v>-57631.622760000013</v>
      </c>
    </row>
    <row r="6" spans="1:6" ht="20.25">
      <c r="A6" s="364">
        <v>1010200001</v>
      </c>
      <c r="B6" s="365" t="s">
        <v>225</v>
      </c>
      <c r="C6" s="366">
        <v>135138.20000000001</v>
      </c>
      <c r="D6" s="367">
        <v>77506.577239999999</v>
      </c>
      <c r="E6" s="366">
        <f t="shared" si="0"/>
        <v>57.353566378714525</v>
      </c>
      <c r="F6" s="366">
        <f t="shared" si="1"/>
        <v>-57631.622760000013</v>
      </c>
    </row>
    <row r="7" spans="1:6" ht="40.5">
      <c r="A7" s="361">
        <v>1030000</v>
      </c>
      <c r="B7" s="368" t="s">
        <v>267</v>
      </c>
      <c r="C7" s="363">
        <f>C8+C10+C9</f>
        <v>5934.2</v>
      </c>
      <c r="D7" s="363">
        <f>D8+D10+D9+D11</f>
        <v>3907.9611200000004</v>
      </c>
      <c r="E7" s="366">
        <f t="shared" si="0"/>
        <v>65.854894004246574</v>
      </c>
      <c r="F7" s="366">
        <f t="shared" si="1"/>
        <v>-2026.2388799999994</v>
      </c>
    </row>
    <row r="8" spans="1:6" ht="20.25">
      <c r="A8" s="364">
        <v>1030223001</v>
      </c>
      <c r="B8" s="365" t="s">
        <v>269</v>
      </c>
      <c r="C8" s="366">
        <v>2500</v>
      </c>
      <c r="D8" s="367">
        <v>1910.3253500000001</v>
      </c>
      <c r="E8" s="366">
        <f t="shared" si="0"/>
        <v>76.413014000000004</v>
      </c>
      <c r="F8" s="366">
        <f>SUM(D8-C8)</f>
        <v>-589.67464999999993</v>
      </c>
    </row>
    <row r="9" spans="1:6" ht="20.25">
      <c r="A9" s="364">
        <v>1030224001</v>
      </c>
      <c r="B9" s="365" t="s">
        <v>275</v>
      </c>
      <c r="C9" s="366">
        <v>21.5</v>
      </c>
      <c r="D9" s="367">
        <v>11.24014</v>
      </c>
      <c r="E9" s="366">
        <f t="shared" si="0"/>
        <v>52.279720930232557</v>
      </c>
      <c r="F9" s="366">
        <f>SUM(D9-C9)</f>
        <v>-10.25986</v>
      </c>
    </row>
    <row r="10" spans="1:6" ht="20.25">
      <c r="A10" s="364">
        <v>1030225001</v>
      </c>
      <c r="B10" s="365" t="s">
        <v>268</v>
      </c>
      <c r="C10" s="366">
        <v>3412.7</v>
      </c>
      <c r="D10" s="367">
        <v>2207.5777800000001</v>
      </c>
      <c r="E10" s="366">
        <f t="shared" si="0"/>
        <v>64.687132768775456</v>
      </c>
      <c r="F10" s="366">
        <f t="shared" si="1"/>
        <v>-1205.1222199999997</v>
      </c>
    </row>
    <row r="11" spans="1:6" ht="20.25">
      <c r="A11" s="364">
        <v>1030226001</v>
      </c>
      <c r="B11" s="365" t="s">
        <v>277</v>
      </c>
      <c r="C11" s="366">
        <v>0</v>
      </c>
      <c r="D11" s="367">
        <v>-221.18215000000001</v>
      </c>
      <c r="E11" s="366"/>
      <c r="F11" s="366">
        <f t="shared" si="1"/>
        <v>-221.18215000000001</v>
      </c>
    </row>
    <row r="12" spans="1:6" s="6" customFormat="1" ht="20.25">
      <c r="A12" s="361">
        <v>1050000</v>
      </c>
      <c r="B12" s="362" t="s">
        <v>6</v>
      </c>
      <c r="C12" s="363">
        <f>SUM(C13:C16)</f>
        <v>16500</v>
      </c>
      <c r="D12" s="363">
        <f>SUM(D13:D16)</f>
        <v>14448.042640000001</v>
      </c>
      <c r="E12" s="363">
        <f t="shared" si="0"/>
        <v>87.563894787878795</v>
      </c>
      <c r="F12" s="363">
        <f t="shared" si="1"/>
        <v>-2051.9573599999985</v>
      </c>
    </row>
    <row r="13" spans="1:6" s="6" customFormat="1" ht="20.25">
      <c r="A13" s="364">
        <v>1050100000</v>
      </c>
      <c r="B13" s="369" t="s">
        <v>402</v>
      </c>
      <c r="C13" s="366">
        <v>13100</v>
      </c>
      <c r="D13" s="366">
        <v>11711.11702</v>
      </c>
      <c r="E13" s="366">
        <f t="shared" si="0"/>
        <v>89.397839847328243</v>
      </c>
      <c r="F13" s="366">
        <f t="shared" si="1"/>
        <v>-1388.8829800000003</v>
      </c>
    </row>
    <row r="14" spans="1:6" ht="20.25">
      <c r="A14" s="364">
        <v>1050200000</v>
      </c>
      <c r="B14" s="369" t="s">
        <v>233</v>
      </c>
      <c r="C14" s="370">
        <v>0</v>
      </c>
      <c r="D14" s="367">
        <v>26.855180000000001</v>
      </c>
      <c r="E14" s="366"/>
      <c r="F14" s="366">
        <f t="shared" si="1"/>
        <v>26.855180000000001</v>
      </c>
    </row>
    <row r="15" spans="1:6" ht="23.25" customHeight="1">
      <c r="A15" s="364">
        <v>1050300000</v>
      </c>
      <c r="B15" s="369" t="s">
        <v>226</v>
      </c>
      <c r="C15" s="370">
        <v>1500</v>
      </c>
      <c r="D15" s="367">
        <v>1279.76675</v>
      </c>
      <c r="E15" s="366">
        <f t="shared" si="0"/>
        <v>85.317783333333324</v>
      </c>
      <c r="F15" s="366">
        <f t="shared" si="1"/>
        <v>-220.23325</v>
      </c>
    </row>
    <row r="16" spans="1:6" ht="40.5">
      <c r="A16" s="364">
        <v>1050400002</v>
      </c>
      <c r="B16" s="365" t="s">
        <v>254</v>
      </c>
      <c r="C16" s="370">
        <v>1900</v>
      </c>
      <c r="D16" s="367">
        <v>1430.30369</v>
      </c>
      <c r="E16" s="366">
        <f t="shared" si="0"/>
        <v>75.27914157894736</v>
      </c>
      <c r="F16" s="366">
        <f t="shared" si="1"/>
        <v>-469.69631000000004</v>
      </c>
    </row>
    <row r="17" spans="1:6" s="6" customFormat="1" ht="24" customHeight="1">
      <c r="A17" s="361">
        <v>1060000</v>
      </c>
      <c r="B17" s="362" t="s">
        <v>133</v>
      </c>
      <c r="C17" s="363">
        <f>SUM(C18:C21)</f>
        <v>2731.2</v>
      </c>
      <c r="D17" s="363">
        <f>SUM(D18:D21)</f>
        <v>462.68799999999999</v>
      </c>
      <c r="E17" s="363">
        <f t="shared" si="0"/>
        <v>16.940831868775629</v>
      </c>
      <c r="F17" s="363">
        <f t="shared" si="1"/>
        <v>-2268.5119999999997</v>
      </c>
    </row>
    <row r="18" spans="1:6" s="6" customFormat="1" ht="18" customHeight="1">
      <c r="A18" s="364">
        <v>1060100000</v>
      </c>
      <c r="B18" s="369" t="s">
        <v>8</v>
      </c>
      <c r="C18" s="366"/>
      <c r="D18" s="367"/>
      <c r="E18" s="363"/>
      <c r="F18" s="363">
        <f t="shared" si="1"/>
        <v>0</v>
      </c>
    </row>
    <row r="19" spans="1:6" s="6" customFormat="1" ht="2.25" customHeight="1">
      <c r="A19" s="364">
        <v>1060200000</v>
      </c>
      <c r="B19" s="369" t="s">
        <v>120</v>
      </c>
      <c r="C19" s="366"/>
      <c r="D19" s="367"/>
      <c r="E19" s="363" t="e">
        <f t="shared" si="0"/>
        <v>#DIV/0!</v>
      </c>
      <c r="F19" s="363">
        <f t="shared" si="1"/>
        <v>0</v>
      </c>
    </row>
    <row r="20" spans="1:6" s="6" customFormat="1" ht="21.75" customHeight="1">
      <c r="A20" s="364">
        <v>1060400000</v>
      </c>
      <c r="B20" s="369" t="s">
        <v>266</v>
      </c>
      <c r="C20" s="366">
        <v>2731.2</v>
      </c>
      <c r="D20" s="367">
        <v>462.68799999999999</v>
      </c>
      <c r="E20" s="366">
        <f t="shared" si="0"/>
        <v>16.940831868775629</v>
      </c>
      <c r="F20" s="366">
        <f t="shared" si="1"/>
        <v>-2268.5119999999997</v>
      </c>
    </row>
    <row r="21" spans="1:6" ht="31.5" customHeight="1">
      <c r="A21" s="364">
        <v>1060600000</v>
      </c>
      <c r="B21" s="369" t="s">
        <v>7</v>
      </c>
      <c r="C21" s="366"/>
      <c r="D21" s="367"/>
      <c r="E21" s="366"/>
      <c r="F21" s="366">
        <f t="shared" si="1"/>
        <v>0</v>
      </c>
    </row>
    <row r="22" spans="1:6" s="6" customFormat="1" ht="42" customHeight="1">
      <c r="A22" s="361">
        <v>1070000</v>
      </c>
      <c r="B22" s="368" t="s">
        <v>9</v>
      </c>
      <c r="C22" s="363">
        <f>SUM(C23)</f>
        <v>4670</v>
      </c>
      <c r="D22" s="477">
        <f>SUM(D23)</f>
        <v>6117.4704099999999</v>
      </c>
      <c r="E22" s="363">
        <f t="shared" si="0"/>
        <v>130.99508372591006</v>
      </c>
      <c r="F22" s="363">
        <f t="shared" si="1"/>
        <v>1447.4704099999999</v>
      </c>
    </row>
    <row r="23" spans="1:6" ht="41.25" customHeight="1">
      <c r="A23" s="364">
        <v>1070102001</v>
      </c>
      <c r="B23" s="365" t="s">
        <v>234</v>
      </c>
      <c r="C23" s="366">
        <v>4670</v>
      </c>
      <c r="D23" s="367">
        <v>6117.4704099999999</v>
      </c>
      <c r="E23" s="366">
        <f t="shared" si="0"/>
        <v>130.99508372591006</v>
      </c>
      <c r="F23" s="366">
        <f t="shared" si="1"/>
        <v>1447.4704099999999</v>
      </c>
    </row>
    <row r="24" spans="1:6" s="6" customFormat="1" ht="20.25">
      <c r="A24" s="361">
        <v>1080000</v>
      </c>
      <c r="B24" s="362" t="s">
        <v>10</v>
      </c>
      <c r="C24" s="363">
        <f>C25+C26+C27</f>
        <v>2700</v>
      </c>
      <c r="D24" s="363">
        <f>D25+D26+D27</f>
        <v>1380.9341300000001</v>
      </c>
      <c r="E24" s="363">
        <f t="shared" si="0"/>
        <v>51.145708518518518</v>
      </c>
      <c r="F24" s="363">
        <f t="shared" si="1"/>
        <v>-1319.0658699999999</v>
      </c>
    </row>
    <row r="25" spans="1:6" ht="34.5" customHeight="1">
      <c r="A25" s="364">
        <v>1080300001</v>
      </c>
      <c r="B25" s="365" t="s">
        <v>235</v>
      </c>
      <c r="C25" s="366">
        <v>2700</v>
      </c>
      <c r="D25" s="367">
        <v>1380.9341300000001</v>
      </c>
      <c r="E25" s="366">
        <f t="shared" si="0"/>
        <v>51.145708518518518</v>
      </c>
      <c r="F25" s="366">
        <f t="shared" si="1"/>
        <v>-1319.0658699999999</v>
      </c>
    </row>
    <row r="26" spans="1:6" ht="33.75" customHeight="1">
      <c r="A26" s="364">
        <v>1080600001</v>
      </c>
      <c r="B26" s="365" t="s">
        <v>224</v>
      </c>
      <c r="C26" s="366">
        <v>0</v>
      </c>
      <c r="D26" s="367">
        <v>0</v>
      </c>
      <c r="E26" s="366"/>
      <c r="F26" s="366">
        <f t="shared" si="1"/>
        <v>0</v>
      </c>
    </row>
    <row r="27" spans="1:6" ht="87.75" customHeight="1">
      <c r="A27" s="364">
        <v>1080700001</v>
      </c>
      <c r="B27" s="365" t="s">
        <v>223</v>
      </c>
      <c r="C27" s="366">
        <v>0</v>
      </c>
      <c r="D27" s="367"/>
      <c r="E27" s="366"/>
      <c r="F27" s="366">
        <f t="shared" si="1"/>
        <v>0</v>
      </c>
    </row>
    <row r="28" spans="1:6" s="15" customFormat="1" ht="40.5">
      <c r="A28" s="361">
        <v>109000000</v>
      </c>
      <c r="B28" s="368" t="s">
        <v>227</v>
      </c>
      <c r="C28" s="363">
        <f>C29+C30+C31+C32</f>
        <v>0</v>
      </c>
      <c r="D28" s="363">
        <f>D29+D30+D31+D32</f>
        <v>0</v>
      </c>
      <c r="E28" s="366"/>
      <c r="F28" s="363">
        <f t="shared" si="1"/>
        <v>0</v>
      </c>
    </row>
    <row r="29" spans="1:6" s="15" customFormat="1" ht="17.25" customHeight="1">
      <c r="A29" s="364">
        <v>1090100000</v>
      </c>
      <c r="B29" s="365" t="s">
        <v>122</v>
      </c>
      <c r="C29" s="366">
        <v>0</v>
      </c>
      <c r="D29" s="367">
        <v>0</v>
      </c>
      <c r="E29" s="366"/>
      <c r="F29" s="366">
        <f t="shared" si="1"/>
        <v>0</v>
      </c>
    </row>
    <row r="30" spans="1:6" s="15" customFormat="1" ht="17.25" customHeight="1">
      <c r="A30" s="364">
        <v>1090400000</v>
      </c>
      <c r="B30" s="365" t="s">
        <v>123</v>
      </c>
      <c r="C30" s="366">
        <v>0</v>
      </c>
      <c r="D30" s="367">
        <v>0</v>
      </c>
      <c r="E30" s="366"/>
      <c r="F30" s="366">
        <f t="shared" si="1"/>
        <v>0</v>
      </c>
    </row>
    <row r="31" spans="1:6" s="15" customFormat="1" ht="33.75" customHeight="1">
      <c r="A31" s="364">
        <v>1090600000</v>
      </c>
      <c r="B31" s="365" t="s">
        <v>124</v>
      </c>
      <c r="C31" s="366">
        <v>0</v>
      </c>
      <c r="D31" s="367">
        <v>0</v>
      </c>
      <c r="E31" s="366"/>
      <c r="F31" s="366">
        <f t="shared" si="1"/>
        <v>0</v>
      </c>
    </row>
    <row r="32" spans="1:6" s="15" customFormat="1" ht="1.5" customHeight="1">
      <c r="A32" s="364">
        <v>1090700000</v>
      </c>
      <c r="B32" s="365" t="s">
        <v>125</v>
      </c>
      <c r="C32" s="366">
        <v>0</v>
      </c>
      <c r="D32" s="367">
        <v>0</v>
      </c>
      <c r="E32" s="366" t="e">
        <f t="shared" si="0"/>
        <v>#DIV/0!</v>
      </c>
      <c r="F32" s="366">
        <f t="shared" si="1"/>
        <v>0</v>
      </c>
    </row>
    <row r="33" spans="1:6" s="6" customFormat="1" ht="33.75" customHeight="1">
      <c r="A33" s="361"/>
      <c r="B33" s="362" t="s">
        <v>12</v>
      </c>
      <c r="C33" s="363">
        <f>C34+C43+C45+C48+C51+C53+C58</f>
        <v>15740</v>
      </c>
      <c r="D33" s="363">
        <f>D34+D43+D45+D48+D51+D53+D58</f>
        <v>10595.311430000002</v>
      </c>
      <c r="E33" s="363">
        <f t="shared" si="0"/>
        <v>67.314558005082603</v>
      </c>
      <c r="F33" s="363">
        <f t="shared" si="1"/>
        <v>-5144.6885699999984</v>
      </c>
    </row>
    <row r="34" spans="1:6" s="6" customFormat="1" ht="60.75" customHeight="1">
      <c r="A34" s="361">
        <v>1110000</v>
      </c>
      <c r="B34" s="368" t="s">
        <v>126</v>
      </c>
      <c r="C34" s="363">
        <f>SUM(C35:C42)</f>
        <v>9140</v>
      </c>
      <c r="D34" s="363">
        <f>SUM(D35+D37+D38+D40+D41+D42)</f>
        <v>6214.3740300000009</v>
      </c>
      <c r="E34" s="363">
        <f t="shared" si="0"/>
        <v>67.990963129102852</v>
      </c>
      <c r="F34" s="363">
        <f t="shared" si="1"/>
        <v>-2925.6259699999991</v>
      </c>
    </row>
    <row r="35" spans="1:6" s="6" customFormat="1" ht="34.5" customHeight="1">
      <c r="A35" s="364">
        <v>1110105005</v>
      </c>
      <c r="B35" s="365" t="s">
        <v>306</v>
      </c>
      <c r="C35" s="366">
        <v>45</v>
      </c>
      <c r="D35" s="366">
        <v>44.585999999999999</v>
      </c>
      <c r="E35" s="366">
        <f t="shared" si="0"/>
        <v>99.08</v>
      </c>
      <c r="F35" s="366">
        <f t="shared" si="1"/>
        <v>-0.41400000000000148</v>
      </c>
    </row>
    <row r="36" spans="1:6" ht="27.75" customHeight="1">
      <c r="A36" s="364">
        <v>1110305005</v>
      </c>
      <c r="B36" s="369" t="s">
        <v>236</v>
      </c>
      <c r="C36" s="366">
        <v>0</v>
      </c>
      <c r="D36" s="367">
        <v>0</v>
      </c>
      <c r="E36" s="366"/>
      <c r="F36" s="366">
        <f t="shared" si="1"/>
        <v>0</v>
      </c>
    </row>
    <row r="37" spans="1:6" ht="20.25">
      <c r="A37" s="371">
        <v>1110501101</v>
      </c>
      <c r="B37" s="372" t="s">
        <v>222</v>
      </c>
      <c r="C37" s="370">
        <v>8300</v>
      </c>
      <c r="D37" s="367">
        <v>5700.7261200000003</v>
      </c>
      <c r="E37" s="366">
        <f t="shared" si="0"/>
        <v>68.683447228915668</v>
      </c>
      <c r="F37" s="366">
        <f t="shared" si="1"/>
        <v>-2599.2738799999997</v>
      </c>
    </row>
    <row r="38" spans="1:6" ht="18.75" customHeight="1">
      <c r="A38" s="364">
        <v>1110503505</v>
      </c>
      <c r="B38" s="369" t="s">
        <v>221</v>
      </c>
      <c r="C38" s="370">
        <v>250</v>
      </c>
      <c r="D38" s="367">
        <v>146.98008999999999</v>
      </c>
      <c r="E38" s="366">
        <f t="shared" si="0"/>
        <v>58.792035999999989</v>
      </c>
      <c r="F38" s="366">
        <f t="shared" si="1"/>
        <v>-103.01991000000001</v>
      </c>
    </row>
    <row r="39" spans="1:6" ht="131.25" customHeight="1">
      <c r="A39" s="364">
        <v>1110502000</v>
      </c>
      <c r="B39" s="365" t="s">
        <v>263</v>
      </c>
      <c r="C39" s="373">
        <v>0</v>
      </c>
      <c r="D39" s="367">
        <v>0</v>
      </c>
      <c r="E39" s="366" t="e">
        <f t="shared" si="0"/>
        <v>#DIV/0!</v>
      </c>
      <c r="F39" s="366">
        <f t="shared" si="1"/>
        <v>0</v>
      </c>
    </row>
    <row r="40" spans="1:6" s="15" customFormat="1" ht="20.25">
      <c r="A40" s="364">
        <v>1110701505</v>
      </c>
      <c r="B40" s="369" t="s">
        <v>237</v>
      </c>
      <c r="C40" s="370">
        <v>15</v>
      </c>
      <c r="D40" s="367">
        <v>13.106999999999999</v>
      </c>
      <c r="E40" s="366">
        <f t="shared" si="0"/>
        <v>87.38</v>
      </c>
      <c r="F40" s="366">
        <f t="shared" si="1"/>
        <v>-1.8930000000000007</v>
      </c>
    </row>
    <row r="41" spans="1:6" s="15" customFormat="1" ht="20.25">
      <c r="A41" s="364">
        <v>1110903000</v>
      </c>
      <c r="B41" s="369" t="s">
        <v>391</v>
      </c>
      <c r="C41" s="370">
        <v>0</v>
      </c>
      <c r="D41" s="367">
        <v>0</v>
      </c>
      <c r="E41" s="366"/>
      <c r="F41" s="366">
        <f>SUM(D41-C41)</f>
        <v>0</v>
      </c>
    </row>
    <row r="42" spans="1:6" s="15" customFormat="1" ht="20.25">
      <c r="A42" s="364">
        <v>1110904505</v>
      </c>
      <c r="B42" s="369" t="s">
        <v>318</v>
      </c>
      <c r="C42" s="370">
        <v>530</v>
      </c>
      <c r="D42" s="367">
        <v>308.97482000000002</v>
      </c>
      <c r="E42" s="366">
        <f t="shared" si="0"/>
        <v>58.297135849056602</v>
      </c>
      <c r="F42" s="366">
        <f t="shared" si="1"/>
        <v>-221.02517999999998</v>
      </c>
    </row>
    <row r="43" spans="1:6" s="15" customFormat="1" ht="40.5">
      <c r="A43" s="361">
        <v>1120000</v>
      </c>
      <c r="B43" s="368" t="s">
        <v>127</v>
      </c>
      <c r="C43" s="374">
        <f>C44</f>
        <v>1400</v>
      </c>
      <c r="D43" s="374">
        <f>D44</f>
        <v>854.80879000000004</v>
      </c>
      <c r="E43" s="363">
        <f t="shared" si="0"/>
        <v>61.057770714285716</v>
      </c>
      <c r="F43" s="363">
        <f t="shared" si="1"/>
        <v>-545.19120999999996</v>
      </c>
    </row>
    <row r="44" spans="1:6" s="15" customFormat="1" ht="40.5">
      <c r="A44" s="364">
        <v>1120100001</v>
      </c>
      <c r="B44" s="365" t="s">
        <v>238</v>
      </c>
      <c r="C44" s="366">
        <v>1400</v>
      </c>
      <c r="D44" s="367">
        <v>854.80879000000004</v>
      </c>
      <c r="E44" s="366">
        <f t="shared" si="0"/>
        <v>61.057770714285716</v>
      </c>
      <c r="F44" s="366">
        <f t="shared" si="1"/>
        <v>-545.19120999999996</v>
      </c>
    </row>
    <row r="45" spans="1:6" s="182" customFormat="1" ht="21.75" customHeight="1">
      <c r="A45" s="375">
        <v>1130000</v>
      </c>
      <c r="B45" s="376" t="s">
        <v>128</v>
      </c>
      <c r="C45" s="363">
        <f>C46+C47</f>
        <v>100</v>
      </c>
      <c r="D45" s="363">
        <f>D46+D47</f>
        <v>117.55432</v>
      </c>
      <c r="E45" s="363">
        <f t="shared" si="0"/>
        <v>117.55432000000002</v>
      </c>
      <c r="F45" s="363">
        <f t="shared" si="1"/>
        <v>17.554320000000004</v>
      </c>
    </row>
    <row r="46" spans="1:6" s="15" customFormat="1" ht="36" customHeight="1">
      <c r="A46" s="364">
        <v>1130200000</v>
      </c>
      <c r="B46" s="365" t="s">
        <v>316</v>
      </c>
      <c r="C46" s="366">
        <v>100</v>
      </c>
      <c r="D46" s="366">
        <v>117.55432</v>
      </c>
      <c r="E46" s="366">
        <f>SUM(D46/C46*100)</f>
        <v>117.55432000000002</v>
      </c>
      <c r="F46" s="366">
        <f>SUM(D46-C46)</f>
        <v>17.554320000000004</v>
      </c>
    </row>
    <row r="47" spans="1:6" ht="25.5" customHeight="1">
      <c r="A47" s="364">
        <v>1130305005</v>
      </c>
      <c r="B47" s="365" t="s">
        <v>220</v>
      </c>
      <c r="C47" s="366">
        <v>0</v>
      </c>
      <c r="D47" s="367">
        <v>0</v>
      </c>
      <c r="E47" s="366"/>
      <c r="F47" s="366">
        <f t="shared" si="1"/>
        <v>0</v>
      </c>
    </row>
    <row r="48" spans="1:6" ht="20.25" customHeight="1">
      <c r="A48" s="377">
        <v>1140000</v>
      </c>
      <c r="B48" s="378" t="s">
        <v>129</v>
      </c>
      <c r="C48" s="363">
        <f>C49+C50</f>
        <v>3500</v>
      </c>
      <c r="D48" s="363">
        <f>D49+D50</f>
        <v>2567.06754</v>
      </c>
      <c r="E48" s="363">
        <f t="shared" si="0"/>
        <v>73.34478685714285</v>
      </c>
      <c r="F48" s="363">
        <f t="shared" si="1"/>
        <v>-932.93245999999999</v>
      </c>
    </row>
    <row r="49" spans="1:8" ht="20.25">
      <c r="A49" s="371">
        <v>1140200000</v>
      </c>
      <c r="B49" s="379" t="s">
        <v>218</v>
      </c>
      <c r="C49" s="366">
        <v>1000</v>
      </c>
      <c r="D49" s="367">
        <v>0</v>
      </c>
      <c r="E49" s="366">
        <f t="shared" si="0"/>
        <v>0</v>
      </c>
      <c r="F49" s="366">
        <f t="shared" si="1"/>
        <v>-1000</v>
      </c>
    </row>
    <row r="50" spans="1:8" ht="24" customHeight="1">
      <c r="A50" s="364">
        <v>1140600000</v>
      </c>
      <c r="B50" s="365" t="s">
        <v>219</v>
      </c>
      <c r="C50" s="366">
        <v>2500</v>
      </c>
      <c r="D50" s="367">
        <v>2567.06754</v>
      </c>
      <c r="E50" s="366">
        <f t="shared" si="0"/>
        <v>102.68270159999999</v>
      </c>
      <c r="F50" s="366">
        <f t="shared" si="1"/>
        <v>67.067540000000008</v>
      </c>
    </row>
    <row r="51" spans="1:8" ht="0.75" customHeight="1">
      <c r="A51" s="361">
        <v>1150000000</v>
      </c>
      <c r="B51" s="368" t="s">
        <v>231</v>
      </c>
      <c r="C51" s="363">
        <f>C52</f>
        <v>0</v>
      </c>
      <c r="D51" s="363">
        <f>D52</f>
        <v>0</v>
      </c>
      <c r="E51" s="363" t="e">
        <f t="shared" si="0"/>
        <v>#DIV/0!</v>
      </c>
      <c r="F51" s="363">
        <f t="shared" si="1"/>
        <v>0</v>
      </c>
    </row>
    <row r="52" spans="1:8" ht="61.5" customHeight="1">
      <c r="A52" s="364">
        <v>1150205005</v>
      </c>
      <c r="B52" s="365" t="s">
        <v>232</v>
      </c>
      <c r="C52" s="366">
        <v>0</v>
      </c>
      <c r="D52" s="367">
        <v>0</v>
      </c>
      <c r="E52" s="366" t="e">
        <f t="shared" si="0"/>
        <v>#DIV/0!</v>
      </c>
      <c r="F52" s="366">
        <f t="shared" si="1"/>
        <v>0</v>
      </c>
    </row>
    <row r="53" spans="1:8" ht="40.5">
      <c r="A53" s="361">
        <v>1160000</v>
      </c>
      <c r="B53" s="368" t="s">
        <v>131</v>
      </c>
      <c r="C53" s="363">
        <f>SUM(C54:C57)</f>
        <v>1600</v>
      </c>
      <c r="D53" s="363">
        <f>SUM(D54:D57)</f>
        <v>841.50675000000001</v>
      </c>
      <c r="E53" s="363">
        <f>SUM(D53/C53*100)</f>
        <v>52.594171874999994</v>
      </c>
      <c r="F53" s="363">
        <f t="shared" si="1"/>
        <v>-758.49324999999999</v>
      </c>
      <c r="H53" s="147"/>
    </row>
    <row r="54" spans="1:8" ht="36.75" customHeight="1">
      <c r="A54" s="364">
        <v>1160100001</v>
      </c>
      <c r="B54" s="365" t="s">
        <v>404</v>
      </c>
      <c r="C54" s="366">
        <v>1065</v>
      </c>
      <c r="D54" s="380">
        <v>819.84654</v>
      </c>
      <c r="E54" s="366">
        <f>SUM(D54/C54*100)</f>
        <v>76.980895774647877</v>
      </c>
      <c r="F54" s="366">
        <f t="shared" si="1"/>
        <v>-245.15346</v>
      </c>
    </row>
    <row r="55" spans="1:8" ht="39.75" customHeight="1">
      <c r="A55" s="364">
        <v>1160709000</v>
      </c>
      <c r="B55" s="365" t="s">
        <v>403</v>
      </c>
      <c r="C55" s="366">
        <v>260</v>
      </c>
      <c r="D55" s="381">
        <v>81.487669999999994</v>
      </c>
      <c r="E55" s="366">
        <f t="shared" si="0"/>
        <v>31.341411538461539</v>
      </c>
      <c r="F55" s="366">
        <f t="shared" si="1"/>
        <v>-178.51233000000002</v>
      </c>
    </row>
    <row r="56" spans="1:8" ht="41.25" customHeight="1">
      <c r="A56" s="364">
        <v>1161012000</v>
      </c>
      <c r="B56" s="365" t="s">
        <v>405</v>
      </c>
      <c r="C56" s="382">
        <v>235</v>
      </c>
      <c r="D56" s="381">
        <v>80.172539999999998</v>
      </c>
      <c r="E56" s="366">
        <f t="shared" si="0"/>
        <v>34.115974468085106</v>
      </c>
      <c r="F56" s="366">
        <f t="shared" si="1"/>
        <v>-154.82746</v>
      </c>
    </row>
    <row r="57" spans="1:8" ht="41.25" customHeight="1">
      <c r="A57" s="364">
        <v>1161100001</v>
      </c>
      <c r="B57" s="365" t="s">
        <v>407</v>
      </c>
      <c r="C57" s="382">
        <v>40</v>
      </c>
      <c r="D57" s="381">
        <v>-140</v>
      </c>
      <c r="E57" s="366">
        <f t="shared" si="0"/>
        <v>-350</v>
      </c>
      <c r="F57" s="366">
        <f t="shared" si="1"/>
        <v>-180</v>
      </c>
    </row>
    <row r="58" spans="1:8" ht="25.5" customHeight="1">
      <c r="A58" s="361">
        <v>1170000</v>
      </c>
      <c r="B58" s="368" t="s">
        <v>132</v>
      </c>
      <c r="C58" s="363">
        <f>C59+C60</f>
        <v>0</v>
      </c>
      <c r="D58" s="363">
        <f>D59+D60</f>
        <v>0</v>
      </c>
      <c r="E58" s="366" t="e">
        <f t="shared" si="0"/>
        <v>#DIV/0!</v>
      </c>
      <c r="F58" s="363">
        <f t="shared" si="1"/>
        <v>0</v>
      </c>
    </row>
    <row r="59" spans="1:8" ht="20.25">
      <c r="A59" s="364">
        <v>1170105005</v>
      </c>
      <c r="B59" s="365" t="s">
        <v>15</v>
      </c>
      <c r="C59" s="366">
        <v>0</v>
      </c>
      <c r="D59" s="366">
        <v>0</v>
      </c>
      <c r="E59" s="366" t="e">
        <f t="shared" si="0"/>
        <v>#DIV/0!</v>
      </c>
      <c r="F59" s="366">
        <f t="shared" si="1"/>
        <v>0</v>
      </c>
    </row>
    <row r="60" spans="1:8" ht="20.25">
      <c r="A60" s="364">
        <v>1170505005</v>
      </c>
      <c r="B60" s="369" t="s">
        <v>217</v>
      </c>
      <c r="C60" s="366">
        <v>0</v>
      </c>
      <c r="D60" s="367">
        <v>0</v>
      </c>
      <c r="E60" s="366" t="e">
        <f t="shared" si="0"/>
        <v>#DIV/0!</v>
      </c>
      <c r="F60" s="366">
        <f t="shared" si="1"/>
        <v>0</v>
      </c>
    </row>
    <row r="61" spans="1:8" s="6" customFormat="1" ht="20.25">
      <c r="A61" s="361">
        <v>100000</v>
      </c>
      <c r="B61" s="362" t="s">
        <v>16</v>
      </c>
      <c r="C61" s="469">
        <f>SUM(C4,C33)</f>
        <v>183413.60000000003</v>
      </c>
      <c r="D61" s="535">
        <f>SUM(D4,D33)</f>
        <v>114418.98496999999</v>
      </c>
      <c r="E61" s="363">
        <f>SUM(D61/C61*100)</f>
        <v>62.383043007715877</v>
      </c>
      <c r="F61" s="363">
        <f>SUM(D61-C61)</f>
        <v>-68994.615030000044</v>
      </c>
      <c r="G61" s="93"/>
      <c r="H61" s="93"/>
    </row>
    <row r="62" spans="1:8" s="6" customFormat="1" ht="30" customHeight="1">
      <c r="A62" s="361">
        <v>200000</v>
      </c>
      <c r="B62" s="362" t="s">
        <v>17</v>
      </c>
      <c r="C62" s="477">
        <f>C63+C66+C67+C68+C71+C65+C70</f>
        <v>773684.43531000009</v>
      </c>
      <c r="D62" s="481">
        <f>D63+D66+D67+D68+D71+D65+D70+D69</f>
        <v>402658.12062999996</v>
      </c>
      <c r="E62" s="363">
        <f t="shared" si="0"/>
        <v>52.044231763388495</v>
      </c>
      <c r="F62" s="363">
        <f t="shared" si="1"/>
        <v>-371026.31468000013</v>
      </c>
      <c r="G62" s="93"/>
      <c r="H62" s="93"/>
    </row>
    <row r="63" spans="1:8" ht="31.5" customHeight="1">
      <c r="A63" s="371">
        <v>2021000000</v>
      </c>
      <c r="B63" s="372" t="s">
        <v>18</v>
      </c>
      <c r="C63" s="370">
        <v>1796.8</v>
      </c>
      <c r="D63" s="383">
        <v>1047.9000000000001</v>
      </c>
      <c r="E63" s="366">
        <f t="shared" si="0"/>
        <v>58.32034728406056</v>
      </c>
      <c r="F63" s="366">
        <f t="shared" si="1"/>
        <v>-748.89999999999986</v>
      </c>
    </row>
    <row r="64" spans="1:8" ht="41.25" customHeight="1">
      <c r="A64" s="371">
        <v>2020100905</v>
      </c>
      <c r="B64" s="379" t="s">
        <v>262</v>
      </c>
      <c r="C64" s="370">
        <v>0</v>
      </c>
      <c r="D64" s="383" t="s">
        <v>399</v>
      </c>
      <c r="E64" s="366" t="e">
        <f t="shared" si="0"/>
        <v>#VALUE!</v>
      </c>
      <c r="F64" s="366" t="e">
        <f t="shared" si="1"/>
        <v>#VALUE!</v>
      </c>
    </row>
    <row r="65" spans="1:8" ht="23.25" customHeight="1">
      <c r="A65" s="371">
        <v>2021500200</v>
      </c>
      <c r="B65" s="372" t="s">
        <v>228</v>
      </c>
      <c r="C65" s="370"/>
      <c r="D65" s="383"/>
      <c r="E65" s="366" t="e">
        <f t="shared" si="0"/>
        <v>#DIV/0!</v>
      </c>
      <c r="F65" s="366">
        <f t="shared" si="1"/>
        <v>0</v>
      </c>
    </row>
    <row r="66" spans="1:8" ht="20.25">
      <c r="A66" s="371">
        <v>2022000000</v>
      </c>
      <c r="B66" s="372" t="s">
        <v>19</v>
      </c>
      <c r="C66" s="370">
        <v>277561.77217000001</v>
      </c>
      <c r="D66" s="367">
        <v>109011.43051999999</v>
      </c>
      <c r="E66" s="366">
        <f t="shared" si="0"/>
        <v>39.274655752389805</v>
      </c>
      <c r="F66" s="366">
        <f t="shared" si="1"/>
        <v>-168550.34165000002</v>
      </c>
    </row>
    <row r="67" spans="1:8" ht="20.25">
      <c r="A67" s="371">
        <v>2023000000</v>
      </c>
      <c r="B67" s="372" t="s">
        <v>20</v>
      </c>
      <c r="C67" s="370">
        <v>446876.72700000001</v>
      </c>
      <c r="D67" s="384">
        <v>273484.35567999998</v>
      </c>
      <c r="E67" s="366">
        <f t="shared" si="0"/>
        <v>61.199059865115771</v>
      </c>
      <c r="F67" s="366">
        <f t="shared" si="1"/>
        <v>-173392.37132000003</v>
      </c>
    </row>
    <row r="68" spans="1:8" ht="19.5" customHeight="1">
      <c r="A68" s="371">
        <v>2024000000</v>
      </c>
      <c r="B68" s="379" t="s">
        <v>21</v>
      </c>
      <c r="C68" s="370">
        <v>47461.3</v>
      </c>
      <c r="D68" s="385">
        <v>27480.084999999999</v>
      </c>
      <c r="E68" s="366">
        <f t="shared" si="0"/>
        <v>57.899983776255596</v>
      </c>
      <c r="F68" s="366">
        <f t="shared" si="1"/>
        <v>-19981.215000000004</v>
      </c>
    </row>
    <row r="69" spans="1:8" ht="19.5" customHeight="1">
      <c r="A69" s="371">
        <v>208000000</v>
      </c>
      <c r="B69" s="379" t="s">
        <v>436</v>
      </c>
      <c r="C69" s="370"/>
      <c r="D69" s="385">
        <v>-2.5000000000000001E-2</v>
      </c>
      <c r="E69" s="366"/>
      <c r="F69" s="366"/>
    </row>
    <row r="70" spans="1:8" ht="20.25">
      <c r="A70" s="371">
        <v>2180500005</v>
      </c>
      <c r="B70" s="379" t="s">
        <v>311</v>
      </c>
      <c r="C70" s="370">
        <v>0</v>
      </c>
      <c r="D70" s="385">
        <v>1848.9377500000001</v>
      </c>
      <c r="E70" s="366" t="e">
        <f t="shared" si="0"/>
        <v>#DIV/0!</v>
      </c>
      <c r="F70" s="366">
        <f t="shared" si="1"/>
        <v>1848.9377500000001</v>
      </c>
    </row>
    <row r="71" spans="1:8" ht="24" customHeight="1">
      <c r="A71" s="364">
        <v>2196001005</v>
      </c>
      <c r="B71" s="369" t="s">
        <v>23</v>
      </c>
      <c r="C71" s="367">
        <v>-12.16386</v>
      </c>
      <c r="D71" s="367">
        <v>-10214.563319999999</v>
      </c>
      <c r="E71" s="366">
        <f t="shared" si="0"/>
        <v>83974.686653743134</v>
      </c>
      <c r="F71" s="366">
        <f>SUM(D71-C71)</f>
        <v>-10202.399459999999</v>
      </c>
    </row>
    <row r="72" spans="1:8" s="6" customFormat="1" ht="22.5" customHeight="1">
      <c r="A72" s="364">
        <v>3000000000</v>
      </c>
      <c r="B72" s="368" t="s">
        <v>24</v>
      </c>
      <c r="C72" s="374">
        <v>0</v>
      </c>
      <c r="D72" s="386">
        <v>0</v>
      </c>
      <c r="E72" s="366" t="e">
        <f t="shared" si="0"/>
        <v>#DIV/0!</v>
      </c>
      <c r="F72" s="363">
        <f t="shared" si="1"/>
        <v>0</v>
      </c>
    </row>
    <row r="73" spans="1:8" s="6" customFormat="1" ht="22.5" customHeight="1">
      <c r="A73" s="361"/>
      <c r="B73" s="362" t="s">
        <v>25</v>
      </c>
      <c r="C73" s="480">
        <f>C61+C62</f>
        <v>957098.03531000018</v>
      </c>
      <c r="D73" s="480">
        <f>D61+D62</f>
        <v>517077.10559999995</v>
      </c>
      <c r="E73" s="366">
        <f>SUM(D73/C73*100)</f>
        <v>54.02551113089693</v>
      </c>
      <c r="F73" s="363">
        <f>SUM(D74-C73)</f>
        <v>-958061.97239000024</v>
      </c>
      <c r="G73" s="208"/>
      <c r="H73" s="93"/>
    </row>
    <row r="74" spans="1:8" s="6" customFormat="1" ht="20.25">
      <c r="A74" s="361"/>
      <c r="B74" s="387" t="s">
        <v>307</v>
      </c>
      <c r="C74" s="388">
        <f>C73-C134</f>
        <v>-45275.504519999609</v>
      </c>
      <c r="D74" s="363">
        <f>D73-D134</f>
        <v>-963.93708000006154</v>
      </c>
      <c r="E74" s="389"/>
      <c r="F74" s="389"/>
      <c r="G74" s="93"/>
      <c r="H74" s="93"/>
    </row>
    <row r="75" spans="1:8" ht="20.25">
      <c r="A75" s="390"/>
      <c r="B75" s="391"/>
      <c r="C75" s="392"/>
      <c r="D75" s="392"/>
      <c r="E75" s="393"/>
      <c r="F75" s="393"/>
    </row>
    <row r="76" spans="1:8" ht="81">
      <c r="A76" s="394" t="s">
        <v>0</v>
      </c>
      <c r="B76" s="394" t="s">
        <v>26</v>
      </c>
      <c r="C76" s="358" t="s">
        <v>409</v>
      </c>
      <c r="D76" s="359" t="s">
        <v>416</v>
      </c>
      <c r="E76" s="358" t="s">
        <v>2</v>
      </c>
      <c r="F76" s="360" t="s">
        <v>3</v>
      </c>
    </row>
    <row r="77" spans="1:8" ht="20.25">
      <c r="A77" s="395">
        <v>1</v>
      </c>
      <c r="B77" s="394">
        <v>2</v>
      </c>
      <c r="C77" s="396">
        <v>3</v>
      </c>
      <c r="D77" s="478">
        <v>4</v>
      </c>
      <c r="E77" s="396">
        <v>5</v>
      </c>
      <c r="F77" s="396">
        <v>6</v>
      </c>
    </row>
    <row r="78" spans="1:8" s="6" customFormat="1" ht="22.5" customHeight="1">
      <c r="A78" s="397" t="s">
        <v>27</v>
      </c>
      <c r="B78" s="398" t="s">
        <v>28</v>
      </c>
      <c r="C78" s="532">
        <f>SUM(C79+C80+C81+C82+C83+C84+C85)</f>
        <v>48627.495219999997</v>
      </c>
      <c r="D78" s="389">
        <f>SUM(D79:D85)</f>
        <v>24682.223800000003</v>
      </c>
      <c r="E78" s="399">
        <f>SUM(D78/C78*100)</f>
        <v>50.757752765864147</v>
      </c>
      <c r="F78" s="399">
        <f>SUM(D78-C78)</f>
        <v>-23945.271419999994</v>
      </c>
    </row>
    <row r="79" spans="1:8" s="6" customFormat="1" ht="40.5">
      <c r="A79" s="400" t="s">
        <v>29</v>
      </c>
      <c r="B79" s="401" t="s">
        <v>30</v>
      </c>
      <c r="C79" s="402">
        <v>50</v>
      </c>
      <c r="D79" s="402">
        <v>0</v>
      </c>
      <c r="E79" s="399">
        <f>SUM(D79/C79*100)</f>
        <v>0</v>
      </c>
      <c r="F79" s="399">
        <f>SUM(D79-C79)</f>
        <v>-50</v>
      </c>
    </row>
    <row r="80" spans="1:8" ht="21.75" customHeight="1">
      <c r="A80" s="400" t="s">
        <v>31</v>
      </c>
      <c r="B80" s="403" t="s">
        <v>32</v>
      </c>
      <c r="C80" s="402">
        <v>29201.478999999999</v>
      </c>
      <c r="D80" s="402">
        <v>13336.25697</v>
      </c>
      <c r="E80" s="404">
        <f t="shared" ref="E80:E134" si="2">SUM(D80/C80*100)</f>
        <v>45.669799704323196</v>
      </c>
      <c r="F80" s="404">
        <f t="shared" ref="F80:F134" si="3">SUM(D80-C80)</f>
        <v>-15865.222029999999</v>
      </c>
    </row>
    <row r="81" spans="1:7" ht="19.5" customHeight="1">
      <c r="A81" s="400" t="s">
        <v>33</v>
      </c>
      <c r="B81" s="403" t="s">
        <v>34</v>
      </c>
      <c r="C81" s="402">
        <v>91.7</v>
      </c>
      <c r="D81" s="402">
        <v>91.7</v>
      </c>
      <c r="E81" s="404">
        <f t="shared" si="2"/>
        <v>100</v>
      </c>
      <c r="F81" s="404">
        <f t="shared" si="3"/>
        <v>0</v>
      </c>
    </row>
    <row r="82" spans="1:7" ht="38.25" customHeight="1">
      <c r="A82" s="400" t="s">
        <v>35</v>
      </c>
      <c r="B82" s="403" t="s">
        <v>36</v>
      </c>
      <c r="C82" s="405">
        <v>6233.8918199999998</v>
      </c>
      <c r="D82" s="405">
        <v>3082.92857</v>
      </c>
      <c r="E82" s="404">
        <f t="shared" si="2"/>
        <v>49.454316164248105</v>
      </c>
      <c r="F82" s="404">
        <f t="shared" si="3"/>
        <v>-3150.9632499999998</v>
      </c>
    </row>
    <row r="83" spans="1:7" ht="18.75" customHeight="1">
      <c r="A83" s="400" t="s">
        <v>37</v>
      </c>
      <c r="B83" s="403" t="s">
        <v>38</v>
      </c>
      <c r="C83" s="402"/>
      <c r="D83" s="402">
        <v>0</v>
      </c>
      <c r="E83" s="404" t="e">
        <f t="shared" si="2"/>
        <v>#DIV/0!</v>
      </c>
      <c r="F83" s="404">
        <f t="shared" si="3"/>
        <v>0</v>
      </c>
    </row>
    <row r="84" spans="1:7" ht="24.75" customHeight="1">
      <c r="A84" s="400" t="s">
        <v>39</v>
      </c>
      <c r="B84" s="403" t="s">
        <v>40</v>
      </c>
      <c r="C84" s="405">
        <v>932.84649999999999</v>
      </c>
      <c r="D84" s="405">
        <v>0</v>
      </c>
      <c r="E84" s="404">
        <f t="shared" si="2"/>
        <v>0</v>
      </c>
      <c r="F84" s="404">
        <f t="shared" si="3"/>
        <v>-932.84649999999999</v>
      </c>
    </row>
    <row r="85" spans="1:7" ht="24" customHeight="1">
      <c r="A85" s="400" t="s">
        <v>41</v>
      </c>
      <c r="B85" s="403" t="s">
        <v>42</v>
      </c>
      <c r="C85" s="402">
        <v>12117.5779</v>
      </c>
      <c r="D85" s="402">
        <v>8171.3382600000004</v>
      </c>
      <c r="E85" s="404">
        <f t="shared" si="2"/>
        <v>67.433758853739249</v>
      </c>
      <c r="F85" s="404">
        <f t="shared" si="3"/>
        <v>-3946.2396399999998</v>
      </c>
    </row>
    <row r="86" spans="1:7" s="6" customFormat="1" ht="20.25">
      <c r="A86" s="406" t="s">
        <v>43</v>
      </c>
      <c r="B86" s="407" t="s">
        <v>44</v>
      </c>
      <c r="C86" s="389">
        <f>C87</f>
        <v>2404.8000000000002</v>
      </c>
      <c r="D86" s="389">
        <f>D87</f>
        <v>1602.3</v>
      </c>
      <c r="E86" s="399">
        <f t="shared" si="2"/>
        <v>66.629241516966061</v>
      </c>
      <c r="F86" s="399">
        <f t="shared" si="3"/>
        <v>-802.50000000000023</v>
      </c>
    </row>
    <row r="87" spans="1:7" ht="20.25">
      <c r="A87" s="408" t="s">
        <v>45</v>
      </c>
      <c r="B87" s="409" t="s">
        <v>46</v>
      </c>
      <c r="C87" s="402">
        <v>2404.8000000000002</v>
      </c>
      <c r="D87" s="402">
        <v>1602.3</v>
      </c>
      <c r="E87" s="404">
        <f t="shared" si="2"/>
        <v>66.629241516966061</v>
      </c>
      <c r="F87" s="404">
        <f t="shared" si="3"/>
        <v>-802.50000000000023</v>
      </c>
    </row>
    <row r="88" spans="1:7" s="6" customFormat="1" ht="21" customHeight="1">
      <c r="A88" s="397" t="s">
        <v>47</v>
      </c>
      <c r="B88" s="398" t="s">
        <v>48</v>
      </c>
      <c r="C88" s="532">
        <f>SUM(C90:C93)</f>
        <v>5230.16</v>
      </c>
      <c r="D88" s="389">
        <f>SUM(D90:D93)</f>
        <v>2743.7032799999997</v>
      </c>
      <c r="E88" s="399">
        <f t="shared" si="2"/>
        <v>52.459260902152124</v>
      </c>
      <c r="F88" s="399">
        <f t="shared" si="3"/>
        <v>-2486.4567200000001</v>
      </c>
    </row>
    <row r="89" spans="1:7" ht="23.25" customHeight="1">
      <c r="A89" s="400" t="s">
        <v>49</v>
      </c>
      <c r="B89" s="403" t="s">
        <v>50</v>
      </c>
      <c r="C89" s="402"/>
      <c r="D89" s="402"/>
      <c r="E89" s="404" t="e">
        <f t="shared" si="2"/>
        <v>#DIV/0!</v>
      </c>
      <c r="F89" s="404">
        <f t="shared" si="3"/>
        <v>0</v>
      </c>
    </row>
    <row r="90" spans="1:7" ht="20.25">
      <c r="A90" s="410" t="s">
        <v>51</v>
      </c>
      <c r="B90" s="403" t="s">
        <v>313</v>
      </c>
      <c r="C90" s="402">
        <v>1254.8</v>
      </c>
      <c r="D90" s="402">
        <v>700.49396000000002</v>
      </c>
      <c r="E90" s="404">
        <f t="shared" si="2"/>
        <v>55.825148230793751</v>
      </c>
      <c r="F90" s="404">
        <f t="shared" si="3"/>
        <v>-554.30603999999994</v>
      </c>
    </row>
    <row r="91" spans="1:7" ht="36.75" customHeight="1">
      <c r="A91" s="411" t="s">
        <v>53</v>
      </c>
      <c r="B91" s="412" t="s">
        <v>54</v>
      </c>
      <c r="C91" s="402">
        <v>3168.1</v>
      </c>
      <c r="D91" s="402">
        <v>1688.80432</v>
      </c>
      <c r="E91" s="404">
        <f t="shared" si="2"/>
        <v>53.306534515955939</v>
      </c>
      <c r="F91" s="404">
        <f t="shared" si="3"/>
        <v>-1479.2956799999999</v>
      </c>
    </row>
    <row r="92" spans="1:7" ht="21" customHeight="1">
      <c r="A92" s="411" t="s">
        <v>215</v>
      </c>
      <c r="B92" s="412" t="s">
        <v>216</v>
      </c>
      <c r="C92" s="402">
        <v>0</v>
      </c>
      <c r="D92" s="402">
        <v>0</v>
      </c>
      <c r="E92" s="404" t="e">
        <f t="shared" si="2"/>
        <v>#DIV/0!</v>
      </c>
      <c r="F92" s="404">
        <f t="shared" si="3"/>
        <v>0</v>
      </c>
    </row>
    <row r="93" spans="1:7" ht="34.5" customHeight="1">
      <c r="A93" s="411" t="s">
        <v>339</v>
      </c>
      <c r="B93" s="412" t="s">
        <v>340</v>
      </c>
      <c r="C93" s="413">
        <v>807.26</v>
      </c>
      <c r="D93" s="402">
        <v>354.40499999999997</v>
      </c>
      <c r="E93" s="404">
        <f t="shared" si="2"/>
        <v>43.902212422267915</v>
      </c>
      <c r="F93" s="404">
        <f t="shared" si="3"/>
        <v>-452.85500000000002</v>
      </c>
    </row>
    <row r="94" spans="1:7" s="6" customFormat="1" ht="27" customHeight="1">
      <c r="A94" s="397" t="s">
        <v>55</v>
      </c>
      <c r="B94" s="398" t="s">
        <v>56</v>
      </c>
      <c r="C94" s="533">
        <f>SUM(C95:C99)</f>
        <v>136112.50013</v>
      </c>
      <c r="D94" s="414">
        <f>SUM(D95:D99)</f>
        <v>43737.764490000001</v>
      </c>
      <c r="E94" s="399">
        <f t="shared" si="2"/>
        <v>32.133539864616694</v>
      </c>
      <c r="F94" s="399">
        <f t="shared" si="3"/>
        <v>-92374.735639999999</v>
      </c>
    </row>
    <row r="95" spans="1:7" ht="27" customHeight="1">
      <c r="A95" s="400" t="s">
        <v>396</v>
      </c>
      <c r="B95" s="401" t="s">
        <v>397</v>
      </c>
      <c r="C95" s="415">
        <v>200</v>
      </c>
      <c r="D95" s="415">
        <v>113.625</v>
      </c>
      <c r="E95" s="404">
        <f t="shared" si="2"/>
        <v>56.8125</v>
      </c>
      <c r="F95" s="404">
        <f t="shared" si="3"/>
        <v>-86.375</v>
      </c>
    </row>
    <row r="96" spans="1:7" s="6" customFormat="1" ht="20.25" customHeight="1">
      <c r="A96" s="400" t="s">
        <v>57</v>
      </c>
      <c r="B96" s="403" t="s">
        <v>310</v>
      </c>
      <c r="C96" s="415">
        <v>21534.608029999999</v>
      </c>
      <c r="D96" s="402">
        <v>51.9315</v>
      </c>
      <c r="E96" s="404">
        <f t="shared" si="2"/>
        <v>0.24115368121701541</v>
      </c>
      <c r="F96" s="404">
        <f t="shared" si="3"/>
        <v>-21482.676530000001</v>
      </c>
      <c r="G96" s="50"/>
    </row>
    <row r="97" spans="1:7" s="6" customFormat="1" ht="20.25" customHeight="1">
      <c r="A97" s="400" t="s">
        <v>59</v>
      </c>
      <c r="B97" s="403" t="s">
        <v>392</v>
      </c>
      <c r="C97" s="415">
        <v>496</v>
      </c>
      <c r="D97" s="402">
        <v>446.65273999999999</v>
      </c>
      <c r="E97" s="404">
        <f t="shared" si="2"/>
        <v>90.050955645161295</v>
      </c>
      <c r="F97" s="404">
        <f t="shared" si="3"/>
        <v>-49.347260000000006</v>
      </c>
      <c r="G97" s="50"/>
    </row>
    <row r="98" spans="1:7" ht="26.25" customHeight="1">
      <c r="A98" s="400" t="s">
        <v>61</v>
      </c>
      <c r="B98" s="403" t="s">
        <v>62</v>
      </c>
      <c r="C98" s="415">
        <v>110086.65655</v>
      </c>
      <c r="D98" s="402">
        <v>42445.667950000003</v>
      </c>
      <c r="E98" s="404">
        <f t="shared" si="2"/>
        <v>38.55659648517139</v>
      </c>
      <c r="F98" s="404">
        <f t="shared" si="3"/>
        <v>-67640.988599999997</v>
      </c>
    </row>
    <row r="99" spans="1:7" ht="20.25">
      <c r="A99" s="400" t="s">
        <v>63</v>
      </c>
      <c r="B99" s="403" t="s">
        <v>64</v>
      </c>
      <c r="C99" s="415">
        <v>3795.2355499999999</v>
      </c>
      <c r="D99" s="402">
        <v>679.88729999999998</v>
      </c>
      <c r="E99" s="404">
        <f t="shared" si="2"/>
        <v>17.914231963810519</v>
      </c>
      <c r="F99" s="404">
        <f t="shared" si="3"/>
        <v>-3115.34825</v>
      </c>
    </row>
    <row r="100" spans="1:7" s="6" customFormat="1" ht="20.25">
      <c r="A100" s="397" t="s">
        <v>65</v>
      </c>
      <c r="B100" s="398" t="s">
        <v>66</v>
      </c>
      <c r="C100" s="389">
        <f>SUM(C101:C103)</f>
        <v>108964.69757999998</v>
      </c>
      <c r="D100" s="389">
        <f>SUM(D101:D103)</f>
        <v>24477.484619999999</v>
      </c>
      <c r="E100" s="399">
        <f t="shared" si="2"/>
        <v>22.463683342973585</v>
      </c>
      <c r="F100" s="399">
        <f t="shared" si="3"/>
        <v>-84487.212959999975</v>
      </c>
    </row>
    <row r="101" spans="1:7" ht="20.25">
      <c r="A101" s="400" t="s">
        <v>67</v>
      </c>
      <c r="B101" s="416" t="s">
        <v>68</v>
      </c>
      <c r="C101" s="402">
        <v>36074.857409999997</v>
      </c>
      <c r="D101" s="402">
        <v>4451.3663100000003</v>
      </c>
      <c r="E101" s="404">
        <f t="shared" si="2"/>
        <v>12.339248522618071</v>
      </c>
      <c r="F101" s="404">
        <f t="shared" si="3"/>
        <v>-31623.491099999996</v>
      </c>
    </row>
    <row r="102" spans="1:7" ht="23.25" customHeight="1">
      <c r="A102" s="400" t="s">
        <v>69</v>
      </c>
      <c r="B102" s="416" t="s">
        <v>70</v>
      </c>
      <c r="C102" s="402">
        <v>39830.615129999998</v>
      </c>
      <c r="D102" s="402">
        <v>13214.036480000001</v>
      </c>
      <c r="E102" s="404">
        <f t="shared" si="2"/>
        <v>33.175577220868298</v>
      </c>
      <c r="F102" s="404">
        <f t="shared" si="3"/>
        <v>-26616.578649999996</v>
      </c>
    </row>
    <row r="103" spans="1:7" ht="19.5" customHeight="1">
      <c r="A103" s="400" t="s">
        <v>71</v>
      </c>
      <c r="B103" s="403" t="s">
        <v>72</v>
      </c>
      <c r="C103" s="402">
        <v>33059.225039999998</v>
      </c>
      <c r="D103" s="402">
        <v>6812.0818300000001</v>
      </c>
      <c r="E103" s="404">
        <f t="shared" si="2"/>
        <v>20.605691215561539</v>
      </c>
      <c r="F103" s="404">
        <f t="shared" si="3"/>
        <v>-26247.143209999998</v>
      </c>
    </row>
    <row r="104" spans="1:7" s="6" customFormat="1" ht="20.25">
      <c r="A104" s="397" t="s">
        <v>73</v>
      </c>
      <c r="B104" s="417" t="s">
        <v>74</v>
      </c>
      <c r="C104" s="414">
        <f>SUM(C105)</f>
        <v>50</v>
      </c>
      <c r="D104" s="414">
        <f>SUM(D105)</f>
        <v>50</v>
      </c>
      <c r="E104" s="399">
        <f t="shared" si="2"/>
        <v>100</v>
      </c>
      <c r="F104" s="399">
        <f t="shared" si="3"/>
        <v>0</v>
      </c>
    </row>
    <row r="105" spans="1:7" ht="40.5">
      <c r="A105" s="400" t="s">
        <v>75</v>
      </c>
      <c r="B105" s="416" t="s">
        <v>76</v>
      </c>
      <c r="C105" s="404">
        <v>50</v>
      </c>
      <c r="D105" s="405">
        <v>50</v>
      </c>
      <c r="E105" s="404">
        <f t="shared" si="2"/>
        <v>100</v>
      </c>
      <c r="F105" s="404">
        <f t="shared" si="3"/>
        <v>0</v>
      </c>
    </row>
    <row r="106" spans="1:7" s="6" customFormat="1" ht="20.25">
      <c r="A106" s="397" t="s">
        <v>77</v>
      </c>
      <c r="B106" s="417" t="s">
        <v>78</v>
      </c>
      <c r="C106" s="414">
        <f>SUM(C107:C111)</f>
        <v>523302.0616999999</v>
      </c>
      <c r="D106" s="414">
        <f>D107+D108+D110+D111+D109</f>
        <v>311117.34545999998</v>
      </c>
      <c r="E106" s="399">
        <f t="shared" si="2"/>
        <v>59.452726872373418</v>
      </c>
      <c r="F106" s="399">
        <f t="shared" si="3"/>
        <v>-212184.71623999992</v>
      </c>
    </row>
    <row r="107" spans="1:7" ht="20.25">
      <c r="A107" s="400" t="s">
        <v>79</v>
      </c>
      <c r="B107" s="416" t="s">
        <v>247</v>
      </c>
      <c r="C107" s="415">
        <v>108223.81660999999</v>
      </c>
      <c r="D107" s="402">
        <v>61899.877899999999</v>
      </c>
      <c r="E107" s="404">
        <f t="shared" si="2"/>
        <v>57.196169788638173</v>
      </c>
      <c r="F107" s="404">
        <f t="shared" si="3"/>
        <v>-46323.938709999995</v>
      </c>
    </row>
    <row r="108" spans="1:7" ht="20.25">
      <c r="A108" s="400" t="s">
        <v>80</v>
      </c>
      <c r="B108" s="416" t="s">
        <v>248</v>
      </c>
      <c r="C108" s="415">
        <v>384025.55008999998</v>
      </c>
      <c r="D108" s="402">
        <v>229575.77608000001</v>
      </c>
      <c r="E108" s="404">
        <f t="shared" si="2"/>
        <v>59.781380698809436</v>
      </c>
      <c r="F108" s="404">
        <f t="shared" si="3"/>
        <v>-154449.77400999996</v>
      </c>
    </row>
    <row r="109" spans="1:7" ht="20.25">
      <c r="A109" s="400" t="s">
        <v>319</v>
      </c>
      <c r="B109" s="416" t="s">
        <v>320</v>
      </c>
      <c r="C109" s="415">
        <v>23909.599999999999</v>
      </c>
      <c r="D109" s="402">
        <v>15625.045620000001</v>
      </c>
      <c r="E109" s="404">
        <f t="shared" si="2"/>
        <v>65.350510338943351</v>
      </c>
      <c r="F109" s="404">
        <f t="shared" si="3"/>
        <v>-8284.5543799999978</v>
      </c>
    </row>
    <row r="110" spans="1:7" ht="20.25">
      <c r="A110" s="400" t="s">
        <v>81</v>
      </c>
      <c r="B110" s="416" t="s">
        <v>249</v>
      </c>
      <c r="C110" s="415">
        <v>3810</v>
      </c>
      <c r="D110" s="402">
        <v>2486.5659999999998</v>
      </c>
      <c r="E110" s="404">
        <f t="shared" si="2"/>
        <v>65.26419947506561</v>
      </c>
      <c r="F110" s="404">
        <f t="shared" si="3"/>
        <v>-1323.4340000000002</v>
      </c>
    </row>
    <row r="111" spans="1:7" ht="20.25">
      <c r="A111" s="400" t="s">
        <v>82</v>
      </c>
      <c r="B111" s="416" t="s">
        <v>250</v>
      </c>
      <c r="C111" s="415">
        <v>3333.0949999999998</v>
      </c>
      <c r="D111" s="402">
        <v>1530.0798600000001</v>
      </c>
      <c r="E111" s="404">
        <f t="shared" si="2"/>
        <v>45.905678055981006</v>
      </c>
      <c r="F111" s="404">
        <f t="shared" si="3"/>
        <v>-1803.0151399999997</v>
      </c>
    </row>
    <row r="112" spans="1:7" s="6" customFormat="1" ht="20.25">
      <c r="A112" s="397" t="s">
        <v>83</v>
      </c>
      <c r="B112" s="398" t="s">
        <v>84</v>
      </c>
      <c r="C112" s="389">
        <f>SUM(C113:C114)</f>
        <v>58479.476999999999</v>
      </c>
      <c r="D112" s="389">
        <f>SUM(D113:D114)</f>
        <v>32103.205159999998</v>
      </c>
      <c r="E112" s="399">
        <f t="shared" si="2"/>
        <v>54.896532607499203</v>
      </c>
      <c r="F112" s="399">
        <f t="shared" si="3"/>
        <v>-26376.271840000001</v>
      </c>
    </row>
    <row r="113" spans="1:7" ht="20.25">
      <c r="A113" s="400" t="s">
        <v>85</v>
      </c>
      <c r="B113" s="403" t="s">
        <v>230</v>
      </c>
      <c r="C113" s="402">
        <v>57379.476999999999</v>
      </c>
      <c r="D113" s="402">
        <v>31068.624349999998</v>
      </c>
      <c r="E113" s="404">
        <f t="shared" si="2"/>
        <v>54.145882769199858</v>
      </c>
      <c r="F113" s="404">
        <f t="shared" si="3"/>
        <v>-26310.852650000001</v>
      </c>
    </row>
    <row r="114" spans="1:7" ht="40.5">
      <c r="A114" s="400" t="s">
        <v>259</v>
      </c>
      <c r="B114" s="403" t="s">
        <v>260</v>
      </c>
      <c r="C114" s="402">
        <v>1100</v>
      </c>
      <c r="D114" s="402">
        <v>1034.5808099999999</v>
      </c>
      <c r="E114" s="404">
        <f t="shared" si="2"/>
        <v>94.052800909090905</v>
      </c>
      <c r="F114" s="404">
        <f t="shared" si="3"/>
        <v>-65.419190000000071</v>
      </c>
    </row>
    <row r="115" spans="1:7" s="6" customFormat="1" ht="20.25">
      <c r="A115" s="418">
        <v>1000</v>
      </c>
      <c r="B115" s="398" t="s">
        <v>86</v>
      </c>
      <c r="C115" s="389">
        <f>SUM(C116:C119)</f>
        <v>50562.986850000001</v>
      </c>
      <c r="D115" s="453">
        <f>D116+D117+D118+D119</f>
        <v>40615.346239999999</v>
      </c>
      <c r="E115" s="399">
        <f t="shared" si="2"/>
        <v>80.326240141804433</v>
      </c>
      <c r="F115" s="399">
        <f t="shared" si="3"/>
        <v>-9947.6406100000022</v>
      </c>
      <c r="G115" s="93"/>
    </row>
    <row r="116" spans="1:7" ht="20.25">
      <c r="A116" s="419">
        <v>1001</v>
      </c>
      <c r="B116" s="420" t="s">
        <v>87</v>
      </c>
      <c r="C116" s="402">
        <v>60</v>
      </c>
      <c r="D116" s="402">
        <v>8.3932300000000009</v>
      </c>
      <c r="E116" s="404">
        <f t="shared" si="2"/>
        <v>13.988716666666667</v>
      </c>
      <c r="F116" s="404">
        <f t="shared" si="3"/>
        <v>-51.606769999999997</v>
      </c>
    </row>
    <row r="117" spans="1:7" ht="20.25">
      <c r="A117" s="419">
        <v>1003</v>
      </c>
      <c r="B117" s="420" t="s">
        <v>88</v>
      </c>
      <c r="C117" s="402">
        <v>9986.8484900000003</v>
      </c>
      <c r="D117" s="402">
        <v>5219.9990900000003</v>
      </c>
      <c r="E117" s="404">
        <f t="shared" si="2"/>
        <v>52.268732175389196</v>
      </c>
      <c r="F117" s="404">
        <f t="shared" si="3"/>
        <v>-4766.8494000000001</v>
      </c>
    </row>
    <row r="118" spans="1:7" ht="20.25">
      <c r="A118" s="419">
        <v>1004</v>
      </c>
      <c r="B118" s="420" t="s">
        <v>89</v>
      </c>
      <c r="C118" s="402">
        <v>40242.837939999998</v>
      </c>
      <c r="D118" s="454">
        <v>35144.420160000001</v>
      </c>
      <c r="E118" s="404">
        <f t="shared" si="2"/>
        <v>87.330869190683131</v>
      </c>
      <c r="F118" s="404">
        <f t="shared" si="3"/>
        <v>-5098.4177799999961</v>
      </c>
    </row>
    <row r="119" spans="1:7" ht="33.75" customHeight="1">
      <c r="A119" s="400" t="s">
        <v>90</v>
      </c>
      <c r="B119" s="403" t="s">
        <v>91</v>
      </c>
      <c r="C119" s="402">
        <v>273.30041999999997</v>
      </c>
      <c r="D119" s="402">
        <v>242.53376</v>
      </c>
      <c r="E119" s="404">
        <f t="shared" si="2"/>
        <v>88.742549316243284</v>
      </c>
      <c r="F119" s="404">
        <f t="shared" si="3"/>
        <v>-30.766659999999973</v>
      </c>
    </row>
    <row r="120" spans="1:7" ht="20.25">
      <c r="A120" s="397" t="s">
        <v>92</v>
      </c>
      <c r="B120" s="398" t="s">
        <v>93</v>
      </c>
      <c r="C120" s="389">
        <f>C121+C122</f>
        <v>6887.9120000000003</v>
      </c>
      <c r="D120" s="389">
        <f>D121+D122</f>
        <v>4616.9920000000002</v>
      </c>
      <c r="E120" s="404">
        <f t="shared" si="2"/>
        <v>67.030356949972642</v>
      </c>
      <c r="F120" s="389">
        <f>F121+F122+F123+F124+F125</f>
        <v>-2270.92</v>
      </c>
    </row>
    <row r="121" spans="1:7" ht="20.25">
      <c r="A121" s="400" t="s">
        <v>94</v>
      </c>
      <c r="B121" s="403" t="s">
        <v>95</v>
      </c>
      <c r="C121" s="402">
        <v>475</v>
      </c>
      <c r="D121" s="402">
        <v>204.08</v>
      </c>
      <c r="E121" s="404">
        <f t="shared" si="2"/>
        <v>42.964210526315796</v>
      </c>
      <c r="F121" s="404">
        <f t="shared" ref="F121:F129" si="4">SUM(D121-C121)</f>
        <v>-270.91999999999996</v>
      </c>
    </row>
    <row r="122" spans="1:7" ht="18" customHeight="1">
      <c r="A122" s="400" t="s">
        <v>96</v>
      </c>
      <c r="B122" s="403" t="s">
        <v>97</v>
      </c>
      <c r="C122" s="402">
        <v>6412.9120000000003</v>
      </c>
      <c r="D122" s="402">
        <v>4412.9120000000003</v>
      </c>
      <c r="E122" s="404">
        <f t="shared" si="2"/>
        <v>68.81291993403309</v>
      </c>
      <c r="F122" s="404">
        <f t="shared" si="4"/>
        <v>-2000</v>
      </c>
    </row>
    <row r="123" spans="1:7" ht="15.75" customHeight="1">
      <c r="A123" s="400" t="s">
        <v>98</v>
      </c>
      <c r="B123" s="403" t="s">
        <v>99</v>
      </c>
      <c r="C123" s="402"/>
      <c r="D123" s="402"/>
      <c r="E123" s="404" t="e">
        <f t="shared" si="2"/>
        <v>#DIV/0!</v>
      </c>
      <c r="F123" s="404"/>
    </row>
    <row r="124" spans="1:7" ht="15.75" customHeight="1">
      <c r="A124" s="400" t="s">
        <v>100</v>
      </c>
      <c r="B124" s="403" t="s">
        <v>101</v>
      </c>
      <c r="C124" s="402"/>
      <c r="D124" s="402"/>
      <c r="E124" s="404" t="e">
        <f t="shared" si="2"/>
        <v>#DIV/0!</v>
      </c>
      <c r="F124" s="404"/>
    </row>
    <row r="125" spans="1:7" ht="0.75" customHeight="1">
      <c r="A125" s="400" t="s">
        <v>102</v>
      </c>
      <c r="B125" s="403" t="s">
        <v>103</v>
      </c>
      <c r="C125" s="402"/>
      <c r="D125" s="402"/>
      <c r="E125" s="404" t="e">
        <f t="shared" si="2"/>
        <v>#DIV/0!</v>
      </c>
      <c r="F125" s="404"/>
    </row>
    <row r="126" spans="1:7" ht="20.25" customHeight="1">
      <c r="A126" s="397" t="s">
        <v>104</v>
      </c>
      <c r="B126" s="398" t="s">
        <v>105</v>
      </c>
      <c r="C126" s="389">
        <f>C127</f>
        <v>45</v>
      </c>
      <c r="D126" s="455">
        <f>D127</f>
        <v>0</v>
      </c>
      <c r="E126" s="404">
        <f>SUM(D126/C126*100)</f>
        <v>0</v>
      </c>
      <c r="F126" s="404">
        <f t="shared" si="4"/>
        <v>-45</v>
      </c>
    </row>
    <row r="127" spans="1:7" ht="22.5" customHeight="1">
      <c r="A127" s="400" t="s">
        <v>106</v>
      </c>
      <c r="B127" s="403" t="s">
        <v>107</v>
      </c>
      <c r="C127" s="402">
        <v>45</v>
      </c>
      <c r="D127" s="402">
        <v>0</v>
      </c>
      <c r="E127" s="404">
        <f t="shared" si="2"/>
        <v>0</v>
      </c>
      <c r="F127" s="404">
        <f t="shared" si="4"/>
        <v>-45</v>
      </c>
    </row>
    <row r="128" spans="1:7" ht="19.5" customHeight="1">
      <c r="A128" s="397" t="s">
        <v>108</v>
      </c>
      <c r="B128" s="407" t="s">
        <v>109</v>
      </c>
      <c r="C128" s="421">
        <f>C129</f>
        <v>0</v>
      </c>
      <c r="D128" s="421">
        <v>0</v>
      </c>
      <c r="E128" s="404"/>
      <c r="F128" s="399">
        <f t="shared" si="4"/>
        <v>0</v>
      </c>
    </row>
    <row r="129" spans="1:8" ht="37.5" customHeight="1">
      <c r="A129" s="400" t="s">
        <v>110</v>
      </c>
      <c r="B129" s="409" t="s">
        <v>111</v>
      </c>
      <c r="C129" s="405">
        <v>0</v>
      </c>
      <c r="D129" s="405">
        <v>0</v>
      </c>
      <c r="E129" s="399"/>
      <c r="F129" s="404">
        <f t="shared" si="4"/>
        <v>0</v>
      </c>
    </row>
    <row r="130" spans="1:8" s="6" customFormat="1" ht="19.5" customHeight="1">
      <c r="A130" s="418">
        <v>1400</v>
      </c>
      <c r="B130" s="422" t="s">
        <v>112</v>
      </c>
      <c r="C130" s="414">
        <f>C131+C132+C133</f>
        <v>61706.449349999995</v>
      </c>
      <c r="D130" s="414">
        <f>D131+D132+D133</f>
        <v>32294.677629999998</v>
      </c>
      <c r="E130" s="399">
        <f t="shared" si="2"/>
        <v>52.335984277468398</v>
      </c>
      <c r="F130" s="399">
        <f t="shared" si="3"/>
        <v>-29411.771719999997</v>
      </c>
    </row>
    <row r="131" spans="1:8" ht="40.5" customHeight="1">
      <c r="A131" s="419">
        <v>1401</v>
      </c>
      <c r="B131" s="420" t="s">
        <v>113</v>
      </c>
      <c r="C131" s="415">
        <v>53257.1</v>
      </c>
      <c r="D131" s="402">
        <v>31066.644</v>
      </c>
      <c r="E131" s="404">
        <f t="shared" si="2"/>
        <v>58.3333377145958</v>
      </c>
      <c r="F131" s="404">
        <f t="shared" si="3"/>
        <v>-22190.455999999998</v>
      </c>
    </row>
    <row r="132" spans="1:8" ht="24.75" customHeight="1">
      <c r="A132" s="419">
        <v>1402</v>
      </c>
      <c r="B132" s="420" t="s">
        <v>114</v>
      </c>
      <c r="C132" s="415">
        <v>0</v>
      </c>
      <c r="D132" s="402">
        <v>0</v>
      </c>
      <c r="E132" s="404" t="e">
        <f t="shared" si="2"/>
        <v>#DIV/0!</v>
      </c>
      <c r="F132" s="404">
        <f t="shared" si="3"/>
        <v>0</v>
      </c>
    </row>
    <row r="133" spans="1:8" ht="27" customHeight="1">
      <c r="A133" s="419">
        <v>1403</v>
      </c>
      <c r="B133" s="420" t="s">
        <v>115</v>
      </c>
      <c r="C133" s="415">
        <v>8449.3493500000004</v>
      </c>
      <c r="D133" s="402">
        <v>1228.0336299999999</v>
      </c>
      <c r="E133" s="404">
        <f t="shared" si="2"/>
        <v>14.534061489598601</v>
      </c>
      <c r="F133" s="404">
        <f t="shared" si="3"/>
        <v>-7221.3157200000005</v>
      </c>
    </row>
    <row r="134" spans="1:8" s="6" customFormat="1" ht="20.25">
      <c r="A134" s="418"/>
      <c r="B134" s="423" t="s">
        <v>116</v>
      </c>
      <c r="C134" s="534">
        <f>C78+C86+C88+C94+C100+C104+C106+C112+C115+C120+C126+C128+C130</f>
        <v>1002373.5398299998</v>
      </c>
      <c r="D134" s="534">
        <f>D78+D86+D88+D94+D100+D104+D106+D112+D115+D120+D126+D128+D130</f>
        <v>518041.04268000001</v>
      </c>
      <c r="E134" s="399">
        <f t="shared" si="2"/>
        <v>51.681436320421881</v>
      </c>
      <c r="F134" s="399">
        <f t="shared" si="3"/>
        <v>-484332.49714999978</v>
      </c>
      <c r="G134" s="93"/>
      <c r="H134" s="93"/>
    </row>
    <row r="135" spans="1:8" ht="20.25">
      <c r="A135" s="424"/>
      <c r="B135" s="425"/>
      <c r="C135" s="426"/>
      <c r="D135" s="438"/>
      <c r="E135" s="427"/>
      <c r="F135" s="427"/>
    </row>
    <row r="136" spans="1:8" s="65" customFormat="1" ht="20.25">
      <c r="A136" s="428" t="s">
        <v>117</v>
      </c>
      <c r="B136" s="428"/>
      <c r="C136" s="429"/>
      <c r="D136" s="429"/>
      <c r="E136" s="430"/>
      <c r="F136" s="430"/>
    </row>
    <row r="137" spans="1:8" s="65" customFormat="1" ht="20.25">
      <c r="A137" s="431" t="s">
        <v>118</v>
      </c>
      <c r="B137" s="431"/>
      <c r="C137" s="429" t="s">
        <v>119</v>
      </c>
      <c r="D137" s="429"/>
      <c r="E137" s="430"/>
      <c r="F137" s="430"/>
    </row>
  </sheetData>
  <customSheetViews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61528DAC-5C4C-48F4-ADE2-8A724B05A086}" scale="60" showPageBreaks="1" printArea="1" hiddenRows="1" view="pageBreakPreview" topLeftCell="A47">
      <selection activeCell="D70" sqref="D70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3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4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8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10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9" orientation="portrait" r:id="rId11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5" zoomScale="70" zoomScaleNormal="100" zoomScaleSheetLayoutView="70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30" t="s">
        <v>419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250.46879999999999</v>
      </c>
      <c r="E4" s="5">
        <f>SUM(D4/C4*100)</f>
        <v>40.808250647636733</v>
      </c>
      <c r="F4" s="5">
        <f>SUM(D4-C4)</f>
        <v>-363.30119999999999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44.409930000000003</v>
      </c>
      <c r="E5" s="5">
        <f t="shared" ref="E5:E47" si="0">SUM(D5/C5*100)</f>
        <v>54.827074074074076</v>
      </c>
      <c r="F5" s="5">
        <f t="shared" ref="F5:F47" si="1">SUM(D5-C5)</f>
        <v>-36.590069999999997</v>
      </c>
    </row>
    <row r="6" spans="1:6">
      <c r="A6" s="7">
        <v>1010200001</v>
      </c>
      <c r="B6" s="8" t="s">
        <v>225</v>
      </c>
      <c r="C6" s="9">
        <v>81</v>
      </c>
      <c r="D6" s="10">
        <v>44.409930000000003</v>
      </c>
      <c r="E6" s="9">
        <f t="shared" ref="E6:E11" si="2">SUM(D6/C6*100)</f>
        <v>54.827074074074076</v>
      </c>
      <c r="F6" s="9">
        <f t="shared" si="1"/>
        <v>-36.590069999999997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188.85361</v>
      </c>
      <c r="E7" s="9">
        <f t="shared" si="2"/>
        <v>65.855427694668208</v>
      </c>
      <c r="F7" s="9">
        <f t="shared" si="1"/>
        <v>-97.916389999999978</v>
      </c>
    </row>
    <row r="8" spans="1:6">
      <c r="A8" s="7">
        <v>1030223001</v>
      </c>
      <c r="B8" s="8" t="s">
        <v>269</v>
      </c>
      <c r="C8" s="9">
        <v>106.965</v>
      </c>
      <c r="D8" s="10">
        <v>92.317149999999998</v>
      </c>
      <c r="E8" s="9">
        <f t="shared" si="2"/>
        <v>86.305941195718219</v>
      </c>
      <c r="F8" s="9">
        <f t="shared" si="1"/>
        <v>-14.647850000000005</v>
      </c>
    </row>
    <row r="9" spans="1:6">
      <c r="A9" s="7">
        <v>1030224001</v>
      </c>
      <c r="B9" s="8" t="s">
        <v>273</v>
      </c>
      <c r="C9" s="9">
        <v>1.147</v>
      </c>
      <c r="D9" s="10">
        <v>0.54318</v>
      </c>
      <c r="E9" s="9">
        <f t="shared" si="2"/>
        <v>47.356582388840451</v>
      </c>
      <c r="F9" s="9">
        <f t="shared" si="1"/>
        <v>-0.60382000000000002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106.68196</v>
      </c>
      <c r="E10" s="9">
        <f t="shared" si="2"/>
        <v>59.712948762439979</v>
      </c>
      <c r="F10" s="9">
        <f t="shared" si="1"/>
        <v>-71.976039999999983</v>
      </c>
    </row>
    <row r="11" spans="1:6">
      <c r="A11" s="7">
        <v>1030226001</v>
      </c>
      <c r="B11" s="8" t="s">
        <v>274</v>
      </c>
      <c r="C11" s="9">
        <v>0</v>
      </c>
      <c r="D11" s="10">
        <v>-10.68868</v>
      </c>
      <c r="E11" s="9" t="e">
        <f t="shared" si="2"/>
        <v>#DIV/0!</v>
      </c>
      <c r="F11" s="9">
        <f t="shared" si="1"/>
        <v>-10.68868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16.405260000000002</v>
      </c>
      <c r="E14" s="5">
        <f t="shared" si="0"/>
        <v>7.0408841201716736</v>
      </c>
      <c r="F14" s="5">
        <f t="shared" si="1"/>
        <v>-216.59474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0.40133000000000002</v>
      </c>
      <c r="E15" s="9">
        <f t="shared" si="0"/>
        <v>0.46666279069767441</v>
      </c>
      <c r="F15" s="9">
        <f>SUM(D15-C15)</f>
        <v>-85.598669999999998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16.00393</v>
      </c>
      <c r="E16" s="9">
        <f t="shared" si="0"/>
        <v>10.887027210884353</v>
      </c>
      <c r="F16" s="9">
        <f t="shared" si="1"/>
        <v>-130.99607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0.35255999999999998</v>
      </c>
      <c r="E25" s="5">
        <f t="shared" si="0"/>
        <v>0.70511999999999997</v>
      </c>
      <c r="F25" s="5">
        <f t="shared" si="1"/>
        <v>-49.647440000000003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0</v>
      </c>
      <c r="E26" s="5">
        <f t="shared" si="0"/>
        <v>0</v>
      </c>
      <c r="F26" s="5">
        <f t="shared" si="1"/>
        <v>-50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0</v>
      </c>
      <c r="E27" s="9">
        <f t="shared" si="0"/>
        <v>0</v>
      </c>
      <c r="F27" s="9">
        <f t="shared" si="1"/>
        <v>-50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413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250.82136</v>
      </c>
      <c r="E37" s="5">
        <f t="shared" si="0"/>
        <v>37.787390210464466</v>
      </c>
      <c r="F37" s="5">
        <f t="shared" si="1"/>
        <v>-412.94863999999995</v>
      </c>
    </row>
    <row r="38" spans="1:11" s="6" customFormat="1">
      <c r="A38" s="3">
        <v>2000000000</v>
      </c>
      <c r="B38" s="4" t="s">
        <v>17</v>
      </c>
      <c r="C38" s="187">
        <f>C39+C40+C41+C42+C43+C44</f>
        <v>6443.0119699999996</v>
      </c>
      <c r="D38" s="187">
        <f>D39+D40+D41+D42+D43+D45+D44</f>
        <v>2131.288</v>
      </c>
      <c r="E38" s="5">
        <f t="shared" si="0"/>
        <v>33.079063176100235</v>
      </c>
      <c r="F38" s="5">
        <f t="shared" si="1"/>
        <v>-4311.7239699999991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1073.0999999999999</v>
      </c>
      <c r="E39" s="9">
        <f t="shared" si="0"/>
        <v>58.333333333333329</v>
      </c>
      <c r="F39" s="9">
        <f t="shared" si="1"/>
        <v>-766.5</v>
      </c>
    </row>
    <row r="40" spans="1:11" ht="15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3143.1107200000001</v>
      </c>
      <c r="D41" s="10">
        <v>534.01</v>
      </c>
      <c r="E41" s="9">
        <f t="shared" si="0"/>
        <v>16.989856469326032</v>
      </c>
      <c r="F41" s="9">
        <f t="shared" si="1"/>
        <v>-2609.1007200000004</v>
      </c>
    </row>
    <row r="42" spans="1:11" ht="19.5" customHeight="1">
      <c r="A42" s="16">
        <v>2023000000</v>
      </c>
      <c r="B42" s="17" t="s">
        <v>20</v>
      </c>
      <c r="C42" s="216">
        <v>94.305000000000007</v>
      </c>
      <c r="D42" s="180">
        <v>66.576999999999998</v>
      </c>
      <c r="E42" s="9">
        <f t="shared" si="0"/>
        <v>70.597529293250616</v>
      </c>
      <c r="F42" s="9">
        <f t="shared" si="1"/>
        <v>-27.728000000000009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22.75</v>
      </c>
      <c r="E44" s="9">
        <f t="shared" si="0"/>
        <v>2.4432278422727283</v>
      </c>
      <c r="F44" s="9">
        <f t="shared" si="1"/>
        <v>-908.39525000000003</v>
      </c>
    </row>
    <row r="45" spans="1:11" ht="17.25" hidden="1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37" customFormat="1" ht="17.25" hidden="1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72">
        <f>C37+C38</f>
        <v>7106.78197</v>
      </c>
      <c r="D47" s="463">
        <f>D37+D38</f>
        <v>2382.1093599999999</v>
      </c>
      <c r="E47" s="272">
        <f t="shared" si="0"/>
        <v>33.518818644720568</v>
      </c>
      <c r="F47" s="272">
        <f t="shared" si="1"/>
        <v>-4724.6726099999996</v>
      </c>
      <c r="G47" s="193"/>
      <c r="H47" s="193"/>
      <c r="K47" s="128"/>
    </row>
    <row r="48" spans="1:11" s="6" customFormat="1">
      <c r="A48" s="3"/>
      <c r="B48" s="21" t="s">
        <v>308</v>
      </c>
      <c r="C48" s="468">
        <f>C47-C94</f>
        <v>-683.03895999999986</v>
      </c>
      <c r="D48" s="5">
        <f>D47-D94</f>
        <v>-628.70069999999987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409</v>
      </c>
      <c r="D50" s="471" t="s">
        <v>416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1257.3430000000001</v>
      </c>
      <c r="D52" s="22">
        <f>D54+D57+D58+D59</f>
        <v>761.93657999999994</v>
      </c>
      <c r="E52" s="34">
        <f>SUM(D52/C52*100)</f>
        <v>60.598943963580332</v>
      </c>
      <c r="F52" s="34">
        <f>SUM(D52-C52)</f>
        <v>-495.40642000000014</v>
      </c>
    </row>
    <row r="53" spans="1:6" s="6" customFormat="1" ht="31.5" hidden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1244.693</v>
      </c>
      <c r="D54" s="91">
        <v>759.28657999999996</v>
      </c>
      <c r="E54" s="38">
        <f>SUM(D54/C54*100)</f>
        <v>61.001916135143361</v>
      </c>
      <c r="F54" s="38">
        <f t="shared" ref="F54:F94" si="3">SUM(D54-C54)</f>
        <v>-485.40642000000003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hidden="1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10</v>
      </c>
      <c r="D58" s="102">
        <v>0</v>
      </c>
      <c r="E58" s="38">
        <f t="shared" si="4"/>
        <v>0</v>
      </c>
      <c r="F58" s="38">
        <f t="shared" si="3"/>
        <v>-10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94.305000000000007</v>
      </c>
      <c r="D60" s="22">
        <f>D61</f>
        <v>48.449300000000001</v>
      </c>
      <c r="E60" s="34">
        <f t="shared" si="4"/>
        <v>51.375112666348542</v>
      </c>
      <c r="F60" s="34">
        <f t="shared" si="3"/>
        <v>-45.855700000000006</v>
      </c>
    </row>
    <row r="61" spans="1:6">
      <c r="A61" s="43" t="s">
        <v>45</v>
      </c>
      <c r="B61" s="44" t="s">
        <v>46</v>
      </c>
      <c r="C61" s="91">
        <v>94.305000000000007</v>
      </c>
      <c r="D61" s="91">
        <v>48.449300000000001</v>
      </c>
      <c r="E61" s="38">
        <f t="shared" si="4"/>
        <v>51.375112666348542</v>
      </c>
      <c r="F61" s="38">
        <f t="shared" si="3"/>
        <v>-45.855700000000006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5.83134</v>
      </c>
      <c r="E62" s="34">
        <f t="shared" si="4"/>
        <v>32.396333333333331</v>
      </c>
      <c r="F62" s="34">
        <f t="shared" si="3"/>
        <v>-12.168659999999999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3</v>
      </c>
      <c r="E66" s="38">
        <f t="shared" si="4"/>
        <v>23.076923076923077</v>
      </c>
      <c r="F66" s="38">
        <f t="shared" si="3"/>
        <v>-10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866.10996</v>
      </c>
      <c r="D68" s="103">
        <f>D71+D72+D69+D70</f>
        <v>660.63850000000002</v>
      </c>
      <c r="E68" s="34">
        <f t="shared" si="4"/>
        <v>76.276515744028629</v>
      </c>
      <c r="F68" s="34">
        <f t="shared" si="3"/>
        <v>-205.47145999999998</v>
      </c>
    </row>
    <row r="69" spans="1:7" ht="16.5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14.45</v>
      </c>
      <c r="D72" s="91">
        <v>0</v>
      </c>
      <c r="E72" s="38">
        <f t="shared" si="4"/>
        <v>0</v>
      </c>
      <c r="F72" s="38">
        <f t="shared" si="3"/>
        <v>-14.45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5257.4629699999996</v>
      </c>
      <c r="D73" s="22">
        <f>D76+D75</f>
        <v>1360.4193399999999</v>
      </c>
      <c r="E73" s="34">
        <f t="shared" si="4"/>
        <v>25.875966179177862</v>
      </c>
      <c r="F73" s="34">
        <f t="shared" si="3"/>
        <v>-3897.0436299999997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hidden="1" customHeight="1">
      <c r="A75" s="35" t="s">
        <v>69</v>
      </c>
      <c r="B75" s="51" t="s">
        <v>70</v>
      </c>
      <c r="C75" s="91">
        <v>4774.5879699999996</v>
      </c>
      <c r="D75" s="91">
        <v>1279.58475</v>
      </c>
      <c r="E75" s="38">
        <f t="shared" si="4"/>
        <v>26.799898924053128</v>
      </c>
      <c r="F75" s="38">
        <f t="shared" si="3"/>
        <v>-3495.0032199999996</v>
      </c>
    </row>
    <row r="76" spans="1:7" ht="16.5" customHeight="1">
      <c r="A76" s="35" t="s">
        <v>71</v>
      </c>
      <c r="B76" s="39" t="s">
        <v>72</v>
      </c>
      <c r="C76" s="91">
        <v>482.875</v>
      </c>
      <c r="D76" s="91">
        <v>80.834590000000006</v>
      </c>
      <c r="E76" s="38">
        <f t="shared" si="4"/>
        <v>16.740272327206835</v>
      </c>
      <c r="F76" s="38">
        <f t="shared" si="3"/>
        <v>-402.04041000000001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168</v>
      </c>
      <c r="E77" s="34">
        <f t="shared" si="4"/>
        <v>58.618283321702712</v>
      </c>
      <c r="F77" s="34">
        <f t="shared" si="3"/>
        <v>-118.60000000000002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168</v>
      </c>
      <c r="E78" s="38">
        <f t="shared" si="4"/>
        <v>58.618283321702712</v>
      </c>
      <c r="F78" s="38">
        <f t="shared" si="3"/>
        <v>-118.60000000000002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hidden="1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10</v>
      </c>
      <c r="D84" s="22">
        <f>D85</f>
        <v>5.5350000000000001</v>
      </c>
      <c r="E84" s="38">
        <f t="shared" si="4"/>
        <v>55.35</v>
      </c>
      <c r="F84" s="22">
        <f>F85+F86+F87+F88+F89</f>
        <v>-4.4649999999999999</v>
      </c>
    </row>
    <row r="85" spans="1:7" ht="16.5" customHeight="1">
      <c r="A85" s="35" t="s">
        <v>94</v>
      </c>
      <c r="B85" s="39" t="s">
        <v>95</v>
      </c>
      <c r="C85" s="91">
        <v>10</v>
      </c>
      <c r="D85" s="91">
        <v>5.5350000000000001</v>
      </c>
      <c r="E85" s="38">
        <v>0</v>
      </c>
      <c r="F85" s="38">
        <f>SUM(D85-C85)</f>
        <v>-4.4649999999999999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56">
        <f>C52+C60+C62+C68+C73+C77+C84</f>
        <v>7789.8209299999999</v>
      </c>
      <c r="D94" s="456">
        <f>D52+D60+D62+D68+D73+D77+D79+D84+D90</f>
        <v>3010.8100599999998</v>
      </c>
      <c r="E94" s="126">
        <f t="shared" si="4"/>
        <v>38.650568312871343</v>
      </c>
      <c r="F94" s="34">
        <f t="shared" si="3"/>
        <v>-4779.0108700000001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61528DAC-5C4C-48F4-ADE2-8A724B05A086}" scale="70" showPageBreaks="1" printArea="1" hiddenRows="1" view="pageBreakPreview" topLeftCell="A32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5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8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9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10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H143"/>
  <sheetViews>
    <sheetView view="pageBreakPreview" zoomScale="70" zoomScaleNormal="100" zoomScaleSheetLayoutView="70" workbookViewId="0">
      <selection activeCell="D56" sqref="D56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420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1720.9442599999998</v>
      </c>
      <c r="E4" s="5">
        <f>SUM(D4/C4*100)</f>
        <v>46.607741848120455</v>
      </c>
      <c r="F4" s="5">
        <f>SUM(D4-C4)</f>
        <v>-1971.4557400000003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503.40728999999999</v>
      </c>
      <c r="E5" s="5">
        <f t="shared" ref="E5:E53" si="0">SUM(D5/C5*100)</f>
        <v>127.12305303030303</v>
      </c>
      <c r="F5" s="5">
        <f t="shared" ref="F5:F53" si="1">SUM(D5-C5)</f>
        <v>107.40728999999999</v>
      </c>
    </row>
    <row r="6" spans="1:6">
      <c r="A6" s="7">
        <v>1010200001</v>
      </c>
      <c r="B6" s="8" t="s">
        <v>225</v>
      </c>
      <c r="C6" s="9">
        <v>396</v>
      </c>
      <c r="D6" s="10">
        <v>503.40728999999999</v>
      </c>
      <c r="E6" s="9">
        <f t="shared" ref="E6:E11" si="2">SUM(D6/C6*100)</f>
        <v>127.12305303030303</v>
      </c>
      <c r="F6" s="9">
        <f t="shared" si="1"/>
        <v>107.40728999999999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542.25298999999984</v>
      </c>
      <c r="E7" s="5">
        <f t="shared" si="2"/>
        <v>65.855354627155677</v>
      </c>
      <c r="F7" s="5">
        <f t="shared" si="1"/>
        <v>-281.14701000000014</v>
      </c>
    </row>
    <row r="8" spans="1:6">
      <c r="A8" s="7">
        <v>1030223001</v>
      </c>
      <c r="B8" s="8" t="s">
        <v>269</v>
      </c>
      <c r="C8" s="9">
        <v>307.12799999999999</v>
      </c>
      <c r="D8" s="10">
        <v>265.06905999999998</v>
      </c>
      <c r="E8" s="9">
        <f t="shared" si="2"/>
        <v>86.305729207366312</v>
      </c>
      <c r="F8" s="9">
        <f t="shared" si="1"/>
        <v>-42.058940000000007</v>
      </c>
    </row>
    <row r="9" spans="1:6">
      <c r="A9" s="7">
        <v>1030224001</v>
      </c>
      <c r="B9" s="8" t="s">
        <v>275</v>
      </c>
      <c r="C9" s="9">
        <v>3.294</v>
      </c>
      <c r="D9" s="10">
        <v>1.5596399999999999</v>
      </c>
      <c r="E9" s="9">
        <f t="shared" si="2"/>
        <v>47.34790528233151</v>
      </c>
      <c r="F9" s="9">
        <f t="shared" si="1"/>
        <v>-1.7343600000000001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306.31461999999999</v>
      </c>
      <c r="E10" s="9">
        <f t="shared" si="2"/>
        <v>59.713013033697358</v>
      </c>
      <c r="F10" s="9">
        <f t="shared" si="1"/>
        <v>-206.66337999999996</v>
      </c>
    </row>
    <row r="11" spans="1:6">
      <c r="A11" s="7">
        <v>1030226001</v>
      </c>
      <c r="B11" s="8" t="s">
        <v>277</v>
      </c>
      <c r="C11" s="9">
        <v>0</v>
      </c>
      <c r="D11" s="10">
        <v>-30.690329999999999</v>
      </c>
      <c r="E11" s="9" t="e">
        <f t="shared" si="2"/>
        <v>#DIV/0!</v>
      </c>
      <c r="F11" s="9">
        <f t="shared" si="1"/>
        <v>-30.690329999999999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227">
        <f>D15+D16</f>
        <v>628.00700999999992</v>
      </c>
      <c r="E14" s="5">
        <f t="shared" si="0"/>
        <v>25.972167493796523</v>
      </c>
      <c r="F14" s="5">
        <f t="shared" si="1"/>
        <v>-1789.9929900000002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14.0617</v>
      </c>
      <c r="E15" s="5">
        <f t="shared" si="0"/>
        <v>1.37455522971652</v>
      </c>
      <c r="F15" s="9">
        <f>SUM(D15-C15)</f>
        <v>-1008.9383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613.94530999999995</v>
      </c>
      <c r="E16" s="5">
        <f t="shared" si="0"/>
        <v>44.010416487455196</v>
      </c>
      <c r="F16" s="9">
        <f t="shared" si="1"/>
        <v>-781.05469000000005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4.7699999999999996</v>
      </c>
      <c r="E17" s="5">
        <f t="shared" si="0"/>
        <v>47.699999999999996</v>
      </c>
      <c r="F17" s="5">
        <f t="shared" si="1"/>
        <v>-5.23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4.7699999999999996</v>
      </c>
      <c r="E18" s="9">
        <f t="shared" si="0"/>
        <v>47.699999999999996</v>
      </c>
      <c r="F18" s="9">
        <f t="shared" si="1"/>
        <v>-5.23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65.46499</v>
      </c>
      <c r="E25" s="5">
        <f t="shared" si="0"/>
        <v>23.380353571428572</v>
      </c>
      <c r="F25" s="5">
        <f t="shared" si="1"/>
        <v>-214.53501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0</v>
      </c>
      <c r="E26" s="5">
        <f t="shared" si="0"/>
        <v>0</v>
      </c>
      <c r="F26" s="5">
        <f t="shared" si="1"/>
        <v>-250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0</v>
      </c>
      <c r="E28" s="9">
        <f t="shared" si="0"/>
        <v>0</v>
      </c>
      <c r="F28" s="9">
        <f t="shared" si="1"/>
        <v>-200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42.664990000000003</v>
      </c>
      <c r="E30" s="5">
        <f t="shared" si="0"/>
        <v>142.21663333333333</v>
      </c>
      <c r="F30" s="5">
        <f t="shared" si="1"/>
        <v>12.664990000000003</v>
      </c>
    </row>
    <row r="31" spans="1:6" ht="18" customHeight="1">
      <c r="A31" s="7">
        <v>1130206510</v>
      </c>
      <c r="B31" s="8" t="s">
        <v>410</v>
      </c>
      <c r="C31" s="9">
        <v>30</v>
      </c>
      <c r="D31" s="10">
        <v>41.176990000000004</v>
      </c>
      <c r="E31" s="9">
        <f>SUM(D31/C31*100)</f>
        <v>137.25663333333335</v>
      </c>
      <c r="F31" s="9">
        <f t="shared" si="1"/>
        <v>11.176990000000004</v>
      </c>
    </row>
    <row r="32" spans="1:6" ht="18" customHeight="1">
      <c r="A32" s="7">
        <v>1130299000</v>
      </c>
      <c r="B32" s="8" t="s">
        <v>316</v>
      </c>
      <c r="C32" s="9"/>
      <c r="D32" s="10">
        <v>1.488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22.8</v>
      </c>
      <c r="E33" s="5" t="e">
        <f t="shared" si="0"/>
        <v>#DIV/0!</v>
      </c>
      <c r="F33" s="5">
        <f t="shared" si="1"/>
        <v>22.8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6.5" hidden="1" customHeight="1">
      <c r="A36" s="99">
        <v>1160000000</v>
      </c>
      <c r="B36" s="13" t="s">
        <v>241</v>
      </c>
      <c r="C36" s="5">
        <f>C37</f>
        <v>0</v>
      </c>
      <c r="D36" s="14">
        <f>D37</f>
        <v>0</v>
      </c>
      <c r="E36" s="9" t="e">
        <f t="shared" si="0"/>
        <v>#DIV/0!</v>
      </c>
      <c r="F36" s="9">
        <f t="shared" si="1"/>
        <v>0</v>
      </c>
    </row>
    <row r="37" spans="1:7" ht="46.5" hidden="1" customHeight="1">
      <c r="A37" s="7">
        <v>1160701010</v>
      </c>
      <c r="B37" s="8" t="s">
        <v>401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hidden="1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1786.4092499999997</v>
      </c>
      <c r="E41" s="5">
        <f t="shared" si="0"/>
        <v>44.970527892457952</v>
      </c>
      <c r="F41" s="5">
        <f t="shared" si="1"/>
        <v>-2185.9907500000004</v>
      </c>
    </row>
    <row r="42" spans="1:7" s="6" customFormat="1" ht="20.25" customHeight="1">
      <c r="A42" s="3">
        <v>2000000000</v>
      </c>
      <c r="B42" s="4" t="s">
        <v>17</v>
      </c>
      <c r="C42" s="442">
        <f>C43+C44+C45+C47+C48+C46+C49</f>
        <v>26954.695150000003</v>
      </c>
      <c r="D42" s="442">
        <f>D43+D44+D45+D47+D48+D46+D49</f>
        <v>8249.8012600000002</v>
      </c>
      <c r="E42" s="5">
        <f t="shared" si="0"/>
        <v>30.606175340105818</v>
      </c>
      <c r="F42" s="5">
        <f t="shared" si="1"/>
        <v>-18704.893890000003</v>
      </c>
      <c r="G42" s="19"/>
    </row>
    <row r="43" spans="1:7" ht="17.25" customHeight="1">
      <c r="A43" s="16">
        <v>2021000000</v>
      </c>
      <c r="B43" s="17" t="s">
        <v>18</v>
      </c>
      <c r="C43" s="443">
        <v>5604.2</v>
      </c>
      <c r="D43" s="444">
        <v>3269.1190000000001</v>
      </c>
      <c r="E43" s="9">
        <f t="shared" si="0"/>
        <v>58.33337496877342</v>
      </c>
      <c r="F43" s="9">
        <f t="shared" si="1"/>
        <v>-2335.0809999999997</v>
      </c>
    </row>
    <row r="44" spans="1:7" ht="27.75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20874.37225</v>
      </c>
      <c r="D45" s="10">
        <v>4781.3043600000001</v>
      </c>
      <c r="E45" s="9">
        <f t="shared" si="0"/>
        <v>22.905140824055202</v>
      </c>
      <c r="F45" s="9">
        <f t="shared" si="1"/>
        <v>-16093.06789</v>
      </c>
    </row>
    <row r="46" spans="1:7" ht="23.25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257.20389999999998</v>
      </c>
      <c r="D47" s="180">
        <v>174.25389999999999</v>
      </c>
      <c r="E47" s="9">
        <f t="shared" si="0"/>
        <v>67.749322619136024</v>
      </c>
      <c r="F47" s="9">
        <f t="shared" si="1"/>
        <v>-82.949999999999989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25.123999999999999</v>
      </c>
      <c r="E48" s="9">
        <f t="shared" si="0"/>
        <v>11.476390811213278</v>
      </c>
      <c r="F48" s="9">
        <f t="shared" si="1"/>
        <v>-193.79500000000002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30927.095150000005</v>
      </c>
      <c r="D53" s="464">
        <f>D41+D42</f>
        <v>10036.210510000001</v>
      </c>
      <c r="E53" s="5">
        <f t="shared" si="0"/>
        <v>32.451190327844287</v>
      </c>
      <c r="F53" s="5">
        <f t="shared" si="1"/>
        <v>-20890.884640000004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-1794.739789999996</v>
      </c>
      <c r="D54" s="5">
        <f>D53-D102</f>
        <v>-753.20300999999745</v>
      </c>
      <c r="E54" s="22"/>
      <c r="F54" s="22"/>
    </row>
    <row r="55" spans="1:8" ht="15.75" hidden="1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409</v>
      </c>
      <c r="D56" s="471" t="s">
        <v>416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73">
        <f>C59+C60+C61+C62+C63+C65+C64</f>
        <v>2101.6309999999999</v>
      </c>
      <c r="D58" s="101">
        <f>D59+D60+D61+D62+D63+D65+D64</f>
        <v>868.15634999999997</v>
      </c>
      <c r="E58" s="34">
        <f>SUM(D58/C58*100)</f>
        <v>41.308695484602197</v>
      </c>
      <c r="F58" s="34">
        <f>SUM(D58-C58)</f>
        <v>-1233.4746499999999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855.84434999999996</v>
      </c>
      <c r="E60" s="38">
        <f t="shared" ref="E60:E102" si="3">SUM(D60/C60*100)</f>
        <v>41.159838870322446</v>
      </c>
      <c r="F60" s="38">
        <f t="shared" ref="F60:F102" si="4">SUM(D60-C60)</f>
        <v>-1223.4746500000001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hidden="1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74">
        <f>C67</f>
        <v>235.76499999999999</v>
      </c>
      <c r="D66" s="22">
        <f>D67</f>
        <v>116.20977999999999</v>
      </c>
      <c r="E66" s="34">
        <f t="shared" si="3"/>
        <v>49.290513859139395</v>
      </c>
      <c r="F66" s="34">
        <f t="shared" si="4"/>
        <v>-119.55521999999999</v>
      </c>
    </row>
    <row r="67" spans="1:7">
      <c r="A67" s="43" t="s">
        <v>45</v>
      </c>
      <c r="B67" s="44" t="s">
        <v>46</v>
      </c>
      <c r="C67" s="91">
        <v>235.76499999999999</v>
      </c>
      <c r="D67" s="91">
        <v>116.20977999999999</v>
      </c>
      <c r="E67" s="38">
        <f t="shared" si="3"/>
        <v>49.290513859139395</v>
      </c>
      <c r="F67" s="38">
        <f t="shared" si="4"/>
        <v>-119.55521999999999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23</v>
      </c>
      <c r="D68" s="22">
        <f>D71+D73+D72</f>
        <v>11.731339999999999</v>
      </c>
      <c r="E68" s="34">
        <f t="shared" si="3"/>
        <v>51.005826086956517</v>
      </c>
      <c r="F68" s="34">
        <f t="shared" si="4"/>
        <v>-11.268660000000001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14</v>
      </c>
      <c r="D71" s="91">
        <v>7.6313399999999998</v>
      </c>
      <c r="E71" s="34">
        <f t="shared" si="3"/>
        <v>54.509571428571427</v>
      </c>
      <c r="F71" s="34">
        <f t="shared" si="4"/>
        <v>-6.3686600000000002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2.1</v>
      </c>
      <c r="E72" s="38">
        <f t="shared" ref="E72" si="5">SUM(D72/C72*100)</f>
        <v>30</v>
      </c>
      <c r="F72" s="38">
        <f t="shared" ref="F72" si="6">SUM(D72-C72)</f>
        <v>-4.9000000000000004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9" t="s">
        <v>55</v>
      </c>
      <c r="B74" s="31" t="s">
        <v>56</v>
      </c>
      <c r="C74" s="475">
        <f>C76+C77+C78+C75</f>
        <v>2972.07555</v>
      </c>
      <c r="D74" s="103">
        <f>SUM(D75:D78)</f>
        <v>1020.1797</v>
      </c>
      <c r="E74" s="34">
        <f t="shared" si="3"/>
        <v>34.325496873725164</v>
      </c>
      <c r="F74" s="34">
        <f t="shared" si="4"/>
        <v>-1951.8958499999999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9.5" customHeight="1">
      <c r="A76" s="35" t="s">
        <v>59</v>
      </c>
      <c r="B76" s="39" t="s">
        <v>60</v>
      </c>
      <c r="C76" s="104">
        <v>0</v>
      </c>
      <c r="D76" s="91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990.74080000000004</v>
      </c>
      <c r="E77" s="38">
        <f t="shared" si="3"/>
        <v>36.501475279355859</v>
      </c>
      <c r="F77" s="38">
        <f t="shared" si="4"/>
        <v>-1723.50785</v>
      </c>
    </row>
    <row r="78" spans="1:7">
      <c r="A78" s="35" t="s">
        <v>63</v>
      </c>
      <c r="B78" s="39" t="s">
        <v>64</v>
      </c>
      <c r="C78" s="104">
        <v>236.38800000000001</v>
      </c>
      <c r="D78" s="91">
        <v>8</v>
      </c>
      <c r="E78" s="38">
        <f t="shared" si="3"/>
        <v>3.3842665448330709</v>
      </c>
      <c r="F78" s="38">
        <f t="shared" si="4"/>
        <v>-228.38800000000001</v>
      </c>
    </row>
    <row r="79" spans="1:7" s="6" customFormat="1" ht="24" customHeight="1">
      <c r="A79" s="30" t="s">
        <v>65</v>
      </c>
      <c r="B79" s="31" t="s">
        <v>66</v>
      </c>
      <c r="C79" s="476">
        <f>SUM(C80:C83)</f>
        <v>24047.463389999997</v>
      </c>
      <c r="D79" s="22">
        <f>SUM(D80:D83)</f>
        <v>6847.6319999999996</v>
      </c>
      <c r="E79" s="34">
        <f t="shared" si="3"/>
        <v>28.47548570485629</v>
      </c>
      <c r="F79" s="34">
        <f t="shared" si="4"/>
        <v>-17199.831389999999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hidden="1" customHeight="1">
      <c r="A81" s="35" t="s">
        <v>69</v>
      </c>
      <c r="B81" s="51" t="s">
        <v>70</v>
      </c>
      <c r="C81" s="91">
        <v>3413.6649400000001</v>
      </c>
      <c r="D81" s="91">
        <v>767.16165999999998</v>
      </c>
      <c r="E81" s="38">
        <f t="shared" si="3"/>
        <v>22.473255972216183</v>
      </c>
      <c r="F81" s="38">
        <f t="shared" si="4"/>
        <v>-2646.5032799999999</v>
      </c>
    </row>
    <row r="82" spans="1:6" ht="15" customHeight="1">
      <c r="A82" s="35" t="s">
        <v>71</v>
      </c>
      <c r="B82" s="39" t="s">
        <v>72</v>
      </c>
      <c r="C82" s="91">
        <v>20633.798449999998</v>
      </c>
      <c r="D82" s="91">
        <v>6080.4703399999999</v>
      </c>
      <c r="E82" s="38">
        <f t="shared" si="3"/>
        <v>29.46849730423726</v>
      </c>
      <c r="F82" s="38">
        <f t="shared" si="4"/>
        <v>-14553.328109999999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1925.5043499999999</v>
      </c>
      <c r="E84" s="34">
        <f t="shared" si="3"/>
        <v>57.789980191482336</v>
      </c>
      <c r="F84" s="34">
        <f t="shared" si="4"/>
        <v>-1406.3956500000002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1925.5043499999999</v>
      </c>
      <c r="E85" s="38">
        <f t="shared" si="3"/>
        <v>57.789980191482336</v>
      </c>
      <c r="F85" s="38">
        <f t="shared" si="4"/>
        <v>-1406.3956500000002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hidden="1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10</v>
      </c>
      <c r="D92" s="22">
        <f>D93+D94+D95+D96+D97</f>
        <v>0</v>
      </c>
      <c r="E92" s="34">
        <f t="shared" si="3"/>
        <v>0</v>
      </c>
      <c r="F92" s="22">
        <f>F93+F94+F95+F96+F97</f>
        <v>-10</v>
      </c>
    </row>
    <row r="93" spans="1:6" ht="15.75" customHeight="1">
      <c r="A93" s="35" t="s">
        <v>94</v>
      </c>
      <c r="B93" s="39" t="s">
        <v>95</v>
      </c>
      <c r="C93" s="91">
        <v>10</v>
      </c>
      <c r="D93" s="91">
        <v>0</v>
      </c>
      <c r="E93" s="38">
        <f t="shared" si="3"/>
        <v>0</v>
      </c>
      <c r="F93" s="38">
        <f>SUM(D93-C93)</f>
        <v>-10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56">
        <f>C58+C66+C68+C74+C79+C84+C92+C87+C98</f>
        <v>32721.834940000001</v>
      </c>
      <c r="D102" s="456">
        <f>D58+D66+D68+D74+D79+D84+D92+D87+D98</f>
        <v>10789.413519999998</v>
      </c>
      <c r="E102" s="34">
        <f t="shared" si="3"/>
        <v>32.973131059990607</v>
      </c>
      <c r="F102" s="34">
        <f t="shared" si="4"/>
        <v>-21932.421420000002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61528DAC-5C4C-48F4-ADE2-8A724B05A086}" scale="70" showPageBreaks="1" printArea="1" hiddenRows="1" view="pageBreakPreview" topLeftCell="A43">
      <selection activeCell="C93" sqref="C93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4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5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7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8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9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10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4" orientation="portrait" r:id="rId1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5"/>
  <sheetViews>
    <sheetView view="pageBreakPreview" topLeftCell="A34" zoomScale="70" zoomScaleNormal="100" zoomScaleSheetLayoutView="70" workbookViewId="0">
      <selection activeCell="D102" sqref="C102:D102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421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839.57088999999996</v>
      </c>
      <c r="E4" s="5">
        <f>SUM(D4/C4*100)</f>
        <v>38.024560569210635</v>
      </c>
      <c r="F4" s="5">
        <f>SUM(D4-C4)</f>
        <v>-1368.3991099999998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27.599029999999999</v>
      </c>
      <c r="E5" s="5">
        <f t="shared" ref="E5:E54" si="0">SUM(D5/C5*100)</f>
        <v>22.999191666666665</v>
      </c>
      <c r="F5" s="5">
        <f t="shared" ref="F5:F54" si="1">SUM(D5-C5)</f>
        <v>-92.400970000000001</v>
      </c>
    </row>
    <row r="6" spans="1:6">
      <c r="A6" s="7">
        <v>1010200001</v>
      </c>
      <c r="B6" s="8" t="s">
        <v>225</v>
      </c>
      <c r="C6" s="9">
        <v>120</v>
      </c>
      <c r="D6" s="10">
        <v>27.599029999999999</v>
      </c>
      <c r="E6" s="9">
        <f t="shared" ref="E6:E11" si="2">SUM(D6/C6*100)</f>
        <v>22.999191666666665</v>
      </c>
      <c r="F6" s="9">
        <f t="shared" si="1"/>
        <v>-92.400970000000001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512.33556999999996</v>
      </c>
      <c r="E7" s="9">
        <f t="shared" si="2"/>
        <v>65.855440441148119</v>
      </c>
      <c r="F7" s="9">
        <f t="shared" si="1"/>
        <v>-265.63442999999995</v>
      </c>
    </row>
    <row r="8" spans="1:6">
      <c r="A8" s="7">
        <v>1030223001</v>
      </c>
      <c r="B8" s="8" t="s">
        <v>269</v>
      </c>
      <c r="C8" s="9">
        <v>290.18299999999999</v>
      </c>
      <c r="D8" s="10">
        <v>250.44459000000001</v>
      </c>
      <c r="E8" s="9">
        <f t="shared" si="2"/>
        <v>86.305741549298205</v>
      </c>
      <c r="F8" s="9">
        <f t="shared" si="1"/>
        <v>-39.738409999999988</v>
      </c>
    </row>
    <row r="9" spans="1:6">
      <c r="A9" s="7">
        <v>1030224001</v>
      </c>
      <c r="B9" s="8" t="s">
        <v>275</v>
      </c>
      <c r="C9" s="9">
        <v>3.1120000000000001</v>
      </c>
      <c r="D9" s="10">
        <v>1.47357</v>
      </c>
      <c r="E9" s="9">
        <f t="shared" si="2"/>
        <v>47.35122107969152</v>
      </c>
      <c r="F9" s="9">
        <f t="shared" si="1"/>
        <v>-1.6384300000000001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289.41449</v>
      </c>
      <c r="E10" s="9">
        <f t="shared" si="2"/>
        <v>59.713104657760354</v>
      </c>
      <c r="F10" s="9">
        <f t="shared" si="1"/>
        <v>-195.26051000000001</v>
      </c>
    </row>
    <row r="11" spans="1:6">
      <c r="A11" s="7">
        <v>1030226001</v>
      </c>
      <c r="B11" s="8" t="s">
        <v>277</v>
      </c>
      <c r="C11" s="9">
        <v>0</v>
      </c>
      <c r="D11" s="10">
        <v>-28.99708</v>
      </c>
      <c r="E11" s="9" t="e">
        <f t="shared" si="2"/>
        <v>#DIV/0!</v>
      </c>
      <c r="F11" s="9">
        <f t="shared" si="1"/>
        <v>-28.99708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295.94328999999999</v>
      </c>
      <c r="E14" s="5">
        <f t="shared" si="0"/>
        <v>22.835130401234569</v>
      </c>
      <c r="F14" s="5">
        <f t="shared" si="1"/>
        <v>-1000.0567100000001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181.28701000000001</v>
      </c>
      <c r="E15" s="9">
        <f t="shared" si="0"/>
        <v>44.651972906403941</v>
      </c>
      <c r="F15" s="9">
        <f>SUM(D15-C15)</f>
        <v>-224.71298999999999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114.65628</v>
      </c>
      <c r="E16" s="9">
        <f t="shared" si="0"/>
        <v>12.882728089887641</v>
      </c>
      <c r="F16" s="9">
        <f t="shared" si="1"/>
        <v>-775.34371999999996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0.9</v>
      </c>
      <c r="E17" s="5">
        <f t="shared" si="0"/>
        <v>22.5</v>
      </c>
      <c r="F17" s="5">
        <f t="shared" si="1"/>
        <v>-3.1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0.9</v>
      </c>
      <c r="E18" s="9">
        <f t="shared" si="0"/>
        <v>22.5</v>
      </c>
      <c r="F18" s="9">
        <f t="shared" si="1"/>
        <v>-3.1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300</v>
      </c>
      <c r="D25" s="5">
        <f>D26+D30+D33+D39+D36</f>
        <v>134.77941999999999</v>
      </c>
      <c r="E25" s="5">
        <f t="shared" si="0"/>
        <v>44.926473333333327</v>
      </c>
      <c r="F25" s="5">
        <f t="shared" si="1"/>
        <v>-165.22058000000001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89.850560000000002</v>
      </c>
      <c r="E26" s="5">
        <f t="shared" si="0"/>
        <v>33.277985185185187</v>
      </c>
      <c r="F26" s="5">
        <f t="shared" si="1"/>
        <v>-180.14944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71.694559999999996</v>
      </c>
      <c r="E28" s="9">
        <f t="shared" si="0"/>
        <v>28.677823999999998</v>
      </c>
      <c r="F28" s="9">
        <f t="shared" si="1"/>
        <v>-178.30544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31.213619999999999</v>
      </c>
      <c r="E30" s="5">
        <f t="shared" si="0"/>
        <v>104.0454</v>
      </c>
      <c r="F30" s="5">
        <f t="shared" si="1"/>
        <v>1.2136199999999988</v>
      </c>
    </row>
    <row r="31" spans="1:6" ht="31.5">
      <c r="A31" s="7">
        <v>1130206510</v>
      </c>
      <c r="B31" s="8" t="s">
        <v>410</v>
      </c>
      <c r="C31" s="9">
        <v>30</v>
      </c>
      <c r="D31" s="10">
        <v>29.053619999999999</v>
      </c>
      <c r="E31" s="9">
        <f t="shared" si="0"/>
        <v>96.845399999999998</v>
      </c>
      <c r="F31" s="9">
        <f t="shared" si="1"/>
        <v>-0.94638000000000133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0</v>
      </c>
      <c r="D36" s="5">
        <f>D38+D37</f>
        <v>13.71524</v>
      </c>
      <c r="E36" s="5" t="e">
        <f t="shared" si="0"/>
        <v>#DIV/0!</v>
      </c>
      <c r="F36" s="5">
        <f t="shared" si="1"/>
        <v>13.71524</v>
      </c>
    </row>
    <row r="37" spans="1:7" ht="24.75" customHeight="1">
      <c r="A37" s="7">
        <v>1160709000</v>
      </c>
      <c r="B37" s="8" t="s">
        <v>406</v>
      </c>
      <c r="C37" s="9">
        <v>0</v>
      </c>
      <c r="D37" s="9">
        <v>13.71524</v>
      </c>
      <c r="E37" s="9" t="e">
        <f>SUM(D37/C37*100)</f>
        <v>#DIV/0!</v>
      </c>
      <c r="F37" s="9">
        <f>SUM(D37-C37)</f>
        <v>13.71524</v>
      </c>
    </row>
    <row r="38" spans="1:7" ht="30.75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C40+C41</f>
        <v>0</v>
      </c>
      <c r="D39" s="5">
        <f>D40+D41</f>
        <v>0</v>
      </c>
      <c r="E39" s="9" t="e">
        <f t="shared" si="0"/>
        <v>#DIV/0!</v>
      </c>
      <c r="F39" s="5">
        <f t="shared" si="1"/>
        <v>0</v>
      </c>
    </row>
    <row r="40" spans="1:7" ht="0.75" hidden="1" customHeight="1">
      <c r="A40" s="7">
        <v>1170105005</v>
      </c>
      <c r="B40" s="8" t="s">
        <v>15</v>
      </c>
      <c r="C40" s="9">
        <v>0</v>
      </c>
      <c r="D40" s="9">
        <v>0</v>
      </c>
      <c r="E40" s="9" t="e">
        <f t="shared" si="0"/>
        <v>#DIV/0!</v>
      </c>
      <c r="F40" s="9">
        <f t="shared" si="1"/>
        <v>0</v>
      </c>
    </row>
    <row r="41" spans="1:7" s="276" customFormat="1" ht="21.75" hidden="1" customHeight="1">
      <c r="A41" s="273">
        <v>1170505005</v>
      </c>
      <c r="B41" s="274" t="s">
        <v>217</v>
      </c>
      <c r="C41" s="143">
        <v>0</v>
      </c>
      <c r="D41" s="440">
        <v>0</v>
      </c>
      <c r="E41" s="275" t="e">
        <f t="shared" si="0"/>
        <v>#DIV/0!</v>
      </c>
      <c r="F41" s="275">
        <f t="shared" si="1"/>
        <v>0</v>
      </c>
    </row>
    <row r="42" spans="1:7" s="6" customFormat="1" ht="15" customHeight="1">
      <c r="A42" s="3">
        <v>1000000000</v>
      </c>
      <c r="B42" s="4" t="s">
        <v>16</v>
      </c>
      <c r="C42" s="125">
        <f>SUM(C4,C25)</f>
        <v>2507.9699999999998</v>
      </c>
      <c r="D42" s="125">
        <f>D4+D25</f>
        <v>974.35030999999992</v>
      </c>
      <c r="E42" s="5">
        <f t="shared" si="0"/>
        <v>38.850158095989983</v>
      </c>
      <c r="F42" s="5">
        <f t="shared" si="1"/>
        <v>-1533.61969</v>
      </c>
    </row>
    <row r="43" spans="1:7" s="6" customFormat="1">
      <c r="A43" s="3">
        <v>2000000000</v>
      </c>
      <c r="B43" s="4" t="s">
        <v>17</v>
      </c>
      <c r="C43" s="227">
        <f>C44+C46+C48+C49+C50+C51+C45+C47+C53</f>
        <v>13292.110139999999</v>
      </c>
      <c r="D43" s="250">
        <f>D44+D46+D48+D49+D50+D51+D45+D47+D53</f>
        <v>4980.5712199999998</v>
      </c>
      <c r="E43" s="5">
        <f t="shared" si="0"/>
        <v>37.470132037289908</v>
      </c>
      <c r="F43" s="5">
        <f t="shared" si="1"/>
        <v>-8311.5389199999991</v>
      </c>
      <c r="G43" s="19"/>
    </row>
    <row r="44" spans="1:7">
      <c r="A44" s="16">
        <v>2021000000</v>
      </c>
      <c r="B44" s="17" t="s">
        <v>18</v>
      </c>
      <c r="C44" s="441">
        <v>2693</v>
      </c>
      <c r="D44" s="20">
        <v>1570.9190000000001</v>
      </c>
      <c r="E44" s="9">
        <f t="shared" si="0"/>
        <v>58.333419977720013</v>
      </c>
      <c r="F44" s="9">
        <f t="shared" si="1"/>
        <v>-1122.0809999999999</v>
      </c>
    </row>
    <row r="45" spans="1:7">
      <c r="A45" s="16">
        <v>2021500200</v>
      </c>
      <c r="B45" s="17" t="s">
        <v>228</v>
      </c>
      <c r="C45" s="12"/>
      <c r="D45" s="20">
        <v>0</v>
      </c>
      <c r="E45" s="9" t="e">
        <f t="shared" si="0"/>
        <v>#DIV/0!</v>
      </c>
      <c r="F45" s="9">
        <f t="shared" si="1"/>
        <v>0</v>
      </c>
    </row>
    <row r="46" spans="1:7" ht="15" customHeight="1">
      <c r="A46" s="16">
        <v>2022000000</v>
      </c>
      <c r="B46" s="17" t="s">
        <v>19</v>
      </c>
      <c r="C46" s="12">
        <v>7559.90344</v>
      </c>
      <c r="D46" s="10">
        <v>2507.1476400000001</v>
      </c>
      <c r="E46" s="9">
        <f t="shared" si="0"/>
        <v>33.163752155014301</v>
      </c>
      <c r="F46" s="9">
        <f t="shared" si="1"/>
        <v>-5052.7557999999999</v>
      </c>
    </row>
    <row r="47" spans="1:7">
      <c r="A47" s="16">
        <v>2022999910</v>
      </c>
      <c r="B47" s="18" t="s">
        <v>331</v>
      </c>
      <c r="C47" s="12"/>
      <c r="D47" s="10">
        <v>0</v>
      </c>
      <c r="E47" s="9" t="e">
        <f>SUM(D47/C47*100)</f>
        <v>#DIV/0!</v>
      </c>
      <c r="F47" s="9">
        <f>SUM(D47-C47)</f>
        <v>0</v>
      </c>
    </row>
    <row r="48" spans="1:7">
      <c r="A48" s="16">
        <v>2023000000</v>
      </c>
      <c r="B48" s="17" t="s">
        <v>20</v>
      </c>
      <c r="C48" s="12">
        <v>108.5819</v>
      </c>
      <c r="D48" s="180">
        <v>66.573999999999998</v>
      </c>
      <c r="E48" s="9">
        <f>SUM(D48/C48*100)</f>
        <v>61.312244490103787</v>
      </c>
      <c r="F48" s="9">
        <f>SUM(D48-C48)</f>
        <v>-42.007900000000006</v>
      </c>
    </row>
    <row r="49" spans="1:8">
      <c r="A49" s="16">
        <v>2024000000</v>
      </c>
      <c r="B49" s="17" t="s">
        <v>21</v>
      </c>
      <c r="C49" s="12">
        <v>1894.40842</v>
      </c>
      <c r="D49" s="181">
        <v>388.20274000000001</v>
      </c>
      <c r="E49" s="9">
        <f t="shared" si="0"/>
        <v>20.492029907679569</v>
      </c>
      <c r="F49" s="9">
        <f t="shared" si="1"/>
        <v>-1506.20568</v>
      </c>
    </row>
    <row r="50" spans="1:8" ht="0.75" hidden="1" customHeight="1">
      <c r="A50" s="16">
        <v>2020700000</v>
      </c>
      <c r="B50" s="18" t="s">
        <v>22</v>
      </c>
      <c r="C50" s="12"/>
      <c r="D50" s="181"/>
      <c r="E50" s="9" t="e">
        <f t="shared" si="0"/>
        <v>#DIV/0!</v>
      </c>
      <c r="F50" s="9">
        <f t="shared" si="1"/>
        <v>0</v>
      </c>
    </row>
    <row r="51" spans="1:8" ht="0.75" hidden="1" customHeight="1">
      <c r="A51" s="7">
        <v>2190500005</v>
      </c>
      <c r="B51" s="11" t="s">
        <v>23</v>
      </c>
      <c r="C51" s="10">
        <v>0</v>
      </c>
      <c r="D51" s="10">
        <v>0</v>
      </c>
      <c r="E51" s="9" t="e">
        <f t="shared" si="0"/>
        <v>#DIV/0!</v>
      </c>
      <c r="F51" s="9">
        <f>SUM(D51-C51)</f>
        <v>0</v>
      </c>
    </row>
    <row r="52" spans="1:8" s="6" customFormat="1" ht="2.25" hidden="1" customHeight="1">
      <c r="A52" s="3">
        <v>3000000000</v>
      </c>
      <c r="B52" s="13" t="s">
        <v>24</v>
      </c>
      <c r="C52" s="184">
        <v>0</v>
      </c>
      <c r="D52" s="14">
        <v>0</v>
      </c>
      <c r="E52" s="5" t="e">
        <f t="shared" si="0"/>
        <v>#DIV/0!</v>
      </c>
      <c r="F52" s="5">
        <f t="shared" si="1"/>
        <v>0</v>
      </c>
    </row>
    <row r="53" spans="1:8" s="6" customFormat="1">
      <c r="A53" s="7">
        <v>2070500010</v>
      </c>
      <c r="B53" s="17" t="s">
        <v>332</v>
      </c>
      <c r="C53" s="12">
        <v>1036.2163800000001</v>
      </c>
      <c r="D53" s="10">
        <v>447.72784000000001</v>
      </c>
      <c r="E53" s="9">
        <f t="shared" si="0"/>
        <v>43.20794851747084</v>
      </c>
      <c r="F53" s="9">
        <f t="shared" si="1"/>
        <v>-588.48854000000006</v>
      </c>
    </row>
    <row r="54" spans="1:8" s="6" customFormat="1" ht="23.25" customHeight="1">
      <c r="A54" s="3"/>
      <c r="B54" s="4" t="s">
        <v>25</v>
      </c>
      <c r="C54" s="227">
        <f>C42+C43</f>
        <v>15800.080139999998</v>
      </c>
      <c r="D54" s="465">
        <f>D42+D43</f>
        <v>5954.9215299999996</v>
      </c>
      <c r="E54" s="5">
        <f t="shared" si="0"/>
        <v>37.689185606877565</v>
      </c>
      <c r="F54" s="5">
        <f t="shared" si="1"/>
        <v>-9845.1586099999986</v>
      </c>
      <c r="G54" s="93"/>
      <c r="H54" s="93"/>
    </row>
    <row r="55" spans="1:8" s="6" customFormat="1">
      <c r="A55" s="3"/>
      <c r="B55" s="21" t="s">
        <v>307</v>
      </c>
      <c r="C55" s="5">
        <f>C54-C103</f>
        <v>-1106.9668700000038</v>
      </c>
      <c r="D55" s="5">
        <f>D54-D103</f>
        <v>-686.45944999999938</v>
      </c>
      <c r="E55" s="22"/>
      <c r="F55" s="22"/>
    </row>
    <row r="56" spans="1:8" ht="32.25" customHeight="1">
      <c r="A56" s="23"/>
      <c r="B56" s="24"/>
      <c r="C56" s="177"/>
      <c r="D56" s="25"/>
      <c r="E56" s="26"/>
      <c r="F56" s="27"/>
    </row>
    <row r="57" spans="1:8" ht="63">
      <c r="A57" s="28" t="s">
        <v>0</v>
      </c>
      <c r="B57" s="28" t="s">
        <v>26</v>
      </c>
      <c r="C57" s="72" t="s">
        <v>409</v>
      </c>
      <c r="D57" s="471" t="s">
        <v>416</v>
      </c>
      <c r="E57" s="72" t="s">
        <v>2</v>
      </c>
      <c r="F57" s="73" t="s">
        <v>3</v>
      </c>
    </row>
    <row r="58" spans="1:8">
      <c r="A58" s="88">
        <v>1</v>
      </c>
      <c r="B58" s="28">
        <v>2</v>
      </c>
      <c r="C58" s="86">
        <v>3</v>
      </c>
      <c r="D58" s="86">
        <v>4</v>
      </c>
      <c r="E58" s="86">
        <v>5</v>
      </c>
      <c r="F58" s="86">
        <v>6</v>
      </c>
    </row>
    <row r="59" spans="1:8" s="6" customFormat="1" ht="18" customHeight="1">
      <c r="A59" s="30" t="s">
        <v>27</v>
      </c>
      <c r="B59" s="31" t="s">
        <v>28</v>
      </c>
      <c r="C59" s="22">
        <f>C60+C61+C62+C63+C64+C66+C65</f>
        <v>1680.6880000000001</v>
      </c>
      <c r="D59" s="101">
        <f>D60+D61+D62+D63+D64+D66+D65</f>
        <v>646.36961999999994</v>
      </c>
      <c r="E59" s="34">
        <f>SUM(D59/C59*100)</f>
        <v>38.458632417200569</v>
      </c>
      <c r="F59" s="34">
        <f>SUM(D59-C59)</f>
        <v>-1034.3183800000002</v>
      </c>
    </row>
    <row r="60" spans="1:8" s="6" customFormat="1" ht="1.5" hidden="1" customHeight="1">
      <c r="A60" s="35" t="s">
        <v>29</v>
      </c>
      <c r="B60" s="36" t="s">
        <v>30</v>
      </c>
      <c r="C60" s="91">
        <v>0</v>
      </c>
      <c r="D60" s="91">
        <v>0</v>
      </c>
      <c r="E60" s="38" t="e">
        <f>SUM(D60/C60*100)</f>
        <v>#DIV/0!</v>
      </c>
      <c r="F60" s="38">
        <f>SUM(D60-C60)</f>
        <v>0</v>
      </c>
    </row>
    <row r="61" spans="1:8" ht="13.5" customHeight="1">
      <c r="A61" s="35" t="s">
        <v>31</v>
      </c>
      <c r="B61" s="39" t="s">
        <v>32</v>
      </c>
      <c r="C61" s="91">
        <v>1659.26</v>
      </c>
      <c r="D61" s="91">
        <v>639.94161999999994</v>
      </c>
      <c r="E61" s="38">
        <f t="shared" ref="E61:E103" si="3">SUM(D61/C61*100)</f>
        <v>38.567892916119227</v>
      </c>
      <c r="F61" s="38">
        <f t="shared" ref="F61:F103" si="4">SUM(D61-C61)</f>
        <v>-1019.31838</v>
      </c>
    </row>
    <row r="62" spans="1:8" ht="16.5" hidden="1" customHeight="1">
      <c r="A62" s="35" t="s">
        <v>33</v>
      </c>
      <c r="B62" s="39" t="s">
        <v>34</v>
      </c>
      <c r="C62" s="91"/>
      <c r="D62" s="91"/>
      <c r="E62" s="38"/>
      <c r="F62" s="38">
        <f t="shared" si="4"/>
        <v>0</v>
      </c>
    </row>
    <row r="63" spans="1:8" ht="31.5" hidden="1" customHeight="1">
      <c r="A63" s="35" t="s">
        <v>35</v>
      </c>
      <c r="B63" s="39" t="s">
        <v>36</v>
      </c>
      <c r="C63" s="91"/>
      <c r="D63" s="91"/>
      <c r="E63" s="38" t="e">
        <f t="shared" si="3"/>
        <v>#DIV/0!</v>
      </c>
      <c r="F63" s="38">
        <f t="shared" si="4"/>
        <v>0</v>
      </c>
    </row>
    <row r="64" spans="1:8" ht="19.5" hidden="1" customHeight="1">
      <c r="A64" s="35" t="s">
        <v>37</v>
      </c>
      <c r="B64" s="39" t="s">
        <v>38</v>
      </c>
      <c r="C64" s="91">
        <v>0</v>
      </c>
      <c r="D64" s="91">
        <v>0</v>
      </c>
      <c r="E64" s="38" t="e">
        <f t="shared" si="3"/>
        <v>#DIV/0!</v>
      </c>
      <c r="F64" s="38">
        <f t="shared" si="4"/>
        <v>0</v>
      </c>
    </row>
    <row r="65" spans="1:7" ht="15.75" customHeight="1">
      <c r="A65" s="35" t="s">
        <v>39</v>
      </c>
      <c r="B65" s="39" t="s">
        <v>40</v>
      </c>
      <c r="C65" s="102">
        <v>10</v>
      </c>
      <c r="D65" s="102">
        <v>0</v>
      </c>
      <c r="E65" s="38">
        <f t="shared" si="3"/>
        <v>0</v>
      </c>
      <c r="F65" s="38">
        <f t="shared" si="4"/>
        <v>-10</v>
      </c>
    </row>
    <row r="66" spans="1:7" ht="14.25" customHeight="1">
      <c r="A66" s="35" t="s">
        <v>41</v>
      </c>
      <c r="B66" s="39" t="s">
        <v>42</v>
      </c>
      <c r="C66" s="91">
        <v>11.428000000000001</v>
      </c>
      <c r="D66" s="91">
        <v>6.4279999999999999</v>
      </c>
      <c r="E66" s="38">
        <f t="shared" si="3"/>
        <v>56.247812390619522</v>
      </c>
      <c r="F66" s="38">
        <f t="shared" si="4"/>
        <v>-5.0000000000000009</v>
      </c>
    </row>
    <row r="67" spans="1:7" s="6" customFormat="1">
      <c r="A67" s="41" t="s">
        <v>43</v>
      </c>
      <c r="B67" s="42" t="s">
        <v>44</v>
      </c>
      <c r="C67" s="22">
        <f>C68</f>
        <v>94.305999999999997</v>
      </c>
      <c r="D67" s="22">
        <f>D68</f>
        <v>46.29665</v>
      </c>
      <c r="E67" s="34">
        <f t="shared" si="3"/>
        <v>49.091945369329629</v>
      </c>
      <c r="F67" s="34">
        <f t="shared" si="4"/>
        <v>-48.009349999999998</v>
      </c>
    </row>
    <row r="68" spans="1:7" ht="15" customHeight="1">
      <c r="A68" s="43" t="s">
        <v>45</v>
      </c>
      <c r="B68" s="44" t="s">
        <v>46</v>
      </c>
      <c r="C68" s="91">
        <v>94.305999999999997</v>
      </c>
      <c r="D68" s="91">
        <v>46.29665</v>
      </c>
      <c r="E68" s="38">
        <f t="shared" si="3"/>
        <v>49.091945369329629</v>
      </c>
      <c r="F68" s="38">
        <f t="shared" si="4"/>
        <v>-48.009349999999998</v>
      </c>
    </row>
    <row r="69" spans="1:7" s="6" customFormat="1" ht="18" customHeight="1">
      <c r="A69" s="30" t="s">
        <v>47</v>
      </c>
      <c r="B69" s="31" t="s">
        <v>48</v>
      </c>
      <c r="C69" s="22">
        <f>C72+C73+C74</f>
        <v>38.5</v>
      </c>
      <c r="D69" s="22">
        <f>D72+D73+D74</f>
        <v>4.83134</v>
      </c>
      <c r="E69" s="34">
        <f t="shared" si="3"/>
        <v>12.548935064935065</v>
      </c>
      <c r="F69" s="34">
        <f t="shared" si="4"/>
        <v>-33.668660000000003</v>
      </c>
    </row>
    <row r="70" spans="1:7" ht="0.75" hidden="1" customHeight="1">
      <c r="A70" s="35" t="s">
        <v>49</v>
      </c>
      <c r="B70" s="39" t="s">
        <v>50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8" hidden="1" customHeight="1">
      <c r="A71" s="45" t="s">
        <v>51</v>
      </c>
      <c r="B71" s="39" t="s">
        <v>52</v>
      </c>
      <c r="C71" s="91"/>
      <c r="D71" s="91"/>
      <c r="E71" s="34" t="e">
        <f t="shared" si="3"/>
        <v>#DIV/0!</v>
      </c>
      <c r="F71" s="34">
        <f t="shared" si="4"/>
        <v>0</v>
      </c>
    </row>
    <row r="72" spans="1:7" ht="17.25" customHeight="1">
      <c r="A72" s="46" t="s">
        <v>53</v>
      </c>
      <c r="B72" s="47" t="s">
        <v>54</v>
      </c>
      <c r="C72" s="91">
        <v>3</v>
      </c>
      <c r="D72" s="91">
        <v>2.83134</v>
      </c>
      <c r="E72" s="34">
        <f t="shared" si="3"/>
        <v>94.378</v>
      </c>
      <c r="F72" s="34">
        <f t="shared" si="4"/>
        <v>-0.16866000000000003</v>
      </c>
    </row>
    <row r="73" spans="1:7" ht="17.25" customHeight="1">
      <c r="A73" s="46" t="s">
        <v>215</v>
      </c>
      <c r="B73" s="47" t="s">
        <v>216</v>
      </c>
      <c r="C73" s="91">
        <v>33.5</v>
      </c>
      <c r="D73" s="91">
        <v>0</v>
      </c>
      <c r="E73" s="38">
        <f t="shared" si="3"/>
        <v>0</v>
      </c>
      <c r="F73" s="38">
        <f t="shared" si="4"/>
        <v>-33.5</v>
      </c>
    </row>
    <row r="74" spans="1:7" ht="17.25" customHeight="1">
      <c r="A74" s="46" t="s">
        <v>339</v>
      </c>
      <c r="B74" s="47" t="s">
        <v>390</v>
      </c>
      <c r="C74" s="91">
        <v>2</v>
      </c>
      <c r="D74" s="91">
        <v>2</v>
      </c>
      <c r="E74" s="38">
        <f>SUM(D74/C74*100)</f>
        <v>100</v>
      </c>
      <c r="F74" s="38">
        <f>SUM(D74-C74)</f>
        <v>0</v>
      </c>
    </row>
    <row r="75" spans="1:7" s="6" customFormat="1" ht="19.5" customHeight="1">
      <c r="A75" s="30" t="s">
        <v>55</v>
      </c>
      <c r="B75" s="31" t="s">
        <v>56</v>
      </c>
      <c r="C75" s="103">
        <f>C77+C78+C79+C76</f>
        <v>11945.0244</v>
      </c>
      <c r="D75" s="103">
        <f>SUM(D76:D79)</f>
        <v>4255.0829999999996</v>
      </c>
      <c r="E75" s="34">
        <f t="shared" si="3"/>
        <v>35.622221081440401</v>
      </c>
      <c r="F75" s="34">
        <f t="shared" si="4"/>
        <v>-7689.9414000000006</v>
      </c>
    </row>
    <row r="76" spans="1:7" ht="17.25" customHeight="1">
      <c r="A76" s="35" t="s">
        <v>57</v>
      </c>
      <c r="B76" s="39" t="s">
        <v>58</v>
      </c>
      <c r="C76" s="104">
        <v>14.2926</v>
      </c>
      <c r="D76" s="91">
        <v>0</v>
      </c>
      <c r="E76" s="38">
        <f t="shared" si="3"/>
        <v>0</v>
      </c>
      <c r="F76" s="38">
        <f t="shared" si="4"/>
        <v>-14.2926</v>
      </c>
    </row>
    <row r="77" spans="1:7" s="6" customFormat="1" ht="17.25" customHeight="1">
      <c r="A77" s="35" t="s">
        <v>59</v>
      </c>
      <c r="B77" s="39" t="s">
        <v>60</v>
      </c>
      <c r="C77" s="104">
        <v>0</v>
      </c>
      <c r="D77" s="91">
        <v>0</v>
      </c>
      <c r="E77" s="38" t="e">
        <f t="shared" si="3"/>
        <v>#DIV/0!</v>
      </c>
      <c r="F77" s="38">
        <f t="shared" si="4"/>
        <v>0</v>
      </c>
      <c r="G77" s="50"/>
    </row>
    <row r="78" spans="1:7" ht="16.5" customHeight="1">
      <c r="A78" s="35" t="s">
        <v>61</v>
      </c>
      <c r="B78" s="39" t="s">
        <v>62</v>
      </c>
      <c r="C78" s="104">
        <v>11740.7318</v>
      </c>
      <c r="D78" s="91">
        <v>4189.0829999999996</v>
      </c>
      <c r="E78" s="38">
        <f t="shared" si="3"/>
        <v>35.679913921549591</v>
      </c>
      <c r="F78" s="38">
        <f t="shared" si="4"/>
        <v>-7551.6487999999999</v>
      </c>
    </row>
    <row r="79" spans="1:7" ht="16.5" customHeight="1">
      <c r="A79" s="35" t="s">
        <v>63</v>
      </c>
      <c r="B79" s="39" t="s">
        <v>64</v>
      </c>
      <c r="C79" s="104">
        <v>190</v>
      </c>
      <c r="D79" s="91">
        <v>66</v>
      </c>
      <c r="E79" s="38">
        <f t="shared" si="3"/>
        <v>34.736842105263158</v>
      </c>
      <c r="F79" s="38">
        <f t="shared" si="4"/>
        <v>-124</v>
      </c>
    </row>
    <row r="80" spans="1:7" ht="15.75" hidden="1" customHeight="1">
      <c r="A80" s="30" t="s">
        <v>47</v>
      </c>
      <c r="B80" s="31" t="s">
        <v>48</v>
      </c>
      <c r="C80" s="103">
        <v>0</v>
      </c>
      <c r="D80" s="91"/>
      <c r="E80" s="38"/>
      <c r="F80" s="38"/>
    </row>
    <row r="81" spans="1:6" ht="15.75" hidden="1" customHeight="1">
      <c r="A81" s="46" t="s">
        <v>215</v>
      </c>
      <c r="B81" s="47" t="s">
        <v>216</v>
      </c>
      <c r="C81" s="104">
        <v>0</v>
      </c>
      <c r="D81" s="91"/>
      <c r="E81" s="38"/>
      <c r="F81" s="38"/>
    </row>
    <row r="82" spans="1:6" s="6" customFormat="1" ht="19.5" customHeight="1">
      <c r="A82" s="30" t="s">
        <v>65</v>
      </c>
      <c r="B82" s="31" t="s">
        <v>66</v>
      </c>
      <c r="C82" s="22">
        <f>SUM(C83:C85)</f>
        <v>1057.80429</v>
      </c>
      <c r="D82" s="22">
        <f>SUM(D83:D85)</f>
        <v>550.38639999999998</v>
      </c>
      <c r="E82" s="34">
        <f t="shared" si="3"/>
        <v>52.031023621581262</v>
      </c>
      <c r="F82" s="34">
        <f t="shared" si="4"/>
        <v>-507.41789000000006</v>
      </c>
    </row>
    <row r="83" spans="1:6" hidden="1">
      <c r="A83" s="35" t="s">
        <v>67</v>
      </c>
      <c r="B83" s="51" t="s">
        <v>68</v>
      </c>
      <c r="C83" s="91"/>
      <c r="D83" s="91"/>
      <c r="E83" s="38" t="e">
        <f t="shared" si="3"/>
        <v>#DIV/0!</v>
      </c>
      <c r="F83" s="38">
        <f t="shared" si="4"/>
        <v>0</v>
      </c>
    </row>
    <row r="84" spans="1:6">
      <c r="A84" s="35" t="s">
        <v>69</v>
      </c>
      <c r="B84" s="51" t="s">
        <v>70</v>
      </c>
      <c r="C84" s="91">
        <v>407.28129000000001</v>
      </c>
      <c r="D84" s="91">
        <v>267.11687000000001</v>
      </c>
      <c r="E84" s="38">
        <f t="shared" si="3"/>
        <v>65.585352570455669</v>
      </c>
      <c r="F84" s="38">
        <f t="shared" si="4"/>
        <v>-140.16442000000001</v>
      </c>
    </row>
    <row r="85" spans="1:6" ht="18" customHeight="1">
      <c r="A85" s="35" t="s">
        <v>71</v>
      </c>
      <c r="B85" s="39" t="s">
        <v>72</v>
      </c>
      <c r="C85" s="91">
        <v>650.52300000000002</v>
      </c>
      <c r="D85" s="91">
        <v>283.26952999999997</v>
      </c>
      <c r="E85" s="38">
        <f t="shared" si="3"/>
        <v>43.544890803245998</v>
      </c>
      <c r="F85" s="38">
        <f t="shared" si="4"/>
        <v>-367.25347000000005</v>
      </c>
    </row>
    <row r="86" spans="1:6" s="6" customFormat="1" ht="16.5" customHeight="1">
      <c r="A86" s="30" t="s">
        <v>83</v>
      </c>
      <c r="B86" s="31" t="s">
        <v>84</v>
      </c>
      <c r="C86" s="22">
        <f>C87</f>
        <v>2080.7243199999998</v>
      </c>
      <c r="D86" s="22">
        <f>SUM(D87)</f>
        <v>1137.3739700000001</v>
      </c>
      <c r="E86" s="34">
        <f t="shared" si="3"/>
        <v>54.662405733787942</v>
      </c>
      <c r="F86" s="34">
        <f t="shared" si="4"/>
        <v>-943.35034999999971</v>
      </c>
    </row>
    <row r="87" spans="1:6" ht="14.25" customHeight="1">
      <c r="A87" s="35" t="s">
        <v>85</v>
      </c>
      <c r="B87" s="39" t="s">
        <v>230</v>
      </c>
      <c r="C87" s="91">
        <v>2080.7243199999998</v>
      </c>
      <c r="D87" s="91">
        <v>1137.3739700000001</v>
      </c>
      <c r="E87" s="38">
        <f t="shared" si="3"/>
        <v>54.662405733787942</v>
      </c>
      <c r="F87" s="38">
        <f t="shared" si="4"/>
        <v>-943.35034999999971</v>
      </c>
    </row>
    <row r="88" spans="1:6" s="6" customFormat="1" ht="12" hidden="1" customHeight="1">
      <c r="A88" s="52">
        <v>1000</v>
      </c>
      <c r="B88" s="31" t="s">
        <v>86</v>
      </c>
      <c r="C88" s="22">
        <f>SUM(C89:C92)</f>
        <v>0</v>
      </c>
      <c r="D88" s="22">
        <f>SUM(D89:D92)</f>
        <v>0</v>
      </c>
      <c r="E88" s="34" t="e">
        <f t="shared" si="3"/>
        <v>#DIV/0!</v>
      </c>
      <c r="F88" s="34">
        <f t="shared" si="4"/>
        <v>0</v>
      </c>
    </row>
    <row r="89" spans="1:6" ht="9" hidden="1" customHeight="1">
      <c r="A89" s="53">
        <v>1001</v>
      </c>
      <c r="B89" s="54" t="s">
        <v>87</v>
      </c>
      <c r="C89" s="91"/>
      <c r="D89" s="91"/>
      <c r="E89" s="38" t="e">
        <f t="shared" si="3"/>
        <v>#DIV/0!</v>
      </c>
      <c r="F89" s="38">
        <f t="shared" si="4"/>
        <v>0</v>
      </c>
    </row>
    <row r="90" spans="1:6" ht="12" hidden="1" customHeight="1">
      <c r="A90" s="53">
        <v>1003</v>
      </c>
      <c r="B90" s="54" t="s">
        <v>88</v>
      </c>
      <c r="C90" s="91">
        <v>0</v>
      </c>
      <c r="D90" s="91">
        <v>0</v>
      </c>
      <c r="E90" s="38" t="e">
        <f t="shared" si="3"/>
        <v>#DIV/0!</v>
      </c>
      <c r="F90" s="38">
        <f t="shared" si="4"/>
        <v>0</v>
      </c>
    </row>
    <row r="91" spans="1:6" ht="12.75" hidden="1" customHeight="1">
      <c r="A91" s="53">
        <v>1004</v>
      </c>
      <c r="B91" s="54" t="s">
        <v>89</v>
      </c>
      <c r="C91" s="91">
        <v>0</v>
      </c>
      <c r="D91" s="183">
        <v>0</v>
      </c>
      <c r="E91" s="38" t="e">
        <f t="shared" si="3"/>
        <v>#DIV/0!</v>
      </c>
      <c r="F91" s="38">
        <f t="shared" si="4"/>
        <v>0</v>
      </c>
    </row>
    <row r="92" spans="1:6" ht="19.5" hidden="1" customHeight="1">
      <c r="A92" s="35" t="s">
        <v>90</v>
      </c>
      <c r="B92" s="39" t="s">
        <v>91</v>
      </c>
      <c r="C92" s="91">
        <v>0</v>
      </c>
      <c r="D92" s="91">
        <v>0</v>
      </c>
      <c r="E92" s="38"/>
      <c r="F92" s="38">
        <f t="shared" si="4"/>
        <v>0</v>
      </c>
    </row>
    <row r="93" spans="1:6" ht="15" customHeight="1">
      <c r="A93" s="30" t="s">
        <v>92</v>
      </c>
      <c r="B93" s="31" t="s">
        <v>93</v>
      </c>
      <c r="C93" s="22">
        <f>C94+C95+C96+C97+C98</f>
        <v>10</v>
      </c>
      <c r="D93" s="22">
        <f>D94+D95+D96+D97+D98</f>
        <v>1.04</v>
      </c>
      <c r="E93" s="38">
        <f t="shared" si="3"/>
        <v>10.4</v>
      </c>
      <c r="F93" s="22">
        <f>F94+F95+F96+F97+F98</f>
        <v>-8.9600000000000009</v>
      </c>
    </row>
    <row r="94" spans="1:6" ht="19.5" customHeight="1">
      <c r="A94" s="35" t="s">
        <v>94</v>
      </c>
      <c r="B94" s="39" t="s">
        <v>95</v>
      </c>
      <c r="C94" s="91">
        <v>10</v>
      </c>
      <c r="D94" s="91">
        <v>1.04</v>
      </c>
      <c r="E94" s="38">
        <f t="shared" si="3"/>
        <v>10.4</v>
      </c>
      <c r="F94" s="38">
        <f>SUM(D94-C94)</f>
        <v>-8.9600000000000009</v>
      </c>
    </row>
    <row r="95" spans="1:6" ht="15" hidden="1" customHeight="1">
      <c r="A95" s="35" t="s">
        <v>96</v>
      </c>
      <c r="B95" s="39" t="s">
        <v>97</v>
      </c>
      <c r="C95" s="91"/>
      <c r="D95" s="91"/>
      <c r="E95" s="38" t="e">
        <f t="shared" si="3"/>
        <v>#DIV/0!</v>
      </c>
      <c r="F95" s="38">
        <f>SUM(D95-C95)</f>
        <v>0</v>
      </c>
    </row>
    <row r="96" spans="1:6" ht="15" hidden="1" customHeight="1">
      <c r="A96" s="35" t="s">
        <v>98</v>
      </c>
      <c r="B96" s="39" t="s">
        <v>99</v>
      </c>
      <c r="C96" s="91"/>
      <c r="D96" s="91"/>
      <c r="E96" s="38" t="e">
        <f t="shared" si="3"/>
        <v>#DIV/0!</v>
      </c>
      <c r="F96" s="38"/>
    </row>
    <row r="97" spans="1:6" ht="15" hidden="1" customHeight="1">
      <c r="A97" s="35" t="s">
        <v>100</v>
      </c>
      <c r="B97" s="39" t="s">
        <v>101</v>
      </c>
      <c r="C97" s="91"/>
      <c r="D97" s="91"/>
      <c r="E97" s="38" t="e">
        <f t="shared" si="3"/>
        <v>#DIV/0!</v>
      </c>
      <c r="F97" s="38"/>
    </row>
    <row r="98" spans="1:6" ht="57.75" hidden="1" customHeight="1">
      <c r="A98" s="35" t="s">
        <v>102</v>
      </c>
      <c r="B98" s="39" t="s">
        <v>103</v>
      </c>
      <c r="C98" s="91"/>
      <c r="D98" s="91"/>
      <c r="E98" s="38" t="e">
        <f t="shared" si="3"/>
        <v>#DIV/0!</v>
      </c>
      <c r="F98" s="38"/>
    </row>
    <row r="99" spans="1:6" s="6" customFormat="1" ht="15" hidden="1" customHeight="1">
      <c r="A99" s="52">
        <v>1400</v>
      </c>
      <c r="B99" s="56" t="s">
        <v>112</v>
      </c>
      <c r="C99" s="103">
        <f>C100+C101+C102</f>
        <v>0</v>
      </c>
      <c r="D99" s="103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6.5" hidden="1" customHeight="1">
      <c r="A100" s="53">
        <v>1401</v>
      </c>
      <c r="B100" s="54" t="s">
        <v>113</v>
      </c>
      <c r="C100" s="91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20.25" hidden="1" customHeight="1">
      <c r="A101" s="53">
        <v>1402</v>
      </c>
      <c r="B101" s="54" t="s">
        <v>114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ht="13.5" hidden="1" customHeight="1">
      <c r="A102" s="53">
        <v>1403</v>
      </c>
      <c r="B102" s="54" t="s">
        <v>115</v>
      </c>
      <c r="C102" s="104">
        <v>0</v>
      </c>
      <c r="D102" s="91">
        <v>0</v>
      </c>
      <c r="E102" s="38" t="e">
        <f t="shared" si="3"/>
        <v>#DIV/0!</v>
      </c>
      <c r="F102" s="38">
        <f t="shared" si="4"/>
        <v>0</v>
      </c>
    </row>
    <row r="103" spans="1:6" s="6" customFormat="1">
      <c r="A103" s="52"/>
      <c r="B103" s="57" t="s">
        <v>116</v>
      </c>
      <c r="C103" s="456">
        <f>C59+C67+C69+C75+C82+C86+C88+C93+C80</f>
        <v>16907.047010000002</v>
      </c>
      <c r="D103" s="456">
        <f>D59+D67+D69+D75+D82+D86+D93+D88</f>
        <v>6641.380979999999</v>
      </c>
      <c r="E103" s="34">
        <f t="shared" si="3"/>
        <v>39.281732499305313</v>
      </c>
      <c r="F103" s="34">
        <f t="shared" si="4"/>
        <v>-10265.666030000004</v>
      </c>
    </row>
    <row r="104" spans="1:6" ht="5.25" customHeight="1">
      <c r="C104" s="118"/>
      <c r="D104" s="61"/>
    </row>
    <row r="105" spans="1:6" s="65" customFormat="1" ht="12.75">
      <c r="A105" s="63" t="s">
        <v>117</v>
      </c>
      <c r="B105" s="63"/>
      <c r="C105" s="114"/>
      <c r="D105" s="64"/>
    </row>
    <row r="106" spans="1:6" s="65" customFormat="1" ht="12.75">
      <c r="A106" s="66" t="s">
        <v>118</v>
      </c>
      <c r="B106" s="66"/>
      <c r="C106" s="65" t="s">
        <v>119</v>
      </c>
    </row>
    <row r="107" spans="1:6">
      <c r="C107" s="118"/>
    </row>
    <row r="145" hidden="1"/>
  </sheetData>
  <customSheetViews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61528DAC-5C4C-48F4-ADE2-8A724B05A086}" scale="70" showPageBreaks="1" fitToPage="1" printArea="1" hiddenRows="1" view="pageBreakPreview">
      <selection activeCell="C94" sqref="C94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8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9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zoomScale="70" zoomScaleNormal="100" zoomScaleSheetLayoutView="70" workbookViewId="0">
      <selection activeCell="C46" sqref="C46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0" t="s">
        <v>422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2219.3365400000002</v>
      </c>
      <c r="E4" s="5">
        <f>SUM(D4/C4*100)</f>
        <v>43.708290711574946</v>
      </c>
      <c r="F4" s="5">
        <f>SUM(D4-C4)</f>
        <v>-2858.2734599999994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383.87704000000002</v>
      </c>
      <c r="E5" s="5">
        <f t="shared" ref="E5:E50" si="0">SUM(D5/C5*100)</f>
        <v>64.625764309764307</v>
      </c>
      <c r="F5" s="5">
        <f t="shared" ref="F5:F50" si="1">SUM(D5-C5)</f>
        <v>-210.12295999999998</v>
      </c>
    </row>
    <row r="6" spans="1:6">
      <c r="A6" s="7">
        <v>1010200001</v>
      </c>
      <c r="B6" s="8" t="s">
        <v>225</v>
      </c>
      <c r="C6" s="214">
        <v>594</v>
      </c>
      <c r="D6" s="215">
        <v>383.87704000000002</v>
      </c>
      <c r="E6" s="9">
        <f t="shared" ref="E6:E11" si="2">SUM(D6/C6*100)</f>
        <v>64.625764309764307</v>
      </c>
      <c r="F6" s="9">
        <f t="shared" si="1"/>
        <v>-210.12295999999998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609.56719999999996</v>
      </c>
      <c r="E7" s="5">
        <f t="shared" si="2"/>
        <v>65.855727574248334</v>
      </c>
      <c r="F7" s="5">
        <f t="shared" si="1"/>
        <v>-316.04279999999994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297.97426000000002</v>
      </c>
      <c r="E8" s="9">
        <f t="shared" si="2"/>
        <v>86.306059614253911</v>
      </c>
      <c r="F8" s="9">
        <f t="shared" si="1"/>
        <v>-47.278739999999971</v>
      </c>
    </row>
    <row r="9" spans="1:6">
      <c r="A9" s="7">
        <v>1030224001</v>
      </c>
      <c r="B9" s="8" t="s">
        <v>275</v>
      </c>
      <c r="C9" s="214">
        <v>3.702</v>
      </c>
      <c r="D9" s="215">
        <v>1.7532399999999999</v>
      </c>
      <c r="E9" s="9">
        <f t="shared" si="2"/>
        <v>47.359265262020529</v>
      </c>
      <c r="F9" s="9">
        <f t="shared" si="1"/>
        <v>-1.94876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344.33987999999999</v>
      </c>
      <c r="E10" s="9">
        <f t="shared" si="2"/>
        <v>59.713325992144348</v>
      </c>
      <c r="F10" s="9">
        <f t="shared" si="1"/>
        <v>-232.31511999999998</v>
      </c>
    </row>
    <row r="11" spans="1:6">
      <c r="A11" s="7">
        <v>1030226001</v>
      </c>
      <c r="B11" s="8" t="s">
        <v>276</v>
      </c>
      <c r="C11" s="214">
        <v>0</v>
      </c>
      <c r="D11" s="213">
        <v>-34.50018</v>
      </c>
      <c r="E11" s="9" t="e">
        <f t="shared" si="2"/>
        <v>#DIV/0!</v>
      </c>
      <c r="F11" s="9">
        <f t="shared" si="1"/>
        <v>-34.50018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139.58317</v>
      </c>
      <c r="E12" s="5">
        <f t="shared" si="0"/>
        <v>186.11089333333334</v>
      </c>
      <c r="F12" s="5">
        <f t="shared" si="1"/>
        <v>64.583169999999996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139.58317</v>
      </c>
      <c r="E13" s="9">
        <f t="shared" si="0"/>
        <v>186.11089333333334</v>
      </c>
      <c r="F13" s="9">
        <f t="shared" si="1"/>
        <v>64.583169999999996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1081.40913</v>
      </c>
      <c r="E14" s="5">
        <f t="shared" si="0"/>
        <v>31.13760811978117</v>
      </c>
      <c r="F14" s="5">
        <f t="shared" si="1"/>
        <v>-2391.59087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62.623019999999997</v>
      </c>
      <c r="E15" s="9">
        <f t="shared" si="0"/>
        <v>13.239539112050739</v>
      </c>
      <c r="F15" s="9">
        <f>SUM(D15-C15)</f>
        <v>-410.37698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1018.78611</v>
      </c>
      <c r="E16" s="9">
        <f t="shared" si="0"/>
        <v>33.959536999999997</v>
      </c>
      <c r="F16" s="9">
        <f t="shared" si="1"/>
        <v>-1981.21389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4.9000000000000004</v>
      </c>
      <c r="E17" s="5">
        <f t="shared" si="0"/>
        <v>49.000000000000007</v>
      </c>
      <c r="F17" s="5">
        <f t="shared" si="1"/>
        <v>-5.0999999999999996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4.9000000000000004</v>
      </c>
      <c r="E18" s="9">
        <f t="shared" si="0"/>
        <v>49.000000000000007</v>
      </c>
      <c r="F18" s="9">
        <f t="shared" si="1"/>
        <v>-5.0999999999999996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230.74094000000002</v>
      </c>
      <c r="E25" s="5">
        <f t="shared" si="0"/>
        <v>95.3474958677686</v>
      </c>
      <c r="F25" s="5">
        <f t="shared" si="1"/>
        <v>-11.259059999999977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208.63400000000001</v>
      </c>
      <c r="E26" s="5">
        <f t="shared" si="0"/>
        <v>98.4122641509434</v>
      </c>
      <c r="F26" s="5">
        <f t="shared" si="1"/>
        <v>-3.3659999999999854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10.8</v>
      </c>
      <c r="E28" s="9">
        <f t="shared" si="0"/>
        <v>90</v>
      </c>
      <c r="F28" s="9">
        <f t="shared" si="1"/>
        <v>-1.1999999999999993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22.106940000000002</v>
      </c>
      <c r="E29" s="5">
        <f t="shared" si="0"/>
        <v>73.689800000000005</v>
      </c>
      <c r="F29" s="5">
        <f t="shared" si="1"/>
        <v>-7.8930599999999984</v>
      </c>
    </row>
    <row r="30" spans="1:6" ht="17.25" customHeight="1">
      <c r="A30" s="7">
        <v>1130206005</v>
      </c>
      <c r="B30" s="8" t="s">
        <v>220</v>
      </c>
      <c r="C30" s="9">
        <v>30</v>
      </c>
      <c r="D30" s="10">
        <v>22.106940000000002</v>
      </c>
      <c r="E30" s="9">
        <f t="shared" si="0"/>
        <v>73.689800000000005</v>
      </c>
      <c r="F30" s="9">
        <f t="shared" si="1"/>
        <v>-7.8930599999999984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2450.0774800000004</v>
      </c>
      <c r="E39" s="5">
        <f t="shared" si="0"/>
        <v>46.057464362989023</v>
      </c>
      <c r="F39" s="5">
        <f t="shared" si="1"/>
        <v>-2869.5325199999993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6987.73326</v>
      </c>
      <c r="D40" s="187">
        <f>D41+D43+D45+D46+D47+D48+D42+D44</f>
        <v>2737.2709199999999</v>
      </c>
      <c r="E40" s="5">
        <f t="shared" si="0"/>
        <v>39.172515866754765</v>
      </c>
      <c r="F40" s="5">
        <f t="shared" si="1"/>
        <v>-4250.46234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1410.556</v>
      </c>
      <c r="E41" s="9">
        <f t="shared" si="0"/>
        <v>58.333236838840421</v>
      </c>
      <c r="F41" s="9">
        <f t="shared" si="1"/>
        <v>-1007.5439999999999</v>
      </c>
    </row>
    <row r="42" spans="1:7" ht="17.25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1123.114</v>
      </c>
      <c r="E43" s="9">
        <f t="shared" si="0"/>
        <v>29.099738232578915</v>
      </c>
      <c r="F43" s="9">
        <f t="shared" si="1"/>
        <v>-2736.4189999999999</v>
      </c>
    </row>
    <row r="44" spans="1:7" ht="15.75" customHeight="1">
      <c r="A44" s="16">
        <v>2022999910</v>
      </c>
      <c r="B44" s="18" t="s">
        <v>331</v>
      </c>
      <c r="C44" s="445">
        <v>0</v>
      </c>
      <c r="D44" s="446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235.76499999999999</v>
      </c>
      <c r="D45" s="221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7.25" customHeight="1">
      <c r="A46" s="16">
        <v>2020400000</v>
      </c>
      <c r="B46" s="17" t="s">
        <v>21</v>
      </c>
      <c r="C46" s="216">
        <v>148.333</v>
      </c>
      <c r="D46" s="222">
        <v>50.785919999999997</v>
      </c>
      <c r="E46" s="9">
        <f t="shared" si="0"/>
        <v>34.237775815226549</v>
      </c>
      <c r="F46" s="9">
        <f t="shared" si="1"/>
        <v>-97.547079999999994</v>
      </c>
    </row>
    <row r="47" spans="1:7" ht="17.25" customHeight="1">
      <c r="A47" s="7">
        <v>2070500010</v>
      </c>
      <c r="B47" s="17" t="s">
        <v>332</v>
      </c>
      <c r="C47" s="216">
        <v>326.00225999999998</v>
      </c>
      <c r="D47" s="222">
        <v>0</v>
      </c>
      <c r="E47" s="9">
        <f t="shared" si="0"/>
        <v>0</v>
      </c>
      <c r="F47" s="9">
        <f t="shared" si="1"/>
        <v>-326.00225999999998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hidden="1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12307.34326</v>
      </c>
      <c r="D50" s="244">
        <f>D39+D40</f>
        <v>5187.3484000000008</v>
      </c>
      <c r="E50" s="187">
        <f t="shared" si="0"/>
        <v>42.148401083923297</v>
      </c>
      <c r="F50" s="92">
        <f t="shared" si="1"/>
        <v>-7119.9948599999989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-1719.3982800000013</v>
      </c>
      <c r="D51" s="92">
        <f>D50-D97</f>
        <v>-394.7874699999993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409</v>
      </c>
      <c r="D53" s="471" t="s">
        <v>416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2002.9079999999999</v>
      </c>
      <c r="D55" s="32">
        <f>D56+D57+D58+D59+D60+D62+D61</f>
        <v>1058.66884</v>
      </c>
      <c r="E55" s="34">
        <f>SUM(D55/C55*100)</f>
        <v>52.856588520291503</v>
      </c>
      <c r="F55" s="34">
        <f>SUM(D55-C55)</f>
        <v>-944.23915999999986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1927.808</v>
      </c>
      <c r="D57" s="37">
        <v>995.56884000000002</v>
      </c>
      <c r="E57" s="38">
        <f t="shared" ref="E57:E69" si="3">SUM(D57/C57*100)</f>
        <v>51.642530791448117</v>
      </c>
      <c r="F57" s="38">
        <f t="shared" ref="F57:F69" si="4">SUM(D57-C57)</f>
        <v>-932.23915999999997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65.099999999999994</v>
      </c>
      <c r="D62" s="37">
        <v>63.1</v>
      </c>
      <c r="E62" s="38">
        <f t="shared" si="3"/>
        <v>96.927803379416289</v>
      </c>
      <c r="F62" s="38">
        <f t="shared" si="4"/>
        <v>-1.9999999999999929</v>
      </c>
    </row>
    <row r="63" spans="1:8" s="6" customFormat="1">
      <c r="A63" s="41" t="s">
        <v>43</v>
      </c>
      <c r="B63" s="42" t="s">
        <v>44</v>
      </c>
      <c r="C63" s="32">
        <f>C64</f>
        <v>235.76499999999999</v>
      </c>
      <c r="D63" s="32">
        <f>D64</f>
        <v>129.27976000000001</v>
      </c>
      <c r="E63" s="34">
        <f t="shared" si="3"/>
        <v>54.834161135028538</v>
      </c>
      <c r="F63" s="34">
        <f t="shared" si="4"/>
        <v>-106.48523999999998</v>
      </c>
    </row>
    <row r="64" spans="1:8">
      <c r="A64" s="43" t="s">
        <v>45</v>
      </c>
      <c r="B64" s="44" t="s">
        <v>46</v>
      </c>
      <c r="C64" s="37">
        <v>235.76499999999999</v>
      </c>
      <c r="D64" s="37">
        <v>129.27976000000001</v>
      </c>
      <c r="E64" s="38">
        <f t="shared" si="3"/>
        <v>54.834161135028538</v>
      </c>
      <c r="F64" s="38">
        <f t="shared" si="4"/>
        <v>-106.48523999999998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18.899999999999999</v>
      </c>
      <c r="D65" s="32">
        <f>SUM(D68+D69+D70)</f>
        <v>6.2313399999999994</v>
      </c>
      <c r="E65" s="34">
        <f t="shared" si="3"/>
        <v>32.970052910052914</v>
      </c>
      <c r="F65" s="34">
        <f t="shared" si="4"/>
        <v>-12.668659999999999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13.9</v>
      </c>
      <c r="D69" s="37">
        <v>1.4</v>
      </c>
      <c r="E69" s="38">
        <f t="shared" si="3"/>
        <v>10.071942446043163</v>
      </c>
      <c r="F69" s="38">
        <f t="shared" si="4"/>
        <v>-12.5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5122.4980400000004</v>
      </c>
      <c r="D71" s="48">
        <f>SUM(D72:D75)</f>
        <v>2301.1348899999998</v>
      </c>
      <c r="E71" s="34">
        <f t="shared" ref="E71:E86" si="5">SUM(D71/C71*100)</f>
        <v>44.922123386503038</v>
      </c>
      <c r="F71" s="34">
        <f t="shared" ref="F71:F86" si="6">SUM(D71-C71)</f>
        <v>-2821.3631500000006</v>
      </c>
    </row>
    <row r="72" spans="1:7" s="6" customFormat="1" ht="17.25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2288.6348899999998</v>
      </c>
      <c r="E74" s="38">
        <f t="shared" si="5"/>
        <v>45.207620268036678</v>
      </c>
      <c r="F74" s="38">
        <f t="shared" si="6"/>
        <v>-2773.8631500000006</v>
      </c>
    </row>
    <row r="75" spans="1:7" s="6" customFormat="1">
      <c r="A75" s="35" t="s">
        <v>63</v>
      </c>
      <c r="B75" s="39" t="s">
        <v>64</v>
      </c>
      <c r="C75" s="49">
        <v>60</v>
      </c>
      <c r="D75" s="37">
        <v>12.5</v>
      </c>
      <c r="E75" s="38">
        <f t="shared" si="5"/>
        <v>20.833333333333336</v>
      </c>
      <c r="F75" s="38">
        <f t="shared" si="6"/>
        <v>-47.5</v>
      </c>
    </row>
    <row r="76" spans="1:7" ht="17.25" customHeight="1">
      <c r="A76" s="30" t="s">
        <v>65</v>
      </c>
      <c r="B76" s="31" t="s">
        <v>66</v>
      </c>
      <c r="C76" s="32">
        <f>SUM(C77:C79)</f>
        <v>4383.2705000000005</v>
      </c>
      <c r="D76" s="32">
        <f>SUM(D77:D79)</f>
        <v>942.48604</v>
      </c>
      <c r="E76" s="34">
        <f t="shared" si="5"/>
        <v>21.501890882618351</v>
      </c>
      <c r="F76" s="34">
        <f t="shared" si="6"/>
        <v>-3440.7844600000008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hidden="1" customHeight="1">
      <c r="A78" s="35" t="s">
        <v>69</v>
      </c>
      <c r="B78" s="51" t="s">
        <v>70</v>
      </c>
      <c r="C78" s="37">
        <v>2221.2455</v>
      </c>
      <c r="D78" s="37">
        <v>306.89841999999999</v>
      </c>
      <c r="E78" s="38">
        <f t="shared" si="5"/>
        <v>13.8165015978648</v>
      </c>
      <c r="F78" s="38">
        <f t="shared" si="6"/>
        <v>-1914.34708</v>
      </c>
    </row>
    <row r="79" spans="1:7" s="6" customFormat="1">
      <c r="A79" s="35" t="s">
        <v>71</v>
      </c>
      <c r="B79" s="39" t="s">
        <v>72</v>
      </c>
      <c r="C79" s="37">
        <v>2162.0250000000001</v>
      </c>
      <c r="D79" s="37">
        <v>635.58762000000002</v>
      </c>
      <c r="E79" s="38">
        <f t="shared" si="5"/>
        <v>29.39779234745204</v>
      </c>
      <c r="F79" s="38">
        <f t="shared" si="6"/>
        <v>-1526.4373800000001</v>
      </c>
    </row>
    <row r="80" spans="1:7">
      <c r="A80" s="30" t="s">
        <v>83</v>
      </c>
      <c r="B80" s="31" t="s">
        <v>84</v>
      </c>
      <c r="C80" s="32">
        <f>C81</f>
        <v>2248.4</v>
      </c>
      <c r="D80" s="32">
        <f>D81</f>
        <v>1144.335</v>
      </c>
      <c r="E80" s="34">
        <f t="shared" si="5"/>
        <v>50.89552570716954</v>
      </c>
      <c r="F80" s="34">
        <f t="shared" si="6"/>
        <v>-1104.0650000000001</v>
      </c>
    </row>
    <row r="81" spans="1:6" s="6" customFormat="1" ht="15" customHeight="1">
      <c r="A81" s="35" t="s">
        <v>85</v>
      </c>
      <c r="B81" s="39" t="s">
        <v>230</v>
      </c>
      <c r="C81" s="37">
        <v>2248.4</v>
      </c>
      <c r="D81" s="37">
        <v>1144.335</v>
      </c>
      <c r="E81" s="38">
        <f t="shared" si="5"/>
        <v>50.89552570716954</v>
      </c>
      <c r="F81" s="38">
        <f t="shared" si="6"/>
        <v>-1104.0650000000001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14026.741540000001</v>
      </c>
      <c r="D97" s="246">
        <f>D55+D63+D65+D71+D76+D80+D82+D87+D93</f>
        <v>5582.1358700000001</v>
      </c>
      <c r="E97" s="34">
        <f t="shared" si="7"/>
        <v>39.796383601148179</v>
      </c>
      <c r="F97" s="34">
        <f>SUM(D97-C97)</f>
        <v>-8444.6056700000008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>
      <selection activeCell="A2" sqref="A2:F2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zoomScale="70" zoomScaleNormal="100" zoomScaleSheetLayoutView="70" workbookViewId="0">
      <selection activeCell="W45" sqref="W45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0" t="s">
        <v>423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5684.1</v>
      </c>
      <c r="D4" s="5">
        <f>D5+D12+D14+D7+D20+D17</f>
        <v>2099.2854900000002</v>
      </c>
      <c r="E4" s="5">
        <f>SUM(D4/C4*100)</f>
        <v>36.932592494854063</v>
      </c>
      <c r="F4" s="5">
        <f>SUM(D4-C4)</f>
        <v>-3584.8145100000002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1068.88985</v>
      </c>
      <c r="E5" s="5">
        <f t="shared" ref="E5:E51" si="0">SUM(D5/C5*100)</f>
        <v>49.009163227877124</v>
      </c>
      <c r="F5" s="5">
        <f t="shared" ref="F5:F51" si="1">SUM(D5-C5)</f>
        <v>-1112.11015</v>
      </c>
    </row>
    <row r="6" spans="1:6">
      <c r="A6" s="7">
        <v>1010200001</v>
      </c>
      <c r="B6" s="8" t="s">
        <v>225</v>
      </c>
      <c r="C6" s="90">
        <v>2181</v>
      </c>
      <c r="D6" s="10">
        <v>1068.88985</v>
      </c>
      <c r="E6" s="9">
        <f t="shared" ref="E6:E11" si="2">SUM(D6/C6*100)</f>
        <v>49.009163227877124</v>
      </c>
      <c r="F6" s="9">
        <f t="shared" si="1"/>
        <v>-1112.11015</v>
      </c>
    </row>
    <row r="7" spans="1:6">
      <c r="A7" s="3">
        <v>1030200001</v>
      </c>
      <c r="B7" s="13" t="s">
        <v>265</v>
      </c>
      <c r="C7" s="5">
        <f>C8+C10+C9</f>
        <v>457.1</v>
      </c>
      <c r="D7" s="5">
        <f>D8+D9+D10+D11</f>
        <v>301.04387000000003</v>
      </c>
      <c r="E7" s="9">
        <f t="shared" si="2"/>
        <v>65.859520892583674</v>
      </c>
      <c r="F7" s="9">
        <f t="shared" si="1"/>
        <v>-156.05613</v>
      </c>
    </row>
    <row r="8" spans="1:6">
      <c r="A8" s="7">
        <v>1030223001</v>
      </c>
      <c r="B8" s="8" t="s">
        <v>269</v>
      </c>
      <c r="C8" s="9">
        <v>170.499</v>
      </c>
      <c r="D8" s="10">
        <v>147.15903</v>
      </c>
      <c r="E8" s="9">
        <f t="shared" si="2"/>
        <v>86.310787746555704</v>
      </c>
      <c r="F8" s="9">
        <f t="shared" si="1"/>
        <v>-23.339969999999994</v>
      </c>
    </row>
    <row r="9" spans="1:6">
      <c r="A9" s="7">
        <v>1030224001</v>
      </c>
      <c r="B9" s="8" t="s">
        <v>275</v>
      </c>
      <c r="C9" s="9">
        <v>1.8280000000000001</v>
      </c>
      <c r="D9" s="10">
        <v>0.86585000000000001</v>
      </c>
      <c r="E9" s="9">
        <f t="shared" si="2"/>
        <v>47.365973741794306</v>
      </c>
      <c r="F9" s="9">
        <f t="shared" si="1"/>
        <v>-0.96215000000000006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170.05741</v>
      </c>
      <c r="E10" s="9">
        <f t="shared" si="2"/>
        <v>59.716830598406446</v>
      </c>
      <c r="F10" s="9">
        <f t="shared" si="1"/>
        <v>-114.71559000000002</v>
      </c>
    </row>
    <row r="11" spans="1:6">
      <c r="A11" s="7">
        <v>1030226001</v>
      </c>
      <c r="B11" s="8" t="s">
        <v>277</v>
      </c>
      <c r="C11" s="9">
        <v>0</v>
      </c>
      <c r="D11" s="10">
        <v>-17.038419999999999</v>
      </c>
      <c r="E11" s="9" t="e">
        <f t="shared" si="2"/>
        <v>#DIV/0!</v>
      </c>
      <c r="F11" s="9">
        <f t="shared" si="1"/>
        <v>-17.038419999999999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675.36527000000001</v>
      </c>
      <c r="E14" s="5">
        <f t="shared" si="0"/>
        <v>22.770238368172624</v>
      </c>
      <c r="F14" s="5">
        <f t="shared" si="1"/>
        <v>-2290.6347299999998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110.66777</v>
      </c>
      <c r="E15" s="9">
        <f t="shared" si="0"/>
        <v>8.7415300157977889</v>
      </c>
      <c r="F15" s="9">
        <f>SUM(D15-C15)</f>
        <v>-1155.33223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564.69749999999999</v>
      </c>
      <c r="E16" s="9">
        <f t="shared" si="0"/>
        <v>33.217500000000001</v>
      </c>
      <c r="F16" s="9">
        <f t="shared" si="1"/>
        <v>-1135.3025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hidden="1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5684.1</v>
      </c>
      <c r="D39" s="125">
        <f>D4+D25</f>
        <v>2182.5854900000004</v>
      </c>
      <c r="E39" s="5">
        <f t="shared" si="0"/>
        <v>38.398083953484289</v>
      </c>
      <c r="F39" s="5">
        <f t="shared" si="1"/>
        <v>-3501.51451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68">
        <f>D41+D43+D45+D46+D47+D49+D42+D48</f>
        <v>5096.7376000000004</v>
      </c>
      <c r="E40" s="5">
        <f t="shared" si="0"/>
        <v>27.109486984314685</v>
      </c>
      <c r="F40" s="5">
        <f t="shared" si="1"/>
        <v>-13703.83064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4833.6750000000002</v>
      </c>
      <c r="E41" s="9">
        <f t="shared" si="0"/>
        <v>58.333333333333336</v>
      </c>
      <c r="F41" s="9">
        <f t="shared" si="1"/>
        <v>-3452.6249999999991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248.77</v>
      </c>
      <c r="E43" s="9">
        <f t="shared" si="0"/>
        <v>2.5264302695095009</v>
      </c>
      <c r="F43" s="9">
        <f t="shared" si="1"/>
        <v>-9597.9296299999987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0</v>
      </c>
      <c r="E46" s="9">
        <f t="shared" si="0"/>
        <v>0</v>
      </c>
      <c r="F46" s="9">
        <f t="shared" si="1"/>
        <v>-435.46199999999999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0</v>
      </c>
      <c r="E48" s="9">
        <f>SUM(D48/C48*100)</f>
        <v>0</v>
      </c>
      <c r="F48" s="9">
        <f>SUM(D48-C48)</f>
        <v>-210.66771</v>
      </c>
    </row>
    <row r="49" spans="1:7" ht="27.75" hidden="1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 hidden="1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24484.668239999999</v>
      </c>
      <c r="D51" s="244">
        <f>D39+D40</f>
        <v>7279.3230900000008</v>
      </c>
      <c r="E51" s="92">
        <f t="shared" si="0"/>
        <v>29.73012751754565</v>
      </c>
      <c r="F51" s="92">
        <f t="shared" si="1"/>
        <v>-17205.345149999997</v>
      </c>
      <c r="G51" s="146">
        <f>18968.9976-D51</f>
        <v>11689.674509999997</v>
      </c>
    </row>
    <row r="52" spans="1:7" s="6" customFormat="1" ht="23.25" customHeight="1">
      <c r="A52" s="3"/>
      <c r="B52" s="21" t="s">
        <v>307</v>
      </c>
      <c r="C52" s="92">
        <f>C51-C98</f>
        <v>-2143.9677800000027</v>
      </c>
      <c r="D52" s="92">
        <f>D51-D98</f>
        <v>-1268.1720699999978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1156.0332600000002</v>
      </c>
      <c r="E56" s="34">
        <f>SUM(D56/C56*100)</f>
        <v>50.02909307134307</v>
      </c>
      <c r="F56" s="34">
        <f>SUM(D56-C56)</f>
        <v>-1154.6887400000001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1141.8252600000001</v>
      </c>
      <c r="E58" s="38">
        <f t="shared" ref="E58:E98" si="3">SUM(D58/C58*100)</f>
        <v>50.267146053249064</v>
      </c>
      <c r="F58" s="38">
        <f t="shared" ref="F58:F98" si="4">SUM(D58-C58)</f>
        <v>-1129.6887400000001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14.208</v>
      </c>
      <c r="E63" s="38">
        <f t="shared" si="3"/>
        <v>48.644207066557108</v>
      </c>
      <c r="F63" s="38">
        <f t="shared" si="4"/>
        <v>-14.999999999999998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105</v>
      </c>
      <c r="D66" s="145">
        <f>SUM(D69+D70+D71)</f>
        <v>0</v>
      </c>
      <c r="E66" s="34">
        <f t="shared" si="3"/>
        <v>0</v>
      </c>
      <c r="F66" s="34">
        <f t="shared" si="4"/>
        <v>-105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100</v>
      </c>
      <c r="D70" s="37">
        <v>0</v>
      </c>
      <c r="E70" s="34">
        <f t="shared" si="3"/>
        <v>0</v>
      </c>
      <c r="F70" s="34">
        <f t="shared" si="4"/>
        <v>-100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3257.56333</v>
      </c>
      <c r="D72" s="48">
        <f>SUM(D73:D76)</f>
        <v>410.17995000000002</v>
      </c>
      <c r="E72" s="34">
        <f t="shared" si="3"/>
        <v>12.591618594871647</v>
      </c>
      <c r="F72" s="34">
        <f t="shared" si="4"/>
        <v>-2847.3833799999998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3156.1244299999998</v>
      </c>
      <c r="D75" s="37">
        <v>361.80200000000002</v>
      </c>
      <c r="E75" s="38">
        <f t="shared" si="3"/>
        <v>11.463489733197878</v>
      </c>
      <c r="F75" s="38">
        <f t="shared" si="4"/>
        <v>-2794.3224299999997</v>
      </c>
    </row>
    <row r="76" spans="1:7" ht="18" customHeight="1">
      <c r="A76" s="35" t="s">
        <v>63</v>
      </c>
      <c r="B76" s="39" t="s">
        <v>64</v>
      </c>
      <c r="C76" s="49">
        <v>80</v>
      </c>
      <c r="D76" s="37">
        <v>34.085349999999998</v>
      </c>
      <c r="E76" s="38">
        <f t="shared" si="3"/>
        <v>42.606687499999992</v>
      </c>
      <c r="F76" s="38">
        <f t="shared" si="4"/>
        <v>-45.914650000000002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14899.55069</v>
      </c>
      <c r="D77" s="32">
        <f>D78+D79+D80+D83</f>
        <v>3048.0819499999998</v>
      </c>
      <c r="E77" s="34">
        <f t="shared" si="3"/>
        <v>20.457542736813895</v>
      </c>
      <c r="F77" s="34">
        <f t="shared" si="4"/>
        <v>-11851.46874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hidden="1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14164.55069</v>
      </c>
      <c r="D80" s="37">
        <v>2334.8755999999998</v>
      </c>
      <c r="E80" s="38">
        <f t="shared" si="3"/>
        <v>16.483936914768453</v>
      </c>
      <c r="F80" s="38">
        <f t="shared" si="4"/>
        <v>-11829.675090000001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6030.8</v>
      </c>
      <c r="D81" s="32">
        <f>D82</f>
        <v>3933.2</v>
      </c>
      <c r="E81" s="38">
        <f t="shared" si="3"/>
        <v>65.218544803342837</v>
      </c>
      <c r="F81" s="38">
        <f t="shared" si="4"/>
        <v>-2097.6000000000004</v>
      </c>
    </row>
    <row r="82" spans="1:6" ht="19.5" customHeight="1">
      <c r="A82" s="35" t="s">
        <v>85</v>
      </c>
      <c r="B82" s="39" t="s">
        <v>230</v>
      </c>
      <c r="C82" s="37">
        <v>6030.8</v>
      </c>
      <c r="D82" s="37">
        <v>3933.2</v>
      </c>
      <c r="E82" s="38">
        <f t="shared" si="3"/>
        <v>65.218544803342837</v>
      </c>
      <c r="F82" s="38">
        <f t="shared" si="4"/>
        <v>-2097.6000000000004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25</v>
      </c>
      <c r="D89" s="32">
        <f>D90+D91+D92+D93+D94</f>
        <v>0</v>
      </c>
      <c r="E89" s="38">
        <f t="shared" si="3"/>
        <v>0</v>
      </c>
      <c r="F89" s="22">
        <f>F90+F91+F92+F93+F94</f>
        <v>-25</v>
      </c>
    </row>
    <row r="90" spans="1:6" ht="15.75" customHeight="1">
      <c r="A90" s="35" t="s">
        <v>94</v>
      </c>
      <c r="B90" s="39" t="s">
        <v>95</v>
      </c>
      <c r="C90" s="37">
        <v>25</v>
      </c>
      <c r="D90" s="37">
        <v>0</v>
      </c>
      <c r="E90" s="38">
        <f t="shared" si="3"/>
        <v>0</v>
      </c>
      <c r="F90" s="38">
        <f>SUM(D90-C90)</f>
        <v>-25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26628.636020000002</v>
      </c>
      <c r="D98" s="246">
        <f>SUM(D56+D66+D72+D77+D81+D89)</f>
        <v>8547.4951599999986</v>
      </c>
      <c r="E98" s="34">
        <f t="shared" si="3"/>
        <v>32.09888465026981</v>
      </c>
      <c r="F98" s="34">
        <f t="shared" si="4"/>
        <v>-18081.140860000003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61528DAC-5C4C-48F4-ADE2-8A724B05A086}" scale="70" showPageBreaks="1" printArea="1" hiddenRows="1" view="pageBreakPreview" topLeftCell="A34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8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9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28" zoomScale="70" zoomScaleNormal="100" zoomScaleSheetLayoutView="86" workbookViewId="0">
      <selection activeCell="C94" sqref="C9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0" t="s">
        <v>424</v>
      </c>
      <c r="B1" s="530"/>
      <c r="C1" s="530"/>
      <c r="D1" s="530"/>
      <c r="E1" s="530"/>
      <c r="F1" s="530"/>
    </row>
    <row r="2" spans="1:6">
      <c r="A2" s="530"/>
      <c r="B2" s="530"/>
      <c r="C2" s="530"/>
      <c r="D2" s="530"/>
      <c r="E2" s="530"/>
      <c r="F2" s="530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2333.95505</v>
      </c>
      <c r="E4" s="5">
        <f>SUM(D4/C4*100)</f>
        <v>43.590211437141299</v>
      </c>
      <c r="F4" s="5">
        <f>SUM(D4-C4)</f>
        <v>-3020.3549499999995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861.58925999999997</v>
      </c>
      <c r="E5" s="5">
        <f t="shared" ref="E5:E52" si="0">SUM(D5/C5*100)</f>
        <v>50.562750000000001</v>
      </c>
      <c r="F5" s="5">
        <f t="shared" ref="F5:F52" si="1">SUM(D5-C5)</f>
        <v>-842.41074000000003</v>
      </c>
    </row>
    <row r="6" spans="1:6">
      <c r="A6" s="7">
        <v>1010200001</v>
      </c>
      <c r="B6" s="8" t="s">
        <v>225</v>
      </c>
      <c r="C6" s="9">
        <v>1704</v>
      </c>
      <c r="D6" s="10">
        <v>861.58925999999997</v>
      </c>
      <c r="E6" s="9">
        <f t="shared" ref="E6:E11" si="2">SUM(D6/C6*100)</f>
        <v>50.562750000000001</v>
      </c>
      <c r="F6" s="9">
        <f t="shared" si="1"/>
        <v>-842.41074000000003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566.56083000000001</v>
      </c>
      <c r="E7" s="9">
        <f t="shared" si="2"/>
        <v>65.855427694668208</v>
      </c>
      <c r="F7" s="9">
        <f t="shared" si="1"/>
        <v>-293.74916999999994</v>
      </c>
    </row>
    <row r="8" spans="1:6">
      <c r="A8" s="7">
        <v>1030223001</v>
      </c>
      <c r="B8" s="8" t="s">
        <v>269</v>
      </c>
      <c r="C8" s="9">
        <v>320.89600000000002</v>
      </c>
      <c r="D8" s="10">
        <v>276.95145000000002</v>
      </c>
      <c r="E8" s="9">
        <f t="shared" si="2"/>
        <v>86.305672242720391</v>
      </c>
      <c r="F8" s="9">
        <f t="shared" si="1"/>
        <v>-43.944549999999992</v>
      </c>
    </row>
    <row r="9" spans="1:6">
      <c r="A9" s="7">
        <v>1030224001</v>
      </c>
      <c r="B9" s="8" t="s">
        <v>275</v>
      </c>
      <c r="C9" s="9">
        <v>3.4409999999999998</v>
      </c>
      <c r="D9" s="10">
        <v>1.6295500000000001</v>
      </c>
      <c r="E9" s="9">
        <f t="shared" si="2"/>
        <v>47.356873002034291</v>
      </c>
      <c r="F9" s="9">
        <f t="shared" si="1"/>
        <v>-1.8114499999999998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320.04595</v>
      </c>
      <c r="E10" s="9">
        <f t="shared" si="2"/>
        <v>59.713073233166604</v>
      </c>
      <c r="F10" s="9">
        <f t="shared" si="1"/>
        <v>-215.92704999999995</v>
      </c>
    </row>
    <row r="11" spans="1:6">
      <c r="A11" s="7">
        <v>1030226001</v>
      </c>
      <c r="B11" s="8" t="s">
        <v>278</v>
      </c>
      <c r="C11" s="9">
        <v>0</v>
      </c>
      <c r="D11" s="10">
        <v>-32.066119999999998</v>
      </c>
      <c r="E11" s="9" t="e">
        <f t="shared" si="2"/>
        <v>#DIV/0!</v>
      </c>
      <c r="F11" s="9">
        <f t="shared" si="1"/>
        <v>-32.066119999999998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844.69496000000004</v>
      </c>
      <c r="E14" s="5">
        <f t="shared" si="0"/>
        <v>30.638192237939794</v>
      </c>
      <c r="F14" s="5">
        <f t="shared" si="1"/>
        <v>-1912.30504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232.39555999999999</v>
      </c>
      <c r="E15" s="9">
        <f t="shared" si="0"/>
        <v>23.262818818818818</v>
      </c>
      <c r="F15" s="9">
        <f>SUM(D15-C15)</f>
        <v>-766.60444000000007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612.29939999999999</v>
      </c>
      <c r="E16" s="9">
        <f t="shared" si="0"/>
        <v>34.829317406143346</v>
      </c>
      <c r="F16" s="9">
        <f t="shared" si="1"/>
        <v>-1145.7006000000001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</v>
      </c>
      <c r="E17" s="5">
        <f t="shared" si="0"/>
        <v>33.75</v>
      </c>
      <c r="F17" s="5">
        <f t="shared" si="1"/>
        <v>-5.3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2.7</v>
      </c>
      <c r="E18" s="9">
        <f t="shared" si="0"/>
        <v>33.75</v>
      </c>
      <c r="F18" s="9">
        <f t="shared" si="1"/>
        <v>-5.3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462.24</v>
      </c>
      <c r="D25" s="5">
        <f>D26+D29+D31+D36+D34</f>
        <v>462.63237000000004</v>
      </c>
      <c r="E25" s="5">
        <f t="shared" si="0"/>
        <v>100.08488447559709</v>
      </c>
      <c r="F25" s="5">
        <f t="shared" si="1"/>
        <v>0.39237000000002809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>
      <c r="A27" s="16">
        <v>1110501101</v>
      </c>
      <c r="B27" s="17" t="s">
        <v>222</v>
      </c>
      <c r="C27" s="12">
        <v>0</v>
      </c>
      <c r="D27" s="10"/>
      <c r="E27" s="9" t="e">
        <f t="shared" si="0"/>
        <v>#DIV/0!</v>
      </c>
      <c r="F27" s="9">
        <f t="shared" si="1"/>
        <v>0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hidden="1" customHeight="1">
      <c r="A30" s="7">
        <v>1130299000</v>
      </c>
      <c r="B30" s="8" t="s">
        <v>414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hidden="1" customHeight="1">
      <c r="A31" s="70">
        <v>1140000000</v>
      </c>
      <c r="B31" s="71" t="s">
        <v>129</v>
      </c>
      <c r="C31" s="5">
        <f>C32+C33</f>
        <v>462.24</v>
      </c>
      <c r="D31" s="5">
        <f>D32+D33</f>
        <v>462.24</v>
      </c>
      <c r="E31" s="5">
        <f t="shared" si="0"/>
        <v>100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218</v>
      </c>
      <c r="C32" s="9">
        <v>462.24</v>
      </c>
      <c r="D32" s="10">
        <v>462.24</v>
      </c>
      <c r="E32" s="9">
        <f t="shared" si="0"/>
        <v>100</v>
      </c>
      <c r="F32" s="9">
        <f t="shared" si="1"/>
        <v>0</v>
      </c>
    </row>
    <row r="33" spans="1:7" ht="15.75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5816.5499999999993</v>
      </c>
      <c r="D39" s="125">
        <f>SUM(D4,D25)</f>
        <v>2796.5874199999998</v>
      </c>
      <c r="E39" s="5">
        <f t="shared" si="0"/>
        <v>48.079831171398858</v>
      </c>
      <c r="F39" s="5">
        <f t="shared" si="1"/>
        <v>-3019.9625799999994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14557.24992</v>
      </c>
      <c r="D40" s="227">
        <f>D41+D43+D45+D46+D48+D49+D42+D44+D51</f>
        <v>12662.597110000001</v>
      </c>
      <c r="E40" s="5">
        <f t="shared" si="0"/>
        <v>86.984816360149438</v>
      </c>
      <c r="F40" s="5">
        <f t="shared" si="1"/>
        <v>-1894.6528099999996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862.86900000000003</v>
      </c>
      <c r="E41" s="9">
        <f t="shared" si="0"/>
        <v>58.333491076257438</v>
      </c>
      <c r="F41" s="9">
        <f t="shared" si="1"/>
        <v>-616.33100000000002</v>
      </c>
    </row>
    <row r="42" spans="1:7" ht="15.75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8540.8092799999995</v>
      </c>
      <c r="D43" s="10">
        <v>10350.5659</v>
      </c>
      <c r="E43" s="9">
        <f t="shared" si="0"/>
        <v>121.18952151569414</v>
      </c>
      <c r="F43" s="9">
        <f t="shared" si="1"/>
        <v>1809.7566200000001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3401.4756400000001</v>
      </c>
      <c r="D46" s="181">
        <v>297</v>
      </c>
      <c r="E46" s="9">
        <f t="shared" si="0"/>
        <v>8.731504541952269</v>
      </c>
      <c r="F46" s="9">
        <f t="shared" si="1"/>
        <v>-3104.4756400000001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999.34721000000002</v>
      </c>
      <c r="E51" s="9">
        <f t="shared" si="0"/>
        <v>111.03857888888888</v>
      </c>
      <c r="F51" s="9">
        <f t="shared" si="1"/>
        <v>99.347210000000018</v>
      </c>
    </row>
    <row r="52" spans="1:7" s="6" customFormat="1" ht="15.75" customHeight="1">
      <c r="A52" s="3"/>
      <c r="B52" s="4" t="s">
        <v>25</v>
      </c>
      <c r="C52" s="243">
        <f>C39+C40</f>
        <v>20373.799919999998</v>
      </c>
      <c r="D52" s="244">
        <f>D39+D40</f>
        <v>15459.18453</v>
      </c>
      <c r="E52" s="5">
        <f t="shared" si="0"/>
        <v>75.877767479322543</v>
      </c>
      <c r="F52" s="5">
        <f t="shared" si="1"/>
        <v>-4914.6153899999972</v>
      </c>
      <c r="G52" s="93"/>
    </row>
    <row r="53" spans="1:7" s="6" customFormat="1">
      <c r="A53" s="3"/>
      <c r="B53" s="21" t="s">
        <v>308</v>
      </c>
      <c r="C53" s="92">
        <f>C52-C103</f>
        <v>34.679289999996399</v>
      </c>
      <c r="D53" s="92">
        <f>D52-D103</f>
        <v>1314.6553400000012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2651.68</v>
      </c>
      <c r="D57" s="32">
        <f>D58+D59+D60+D61+D62+D64+D63</f>
        <v>1424.95308</v>
      </c>
      <c r="E57" s="34">
        <f>SUM(D57/C57*100)</f>
        <v>53.737746636094855</v>
      </c>
      <c r="F57" s="34">
        <f>SUM(D57-C57)</f>
        <v>-1226.7269199999998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2591.1759999999999</v>
      </c>
      <c r="D59" s="37">
        <v>1374.95308</v>
      </c>
      <c r="E59" s="38">
        <f t="shared" ref="E59:E103" si="3">SUM(D59/C59*100)</f>
        <v>53.062898081797606</v>
      </c>
      <c r="F59" s="38">
        <f t="shared" ref="F59:F103" si="4">SUM(D59-C59)</f>
        <v>-1216.2229199999999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55.503999999999998</v>
      </c>
      <c r="D64" s="37">
        <v>50</v>
      </c>
      <c r="E64" s="38">
        <f t="shared" si="3"/>
        <v>90.083597578552897</v>
      </c>
      <c r="F64" s="38">
        <f t="shared" si="4"/>
        <v>-5.5039999999999978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0</v>
      </c>
      <c r="E65" s="34">
        <f t="shared" si="3"/>
        <v>0</v>
      </c>
      <c r="F65" s="34">
        <f t="shared" si="4"/>
        <v>-235.76499999999999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0</v>
      </c>
      <c r="E66" s="38">
        <f t="shared" si="3"/>
        <v>0</v>
      </c>
      <c r="F66" s="38">
        <f t="shared" si="4"/>
        <v>-235.76499999999999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13.5</v>
      </c>
      <c r="D67" s="32">
        <f>D70+D71</f>
        <v>1.4</v>
      </c>
      <c r="E67" s="34">
        <f t="shared" si="3"/>
        <v>10.37037037037037</v>
      </c>
      <c r="F67" s="34">
        <f t="shared" si="4"/>
        <v>-12.1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0</v>
      </c>
      <c r="E70" s="34">
        <f t="shared" si="3"/>
        <v>0</v>
      </c>
      <c r="F70" s="34">
        <f t="shared" si="4"/>
        <v>-3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1.4</v>
      </c>
      <c r="E71" s="34">
        <f t="shared" si="3"/>
        <v>16.470588235294116</v>
      </c>
      <c r="F71" s="34">
        <f t="shared" si="4"/>
        <v>-7.1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4419.9245700000001</v>
      </c>
      <c r="D73" s="48">
        <f>SUM(D74:D77)</f>
        <v>1920.20686</v>
      </c>
      <c r="E73" s="34">
        <f t="shared" si="3"/>
        <v>43.44433552177113</v>
      </c>
      <c r="F73" s="34">
        <f t="shared" si="4"/>
        <v>-2499.7177099999999</v>
      </c>
    </row>
    <row r="74" spans="1:7" ht="1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1546.5698</v>
      </c>
      <c r="E76" s="38">
        <f t="shared" si="3"/>
        <v>38.250304886184061</v>
      </c>
      <c r="F76" s="38">
        <f t="shared" si="4"/>
        <v>-2496.7177099999999</v>
      </c>
    </row>
    <row r="77" spans="1:7">
      <c r="A77" s="35" t="s">
        <v>63</v>
      </c>
      <c r="B77" s="39" t="s">
        <v>64</v>
      </c>
      <c r="C77" s="49">
        <v>376.63706000000002</v>
      </c>
      <c r="D77" s="37">
        <v>373.63706000000002</v>
      </c>
      <c r="E77" s="38">
        <f t="shared" si="3"/>
        <v>99.203477214908162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11758.351060000001</v>
      </c>
      <c r="D78" s="32">
        <f>SUM(D79:D82)</f>
        <v>10577.769249999999</v>
      </c>
      <c r="E78" s="34">
        <f t="shared" si="3"/>
        <v>89.959631210398641</v>
      </c>
      <c r="F78" s="34">
        <f t="shared" si="4"/>
        <v>-1180.5818100000015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37">
        <v>10561.261860000001</v>
      </c>
      <c r="D80" s="37">
        <v>10186.04422</v>
      </c>
      <c r="E80" s="38">
        <f t="shared" si="3"/>
        <v>96.447227187680014</v>
      </c>
      <c r="F80" s="38">
        <f t="shared" si="4"/>
        <v>-375.21764000000076</v>
      </c>
    </row>
    <row r="81" spans="1:6" ht="18" customHeight="1">
      <c r="A81" s="35" t="s">
        <v>71</v>
      </c>
      <c r="B81" s="39" t="s">
        <v>72</v>
      </c>
      <c r="C81" s="37">
        <v>1197.0891999999999</v>
      </c>
      <c r="D81" s="37">
        <v>391.72503</v>
      </c>
      <c r="E81" s="38">
        <f t="shared" si="3"/>
        <v>32.723127900577502</v>
      </c>
      <c r="F81" s="38">
        <f t="shared" si="4"/>
        <v>-805.36416999999983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1224.9000000000001</v>
      </c>
      <c r="D83" s="32">
        <f>D84+D85</f>
        <v>204.15</v>
      </c>
      <c r="E83" s="34">
        <f t="shared" si="3"/>
        <v>16.666666666666664</v>
      </c>
      <c r="F83" s="34">
        <f t="shared" si="4"/>
        <v>-1020.7500000000001</v>
      </c>
    </row>
    <row r="84" spans="1:6" ht="18" customHeight="1">
      <c r="A84" s="35" t="s">
        <v>85</v>
      </c>
      <c r="B84" s="39" t="s">
        <v>230</v>
      </c>
      <c r="C84" s="37">
        <v>1224.9000000000001</v>
      </c>
      <c r="D84" s="37">
        <v>204.15</v>
      </c>
      <c r="E84" s="38">
        <f t="shared" si="3"/>
        <v>16.666666666666664</v>
      </c>
      <c r="F84" s="38">
        <f t="shared" si="4"/>
        <v>-1020.7500000000001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20339.120630000001</v>
      </c>
      <c r="D103" s="246">
        <f>D57+D65+D67+D73+D78+D83+D86+D93+D99+D91</f>
        <v>14144.529189999999</v>
      </c>
      <c r="E103" s="34">
        <f t="shared" si="3"/>
        <v>69.543464770728377</v>
      </c>
      <c r="F103" s="34">
        <f t="shared" si="4"/>
        <v>-6194.591440000002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8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9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10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11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Справка!Область_печати</vt:lpstr>
      <vt:lpstr>Сун!Область_печати</vt:lpstr>
      <vt:lpstr>Тор!Область_печати</vt:lpstr>
      <vt:lpstr>Чум!Область_печати</vt:lpstr>
      <vt:lpstr>Юнг!Область_печати</vt:lpstr>
      <vt:lpstr>Юсь!Область_печати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morgau_fin2</cp:lastModifiedBy>
  <cp:lastPrinted>2022-07-20T13:34:42Z</cp:lastPrinted>
  <dcterms:created xsi:type="dcterms:W3CDTF">1996-10-08T23:32:33Z</dcterms:created>
  <dcterms:modified xsi:type="dcterms:W3CDTF">2022-08-08T06:49:32Z</dcterms:modified>
</cp:coreProperties>
</file>